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generated at 0430pm on 2" sheetId="1" r:id="rId4"/>
  </sheets>
  <definedNames/>
  <calcPr/>
</workbook>
</file>

<file path=xl/sharedStrings.xml><?xml version="1.0" encoding="utf-8"?>
<sst xmlns="http://schemas.openxmlformats.org/spreadsheetml/2006/main" count="21821" uniqueCount="459">
  <si>
    <t>Property Analysis</t>
  </si>
  <si>
    <t>Active Listings</t>
  </si>
  <si>
    <t>Address</t>
  </si>
  <si>
    <t>Status</t>
  </si>
  <si>
    <t>Listing Type</t>
  </si>
  <si>
    <t>Building</t>
  </si>
  <si>
    <t>Neighborhood</t>
  </si>
  <si>
    <t>Price</t>
  </si>
  <si>
    <t xml:space="preserve">PPSF </t>
  </si>
  <si>
    <t>Monthly Fees + Taxes</t>
  </si>
  <si>
    <t>Annual Taxes</t>
  </si>
  <si>
    <t>Property Type</t>
  </si>
  <si>
    <t>Rooms</t>
  </si>
  <si>
    <t>Beds</t>
  </si>
  <si>
    <t xml:space="preserve">Full Baths </t>
  </si>
  <si>
    <t>Half Baths</t>
  </si>
  <si>
    <t>Total Square Feet</t>
  </si>
  <si>
    <t xml:space="preserve">DOM </t>
  </si>
  <si>
    <t>Updated Date</t>
  </si>
  <si>
    <t>Listed Date</t>
  </si>
  <si>
    <t>Sold Price</t>
  </si>
  <si>
    <t>Sold Date</t>
  </si>
  <si>
    <t>Active</t>
  </si>
  <si>
    <t>Sale</t>
  </si>
  <si>
    <t>East Village</t>
  </si>
  <si>
    <t>Co-op</t>
  </si>
  <si>
    <t>West Village</t>
  </si>
  <si>
    <t>Chelsea</t>
  </si>
  <si>
    <t>Condo</t>
  </si>
  <si>
    <t>Upper West Side</t>
  </si>
  <si>
    <t>Clinton Hill</t>
  </si>
  <si>
    <t>Downtown Brooklyn</t>
  </si>
  <si>
    <t>Central Harlem</t>
  </si>
  <si>
    <t>Jackson Heights</t>
  </si>
  <si>
    <t>Midwood</t>
  </si>
  <si>
    <t>Hammels</t>
  </si>
  <si>
    <t>Single Family/Townhouse</t>
  </si>
  <si>
    <t>Oakland Gardens</t>
  </si>
  <si>
    <t>217-10 73rd Ave</t>
  </si>
  <si>
    <t>Prospect Heights</t>
  </si>
  <si>
    <t>Park Slope</t>
  </si>
  <si>
    <t>Morningside Heights</t>
  </si>
  <si>
    <t>Condo/Single Family</t>
  </si>
  <si>
    <t>Greenwich Village</t>
  </si>
  <si>
    <t>Upper East Side</t>
  </si>
  <si>
    <t>Harlem</t>
  </si>
  <si>
    <t>Williamsburg</t>
  </si>
  <si>
    <t>Hell's Kitchen</t>
  </si>
  <si>
    <t>Gramercy</t>
  </si>
  <si>
    <t>Condop</t>
  </si>
  <si>
    <t>Manhattanville</t>
  </si>
  <si>
    <t>Bedford-Stuyvesant</t>
  </si>
  <si>
    <t>Brooklyn Heights</t>
  </si>
  <si>
    <t>SoHo</t>
  </si>
  <si>
    <t>DUMBO</t>
  </si>
  <si>
    <t>Bay Ridge</t>
  </si>
  <si>
    <t>Greenpoint</t>
  </si>
  <si>
    <t>NoHo</t>
  </si>
  <si>
    <t>Hudson Heights</t>
  </si>
  <si>
    <t>Fort Greene</t>
  </si>
  <si>
    <t>TriBeCa</t>
  </si>
  <si>
    <t>Wingate</t>
  </si>
  <si>
    <t>Multi Family/Townhouse</t>
  </si>
  <si>
    <t>345 E 70th St</t>
  </si>
  <si>
    <t>Lenox Hill</t>
  </si>
  <si>
    <t>Carroll Gardens</t>
  </si>
  <si>
    <t>Midtown East</t>
  </si>
  <si>
    <t>Theater District</t>
  </si>
  <si>
    <t>Astoria</t>
  </si>
  <si>
    <t>Bellerose</t>
  </si>
  <si>
    <t>Sheepshead Bay</t>
  </si>
  <si>
    <t>Hamilton Heights</t>
  </si>
  <si>
    <t>Murray Hill</t>
  </si>
  <si>
    <t>Sutton Place</t>
  </si>
  <si>
    <t>Brighton Beach</t>
  </si>
  <si>
    <t>North Riverdale</t>
  </si>
  <si>
    <t>Riverdale</t>
  </si>
  <si>
    <t>Washington Heights</t>
  </si>
  <si>
    <t>211- 21 18th Ave</t>
  </si>
  <si>
    <t>Bay Terrace</t>
  </si>
  <si>
    <t>Financial District</t>
  </si>
  <si>
    <t>Inwood</t>
  </si>
  <si>
    <t>Bushwick</t>
  </si>
  <si>
    <t>Forest Hills</t>
  </si>
  <si>
    <t>Central Riverdale</t>
  </si>
  <si>
    <t>East New York</t>
  </si>
  <si>
    <t>218-02 73rd Ave</t>
  </si>
  <si>
    <t>Fieldston</t>
  </si>
  <si>
    <t>Sunnyside</t>
  </si>
  <si>
    <t>Spuyten Duyvil</t>
  </si>
  <si>
    <t>221-31 Braddock Ave</t>
  </si>
  <si>
    <t>Kew Gardens</t>
  </si>
  <si>
    <t>Glen Oaks</t>
  </si>
  <si>
    <t>Townhouse</t>
  </si>
  <si>
    <t>Beechhurst</t>
  </si>
  <si>
    <t>Coming Soon</t>
  </si>
  <si>
    <t>Rosedale</t>
  </si>
  <si>
    <t>Single Family</t>
  </si>
  <si>
    <t>Queens Village</t>
  </si>
  <si>
    <t>Holliswood</t>
  </si>
  <si>
    <t>Glendale</t>
  </si>
  <si>
    <t>NoLita</t>
  </si>
  <si>
    <t>Boerum Hill</t>
  </si>
  <si>
    <t>Battery Park City</t>
  </si>
  <si>
    <t>Co-op/UnitTriplex</t>
  </si>
  <si>
    <t>Mixed Use</t>
  </si>
  <si>
    <t>Windsor Terrace</t>
  </si>
  <si>
    <t>Kips Bay</t>
  </si>
  <si>
    <t>Prospect Lefferts Gardens</t>
  </si>
  <si>
    <t>Civic Center</t>
  </si>
  <si>
    <t>Co-op/Condop</t>
  </si>
  <si>
    <t>Weeksville</t>
  </si>
  <si>
    <t>Flatbush</t>
  </si>
  <si>
    <t>Crown Heights</t>
  </si>
  <si>
    <t>West Village Houses</t>
  </si>
  <si>
    <t>Flatiron</t>
  </si>
  <si>
    <t>Kingsbridge Heights</t>
  </si>
  <si>
    <t>Kensington</t>
  </si>
  <si>
    <t>UnitDuplex/Condo</t>
  </si>
  <si>
    <t>Lower East Side</t>
  </si>
  <si>
    <t>Little Italy</t>
  </si>
  <si>
    <t>Soundview</t>
  </si>
  <si>
    <t>Columbia Street Waterfront</t>
  </si>
  <si>
    <t>East Flatbush</t>
  </si>
  <si>
    <t>Woodlawn Heights</t>
  </si>
  <si>
    <t>Townhouse/Multi Family</t>
  </si>
  <si>
    <t>University Heights</t>
  </si>
  <si>
    <t>Condo/Other</t>
  </si>
  <si>
    <t>Sunset Park</t>
  </si>
  <si>
    <t>Parkchester</t>
  </si>
  <si>
    <t>Williamsbridge</t>
  </si>
  <si>
    <t>Cobble Hill</t>
  </si>
  <si>
    <t>Co-op/Single Family</t>
  </si>
  <si>
    <t>East Harlem</t>
  </si>
  <si>
    <t>Foxhurst</t>
  </si>
  <si>
    <t>Hudson Square</t>
  </si>
  <si>
    <t>Two Bridges</t>
  </si>
  <si>
    <t>Woodside</t>
  </si>
  <si>
    <t>Central Park South</t>
  </si>
  <si>
    <t>250 E 25th St</t>
  </si>
  <si>
    <t>Hendrix House</t>
  </si>
  <si>
    <t>14415 78th Rd</t>
  </si>
  <si>
    <t>Kew Gardens Hills</t>
  </si>
  <si>
    <t>Mill Basin</t>
  </si>
  <si>
    <t>246-75 57th Dr</t>
  </si>
  <si>
    <t>Douglaston</t>
  </si>
  <si>
    <t>Briarwood</t>
  </si>
  <si>
    <t>Pelham Parkway</t>
  </si>
  <si>
    <t>Morris Park</t>
  </si>
  <si>
    <t>Multi Family</t>
  </si>
  <si>
    <t>West Farms</t>
  </si>
  <si>
    <t>Elmhurst</t>
  </si>
  <si>
    <t>Madison</t>
  </si>
  <si>
    <t>South Corona</t>
  </si>
  <si>
    <t>Norwood</t>
  </si>
  <si>
    <t>Greenwood Heights</t>
  </si>
  <si>
    <t>Other</t>
  </si>
  <si>
    <t>Eastchester</t>
  </si>
  <si>
    <t>Little Neck</t>
  </si>
  <si>
    <t>Townhouse/Single Family</t>
  </si>
  <si>
    <t>Murray Hill - Flushing</t>
  </si>
  <si>
    <t>Laurelton</t>
  </si>
  <si>
    <t>Jamaica Hills</t>
  </si>
  <si>
    <t>Brownsville</t>
  </si>
  <si>
    <t>Clearview</t>
  </si>
  <si>
    <t>Forest Hills Ward</t>
  </si>
  <si>
    <t>Rego Park</t>
  </si>
  <si>
    <t>110-20 71st</t>
  </si>
  <si>
    <t>Forest Park</t>
  </si>
  <si>
    <t>Grymes Hill</t>
  </si>
  <si>
    <t>Manhattan</t>
  </si>
  <si>
    <t>Ocean Parkway</t>
  </si>
  <si>
    <t>Ditmas Park</t>
  </si>
  <si>
    <t>Gravesend</t>
  </si>
  <si>
    <t>St. Albans</t>
  </si>
  <si>
    <t>Auburndale</t>
  </si>
  <si>
    <t>Bedford Park</t>
  </si>
  <si>
    <t>Calvert Villas ���Calvert Collection���</t>
  </si>
  <si>
    <t>3 Acorn Pl</t>
  </si>
  <si>
    <t>Silver Beach</t>
  </si>
  <si>
    <t>Randall Manor</t>
  </si>
  <si>
    <t>Rosebank</t>
  </si>
  <si>
    <t>Wakefield</t>
  </si>
  <si>
    <t>Coney Island</t>
  </si>
  <si>
    <t>Westerleigh</t>
  </si>
  <si>
    <t>Flushing</t>
  </si>
  <si>
    <t>Harding Park</t>
  </si>
  <si>
    <t>Canarsie</t>
  </si>
  <si>
    <t>131-44 Laurelton Pkwy</t>
  </si>
  <si>
    <t>268 Bruckner Ave</t>
  </si>
  <si>
    <t>Graniteville</t>
  </si>
  <si>
    <t>Stapleton</t>
  </si>
  <si>
    <t>Willowbrook</t>
  </si>
  <si>
    <t>227-09 Hillside Ave</t>
  </si>
  <si>
    <t>38 W 55th St</t>
  </si>
  <si>
    <t>Midtown Central</t>
  </si>
  <si>
    <t>88 Beaver St</t>
  </si>
  <si>
    <t>Dyker Heights</t>
  </si>
  <si>
    <t>Far Rockaway</t>
  </si>
  <si>
    <t>600 W 148th St</t>
  </si>
  <si>
    <t>Jamaica</t>
  </si>
  <si>
    <t>70-40 45th Ave</t>
  </si>
  <si>
    <t>Broad Channel</t>
  </si>
  <si>
    <t>133 B Edgewater Park</t>
  </si>
  <si>
    <t>Edgewater Park</t>
  </si>
  <si>
    <t>South Marlboro</t>
  </si>
  <si>
    <t>Hudson Yards</t>
  </si>
  <si>
    <t>67-63 136th St</t>
  </si>
  <si>
    <t>Throgs Neck</t>
  </si>
  <si>
    <t>Condop/Condo</t>
  </si>
  <si>
    <t>Heartland Village</t>
  </si>
  <si>
    <t>1727 Lacombe Ave</t>
  </si>
  <si>
    <t>Lindenwood</t>
  </si>
  <si>
    <t>Olinville</t>
  </si>
  <si>
    <t>Bath Beach</t>
  </si>
  <si>
    <t>Long Island City</t>
  </si>
  <si>
    <t>St. George</t>
  </si>
  <si>
    <t>Concourse Village</t>
  </si>
  <si>
    <t>158-18 Cross Island Pkwy</t>
  </si>
  <si>
    <t>Whitestone</t>
  </si>
  <si>
    <t>Howard Beach</t>
  </si>
  <si>
    <t>Downtown Flushing</t>
  </si>
  <si>
    <t>South Jamaica</t>
  </si>
  <si>
    <t>22401 Hillside Ave</t>
  </si>
  <si>
    <t>Prince's Bay</t>
  </si>
  <si>
    <t>Woodstock</t>
  </si>
  <si>
    <t>apt a 2-22 Constitution Pl</t>
  </si>
  <si>
    <t>College Point</t>
  </si>
  <si>
    <t>Stratton Park</t>
  </si>
  <si>
    <t>Birchwood Towers</t>
  </si>
  <si>
    <t>North Corona</t>
  </si>
  <si>
    <t>Upper Carnegie Hill</t>
  </si>
  <si>
    <t>Concourse</t>
  </si>
  <si>
    <t>Grant City</t>
  </si>
  <si>
    <t>Midland Beach</t>
  </si>
  <si>
    <t>Arden Heights</t>
  </si>
  <si>
    <t>Bensonhurst</t>
  </si>
  <si>
    <t>Laurelton Gardens</t>
  </si>
  <si>
    <t>Fordham Manor</t>
  </si>
  <si>
    <t>Roosevelt Island</t>
  </si>
  <si>
    <t>Gerritsen Beach</t>
  </si>
  <si>
    <t>2929 Brighton 5th St</t>
  </si>
  <si>
    <t>Maspeth</t>
  </si>
  <si>
    <t>8385 116th St</t>
  </si>
  <si>
    <t>Todt Hill</t>
  </si>
  <si>
    <t>131-11 kew gardens Kew Gardens Rd</t>
  </si>
  <si>
    <t>Richmond Hill</t>
  </si>
  <si>
    <t>12325 82nd Ave</t>
  </si>
  <si>
    <t>Co-op/Condo</t>
  </si>
  <si>
    <t>Crotona Park East</t>
  </si>
  <si>
    <t>3184 Grand</t>
  </si>
  <si>
    <t>21543 48th Ave</t>
  </si>
  <si>
    <t>Bayside</t>
  </si>
  <si>
    <t>Schuylerville</t>
  </si>
  <si>
    <t>Morris Heights</t>
  </si>
  <si>
    <t>Nassau Heights</t>
  </si>
  <si>
    <t>Livingston</t>
  </si>
  <si>
    <t>57 Pennyfield Cp</t>
  </si>
  <si>
    <t>814 B Tilden St</t>
  </si>
  <si>
    <t>Mapleton</t>
  </si>
  <si>
    <t>Dongan Hills</t>
  </si>
  <si>
    <t>Bronxwood</t>
  </si>
  <si>
    <t>34 Alden Park</t>
  </si>
  <si>
    <t>Fordham Heights</t>
  </si>
  <si>
    <t>241-20 Northern</t>
  </si>
  <si>
    <t>New Dorp Beach</t>
  </si>
  <si>
    <t>Single Family/Land</t>
  </si>
  <si>
    <t>Huguenot</t>
  </si>
  <si>
    <t>Kingsbridge</t>
  </si>
  <si>
    <t>Middle Village</t>
  </si>
  <si>
    <t>Westchester Village</t>
  </si>
  <si>
    <t>Flatlands</t>
  </si>
  <si>
    <t>Bath Junction</t>
  </si>
  <si>
    <t>67-09 136th St</t>
  </si>
  <si>
    <t>77-34 77th St</t>
  </si>
  <si>
    <t>Eastwood</t>
  </si>
  <si>
    <t>Rossville</t>
  </si>
  <si>
    <t>South Ozone Park</t>
  </si>
  <si>
    <t>Mott Haven</t>
  </si>
  <si>
    <t>227-16 88th Ave</t>
  </si>
  <si>
    <t>68-36 140th St</t>
  </si>
  <si>
    <t>Great Kills</t>
  </si>
  <si>
    <t>Edenwald</t>
  </si>
  <si>
    <t>196-66 67th Ave</t>
  </si>
  <si>
    <t>Fresh Meadows</t>
  </si>
  <si>
    <t>3730 103rd St</t>
  </si>
  <si>
    <t>Kings Club District</t>
  </si>
  <si>
    <t>Mixed Use/Single Family</t>
  </si>
  <si>
    <t>1710 84th St</t>
  </si>
  <si>
    <t>220-34 67th Ave</t>
  </si>
  <si>
    <t>8 Hudson Walk</t>
  </si>
  <si>
    <t>Breezy Point</t>
  </si>
  <si>
    <t>264-17 Langston Ave</t>
  </si>
  <si>
    <t>Highbridge</t>
  </si>
  <si>
    <t>Manhattan Beach</t>
  </si>
  <si>
    <t>215-19 48th Ave</t>
  </si>
  <si>
    <t>68-02 140th St</t>
  </si>
  <si>
    <t>196-32 Pompeii Ave</t>
  </si>
  <si>
    <t>Holliswood Jamaica</t>
  </si>
  <si>
    <t>214- 27 Hillside Ave</t>
  </si>
  <si>
    <t>35-91 161 St</t>
  </si>
  <si>
    <t>98-50 67th Ave</t>
  </si>
  <si>
    <t>Mariners Harbor</t>
  </si>
  <si>
    <t>Marine Park</t>
  </si>
  <si>
    <t>Staten Island</t>
  </si>
  <si>
    <t>6-29 Beach 66th St</t>
  </si>
  <si>
    <t>Arverne</t>
  </si>
  <si>
    <t>33-02 Junction Blvd</t>
  </si>
  <si>
    <t>Cypress Crest Condominium III</t>
  </si>
  <si>
    <t>Pomonok</t>
  </si>
  <si>
    <t>Tottenville</t>
  </si>
  <si>
    <t>124-28 Queens Blvd</t>
  </si>
  <si>
    <t>79-16 Main</t>
  </si>
  <si>
    <t>268-03 83rd Ave</t>
  </si>
  <si>
    <t>Floral Park</t>
  </si>
  <si>
    <t>72-08 150th St</t>
  </si>
  <si>
    <t>1220 Ave Y</t>
  </si>
  <si>
    <t>83-06 Vietor</t>
  </si>
  <si>
    <t>Homecrest</t>
  </si>
  <si>
    <t>Borough Park</t>
  </si>
  <si>
    <t>168-150 Goethals Ave</t>
  </si>
  <si>
    <t>Hillcrest</t>
  </si>
  <si>
    <t>THE BENSON HOUSE CO</t>
  </si>
  <si>
    <t>Ozone Park</t>
  </si>
  <si>
    <t>Woodhaven</t>
  </si>
  <si>
    <t>Van Pelt Manor</t>
  </si>
  <si>
    <t>155-40 84th St</t>
  </si>
  <si>
    <t>8371 116th St</t>
  </si>
  <si>
    <t>Jamaica Estates</t>
  </si>
  <si>
    <t>83-73 Woodhaven Blvd</t>
  </si>
  <si>
    <t>166-30 17th Rd</t>
  </si>
  <si>
    <t>Mixed Use/Multi Family</t>
  </si>
  <si>
    <t>30-64 102nd St</t>
  </si>
  <si>
    <t>Silver Lake</t>
  </si>
  <si>
    <t>32-58 105th St</t>
  </si>
  <si>
    <t>East Elmhurst</t>
  </si>
  <si>
    <t>Pleasant Plains</t>
  </si>
  <si>
    <t>Tompkinsville</t>
  </si>
  <si>
    <t>3249 Barkley Ave</t>
  </si>
  <si>
    <t>Townhouse/Condo</t>
  </si>
  <si>
    <t>65-50 Austin St</t>
  </si>
  <si>
    <t>Springfield Gardens</t>
  </si>
  <si>
    <t>Arlington</t>
  </si>
  <si>
    <t>9431 60th Ave</t>
  </si>
  <si>
    <t>58 Selvin Loop</t>
  </si>
  <si>
    <t>South New York</t>
  </si>
  <si>
    <t>37-71 Prince St</t>
  </si>
  <si>
    <t>131-02 B 40th Rd</t>
  </si>
  <si>
    <t>3834 Parsons Blvd</t>
  </si>
  <si>
    <t>11156 145th St</t>
  </si>
  <si>
    <t>Average</t>
  </si>
  <si>
    <t>Median</t>
  </si>
  <si>
    <t>Contract Listings</t>
  </si>
  <si>
    <t>Contract Signed</t>
  </si>
  <si>
    <t>19 Pomander Walk</t>
  </si>
  <si>
    <t>Co-op/Townhouse</t>
  </si>
  <si>
    <t>149 Lafayette Ave</t>
  </si>
  <si>
    <t>Contract Out</t>
  </si>
  <si>
    <t>Prospect Park South</t>
  </si>
  <si>
    <t>223-21 Manor Rd</t>
  </si>
  <si>
    <t>73-22 Springfield Blvd</t>
  </si>
  <si>
    <t>Co-op/UnitDuplex</t>
  </si>
  <si>
    <t>210-214 Thompson St</t>
  </si>
  <si>
    <t>Other Listings</t>
  </si>
  <si>
    <t>Permanently Off Market</t>
  </si>
  <si>
    <t>Temporarily Off Market</t>
  </si>
  <si>
    <t>Contact Agent</t>
  </si>
  <si>
    <t>1916 80th St</t>
  </si>
  <si>
    <t>229-10a 87th Ave</t>
  </si>
  <si>
    <t>222-24 Union Tpke</t>
  </si>
  <si>
    <t>Exclusive Expired</t>
  </si>
  <si>
    <t>102 Avenue A</t>
  </si>
  <si>
    <t>56 Garden</t>
  </si>
  <si>
    <t>Multi Family/Other</t>
  </si>
  <si>
    <t>Townhouse/Multi Family/Single Family</t>
  </si>
  <si>
    <t>135 Prospect Park W</t>
  </si>
  <si>
    <t>East Williamsburg</t>
  </si>
  <si>
    <t>508 A Lexington Ave</t>
  </si>
  <si>
    <t>1115-1139 Prospect Ave</t>
  </si>
  <si>
    <t>36 E 69th St</t>
  </si>
  <si>
    <t>Gowanus</t>
  </si>
  <si>
    <t>220 5th Ave</t>
  </si>
  <si>
    <t>NoMad</t>
  </si>
  <si>
    <t>Co-op/Townhouse/Multi Family</t>
  </si>
  <si>
    <t>Townhouse/Mixed Use/Multi Family</t>
  </si>
  <si>
    <t>Red Hook</t>
  </si>
  <si>
    <t>Single Family/Townhouse/Land</t>
  </si>
  <si>
    <t>459 W 35th St</t>
  </si>
  <si>
    <t>Fashion District</t>
  </si>
  <si>
    <t>Midtown South</t>
  </si>
  <si>
    <t>72 Morningside Dr</t>
  </si>
  <si>
    <t>508 A A Lexington Ave</t>
  </si>
  <si>
    <t>25 Parade Pl</t>
  </si>
  <si>
    <t>Caton Park</t>
  </si>
  <si>
    <t>779 St Ann's Ave</t>
  </si>
  <si>
    <t>The Croyden House</t>
  </si>
  <si>
    <t>37-30 80th St</t>
  </si>
  <si>
    <t>5231 39th Rd</t>
  </si>
  <si>
    <t>223-06 Manor Rd</t>
  </si>
  <si>
    <t>229-03 87th Ave</t>
  </si>
  <si>
    <t>220-04 Stronghurst Ave</t>
  </si>
  <si>
    <t>67-38 Springfield Blvd</t>
  </si>
  <si>
    <t>17-22a Hart St</t>
  </si>
  <si>
    <t>Castle Hill</t>
  </si>
  <si>
    <t>Ridgewood</t>
  </si>
  <si>
    <t>2610 Third Ave</t>
  </si>
  <si>
    <t>220 Edgewater Park</t>
  </si>
  <si>
    <t>10-12 Church St</t>
  </si>
  <si>
    <t>Country Club</t>
  </si>
  <si>
    <t>Bayswater</t>
  </si>
  <si>
    <t>Single Family/Other</t>
  </si>
  <si>
    <t>KINGSWAY GARDEN</t>
  </si>
  <si>
    <t>Midwood Park</t>
  </si>
  <si>
    <t>144 Park</t>
  </si>
  <si>
    <t>Spencer Estates</t>
  </si>
  <si>
    <t>90-83 98th St</t>
  </si>
  <si>
    <t>167 Park</t>
  </si>
  <si>
    <t>Fiske Terrace</t>
  </si>
  <si>
    <t>21-37 E 33rd St</t>
  </si>
  <si>
    <t>1912 Avenue</t>
  </si>
  <si>
    <t>150-35 89th St</t>
  </si>
  <si>
    <t>211-19a A 73rd Ave</t>
  </si>
  <si>
    <t>224-01 Kingsbury</t>
  </si>
  <si>
    <t>72-29 Little Neck Pkwy</t>
  </si>
  <si>
    <t>115 A Stack Dr</t>
  </si>
  <si>
    <t>211-65 23rd Rd</t>
  </si>
  <si>
    <t>Cambria Heights</t>
  </si>
  <si>
    <t>Rockaway Park</t>
  </si>
  <si>
    <t>Townhouse/Single Family/Land</t>
  </si>
  <si>
    <t>99-45 67th Rd</t>
  </si>
  <si>
    <t>Old Howard Beach</t>
  </si>
  <si>
    <t>133 B Beach 116th St</t>
  </si>
  <si>
    <t>21954 75th Ave</t>
  </si>
  <si>
    <t>62-65 223rd Pl</t>
  </si>
  <si>
    <t>226- 59 Union Tpke</t>
  </si>
  <si>
    <t>220-06 75th Ave</t>
  </si>
  <si>
    <t>73-14 Springfield Blvd</t>
  </si>
  <si>
    <t>76-30 Springfield Blvd</t>
  </si>
  <si>
    <t>217-12 67th Ave</t>
  </si>
  <si>
    <t>226-19 Kingsbury Ave</t>
  </si>
  <si>
    <t>219-25 75th Ave</t>
  </si>
  <si>
    <t>Multi Family/Single Family/Land</t>
  </si>
  <si>
    <t>Co-op/Townhouse/Single Family</t>
  </si>
  <si>
    <t>151 W W 21st St</t>
  </si>
  <si>
    <t>153 Chambers St</t>
  </si>
  <si>
    <t>34-5 Barrow St</t>
  </si>
  <si>
    <t>Townhouse/Multi Family/Condo</t>
  </si>
  <si>
    <t>Co-op/Mixed Use/Condop</t>
  </si>
  <si>
    <t>Townhouse/Condo/Single Family</t>
  </si>
  <si>
    <t>San Remo</t>
  </si>
  <si>
    <t>63-67 W 107th St</t>
  </si>
  <si>
    <t>North Slope</t>
  </si>
  <si>
    <t>Townhouse/Condo/Multi Family</t>
  </si>
  <si>
    <t>UnitDuplex</t>
  </si>
  <si>
    <t>21 9th St</t>
  </si>
  <si>
    <t>43 Great Jones Alley</t>
  </si>
  <si>
    <t>Preliminary Pricing Recommendation:</t>
  </si>
  <si>
    <t>Add notes here</t>
  </si>
  <si>
    <t>Note: The information contained herein does not purport to be complete nor, necessarily, accurate and should be independently verified; nor does it represent or constitute a legal analysis or financial advice. All of the financial projections and/or conclusions are provided for illustration purposes only. Compass and its agents disclaim any and all liability for representations and warranties, express or implied, contained in, or for omissions from, the information contained herein or any other written or oral communication transmitted or made available to the recipient. This represents an estimated sale price for this property. It is not the same as an opinion of value in an appraisal developed by a licensed appraiser under the Uniform Standards of Professional Appraisal Practice.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</si>
</sst>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
    <numFmt numFmtId="165" formatCode="$#,##0"/>
    <numFmt numFmtId="166" formatCode="mm/dd/yyyy"/>
  </numFmts>
  <fonts count="14">
    <font>
      <sz val="10.0"/>
      <color rgb="FF000000"/>
      <name val="Arial"/>
      <scheme val="minor"/>
    </font>
    <font>
      <color theme="1"/>
      <name val="Arial"/>
      <scheme val="minor"/>
    </font>
    <font>
      <color theme="1"/>
      <name val="Helvetica"/>
    </font>
    <font>
      <sz val="24.0"/>
      <color theme="1"/>
      <name val="Helvetica"/>
    </font>
    <font/>
    <font>
      <b/>
      <sz val="13.0"/>
      <color rgb="FF000000"/>
      <name val="Helvetica"/>
    </font>
    <font>
      <b/>
      <sz val="10.0"/>
      <color theme="1"/>
      <name val="Helvetica"/>
    </font>
    <font>
      <u/>
      <sz val="10.0"/>
      <color rgb="FF3D3D3D"/>
      <name val="Helvetica"/>
    </font>
    <font>
      <sz val="10.0"/>
      <color rgb="FF3D3D3D"/>
      <name val="Helvetica"/>
    </font>
    <font>
      <u/>
      <sz val="10.0"/>
      <color rgb="FF3D3D3D"/>
      <name val="Helvetica"/>
    </font>
    <font>
      <u/>
      <sz val="10.0"/>
      <color rgb="FF3D3D3D"/>
      <name val="Helvetica"/>
    </font>
    <font>
      <u/>
      <sz val="10.0"/>
      <color rgb="FF3D3D3D"/>
      <name val="Helvetica"/>
    </font>
    <font>
      <b/>
      <sz val="10.0"/>
      <color rgb="FF000000"/>
      <name val="Helvetica"/>
    </font>
    <font>
      <i/>
      <sz val="12.0"/>
      <color theme="1"/>
      <name val="Helvetica"/>
    </font>
  </fonts>
  <fills count="3">
    <fill>
      <patternFill patternType="none"/>
    </fill>
    <fill>
      <patternFill patternType="lightGray"/>
    </fill>
    <fill>
      <patternFill patternType="solid">
        <fgColor rgb="FFF9F9F9"/>
        <bgColor rgb="FFF9F9F9"/>
      </patternFill>
    </fill>
  </fills>
  <borders count="8">
    <border/>
    <border>
      <left/>
      <right/>
      <top/>
      <bottom/>
    </border>
    <border>
      <left/>
      <top/>
      <bottom/>
    </border>
    <border>
      <top/>
      <bottom/>
    </border>
    <border>
      <right/>
      <top/>
      <bottom/>
    </border>
    <border>
      <left/>
      <right/>
      <top/>
      <bottom style="thin">
        <color rgb="FFF2F2F2"/>
      </bottom>
    </border>
    <border>
      <left/>
      <right/>
      <top style="thin">
        <color rgb="FFF2F2F2"/>
      </top>
      <bottom style="thin">
        <color rgb="FFF2F2F2"/>
      </bottom>
    </border>
    <border>
      <left/>
      <right/>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0" fontId="1" numFmtId="0" xfId="0" applyBorder="1" applyFont="1"/>
    <xf borderId="1" fillId="0" fontId="2" numFmtId="0" xfId="0" applyBorder="1" applyFont="1"/>
    <xf borderId="1" fillId="0" fontId="1" numFmtId="0" xfId="0" applyBorder="1" applyFont="1"/>
    <xf borderId="2" fillId="0" fontId="3" numFmtId="0" xfId="0" applyAlignment="1" applyBorder="1" applyFont="1">
      <alignment horizontal="left" readingOrder="0" vertical="center"/>
    </xf>
    <xf borderId="3" fillId="0" fontId="4" numFmtId="0" xfId="0" applyBorder="1" applyFont="1"/>
    <xf borderId="4" fillId="0" fontId="4" numFmtId="0" xfId="0" applyBorder="1" applyFont="1"/>
    <xf borderId="1" fillId="0" fontId="1" numFmtId="164" xfId="0" applyBorder="1" applyFont="1" applyNumberFormat="1"/>
    <xf borderId="2" fillId="0" fontId="2" numFmtId="164" xfId="0" applyAlignment="1" applyBorder="1" applyFont="1" applyNumberFormat="1">
      <alignment horizontal="left" readingOrder="0" vertical="center"/>
    </xf>
    <xf borderId="2" fillId="0" fontId="2" numFmtId="0" xfId="0" applyAlignment="1" applyBorder="1" applyFont="1">
      <alignment horizontal="center"/>
    </xf>
    <xf borderId="2" fillId="0" fontId="5" numFmtId="0" xfId="0" applyAlignment="1" applyBorder="1" applyFont="1">
      <alignment readingOrder="0" vertical="center"/>
    </xf>
    <xf borderId="1" fillId="2" fontId="6" numFmtId="0" xfId="0" applyAlignment="1" applyBorder="1" applyFill="1" applyFont="1">
      <alignment horizontal="left" readingOrder="0" shrinkToFit="0" vertical="center" wrapText="1"/>
    </xf>
    <xf borderId="1" fillId="2" fontId="6" numFmtId="0" xfId="0" applyAlignment="1" applyBorder="1" applyFont="1">
      <alignment readingOrder="0" shrinkToFit="0" vertical="center" wrapText="1"/>
    </xf>
    <xf borderId="1" fillId="2" fontId="6" numFmtId="0" xfId="0" applyAlignment="1" applyBorder="1" applyFont="1">
      <alignment horizontal="right" readingOrder="0" shrinkToFit="0" vertical="center" wrapText="1"/>
    </xf>
    <xf borderId="5" fillId="0" fontId="7" numFmtId="0" xfId="0" applyAlignment="1" applyBorder="1" applyFont="1">
      <alignment horizontal="left" vertical="center"/>
    </xf>
    <xf borderId="5" fillId="0" fontId="8" numFmtId="0" xfId="0" applyAlignment="1" applyBorder="1" applyFont="1">
      <alignment horizontal="left" readingOrder="0" vertical="center"/>
    </xf>
    <xf borderId="5" fillId="0" fontId="8" numFmtId="0" xfId="0" applyAlignment="1" applyBorder="1" applyFont="1">
      <alignment readingOrder="0" vertical="center"/>
    </xf>
    <xf borderId="5" fillId="0" fontId="9" numFmtId="0" xfId="0" applyAlignment="1" applyBorder="1" applyFont="1">
      <alignment vertical="center"/>
    </xf>
    <xf borderId="5" fillId="0" fontId="8" numFmtId="165" xfId="0" applyAlignment="1" applyBorder="1" applyFont="1" applyNumberFormat="1">
      <alignment horizontal="right" readingOrder="0" vertical="center"/>
    </xf>
    <xf borderId="5" fillId="0" fontId="8" numFmtId="165" xfId="0" applyAlignment="1" applyBorder="1" applyFont="1" applyNumberFormat="1">
      <alignment horizontal="right" vertical="center"/>
    </xf>
    <xf borderId="5" fillId="0" fontId="8" numFmtId="0" xfId="0" applyAlignment="1" applyBorder="1" applyFont="1">
      <alignment vertical="center"/>
    </xf>
    <xf borderId="5" fillId="0" fontId="8" numFmtId="3" xfId="0" applyAlignment="1" applyBorder="1" applyFont="1" applyNumberFormat="1">
      <alignment horizontal="right" vertical="center"/>
    </xf>
    <xf borderId="5" fillId="0" fontId="8" numFmtId="166" xfId="0" applyAlignment="1" applyBorder="1" applyFont="1" applyNumberFormat="1">
      <alignment horizontal="left" readingOrder="0" vertical="center"/>
    </xf>
    <xf borderId="5" fillId="0" fontId="8" numFmtId="166" xfId="0" applyAlignment="1" applyBorder="1" applyFont="1" applyNumberFormat="1">
      <alignment horizontal="left" vertical="center"/>
    </xf>
    <xf borderId="6" fillId="0" fontId="10" numFmtId="0" xfId="0" applyAlignment="1" applyBorder="1" applyFont="1">
      <alignment horizontal="left" vertical="center"/>
    </xf>
    <xf borderId="6" fillId="0" fontId="8" numFmtId="0" xfId="0" applyAlignment="1" applyBorder="1" applyFont="1">
      <alignment horizontal="left" readingOrder="0" vertical="center"/>
    </xf>
    <xf borderId="6" fillId="0" fontId="8" numFmtId="0" xfId="0" applyAlignment="1" applyBorder="1" applyFont="1">
      <alignment readingOrder="0" vertical="center"/>
    </xf>
    <xf borderId="6" fillId="0" fontId="11" numFmtId="0" xfId="0" applyAlignment="1" applyBorder="1" applyFont="1">
      <alignment vertical="center"/>
    </xf>
    <xf borderId="6" fillId="0" fontId="8" numFmtId="165" xfId="0" applyAlignment="1" applyBorder="1" applyFont="1" applyNumberFormat="1">
      <alignment horizontal="right" readingOrder="0" vertical="center"/>
    </xf>
    <xf borderId="6" fillId="0" fontId="8" numFmtId="165" xfId="0" applyAlignment="1" applyBorder="1" applyFont="1" applyNumberFormat="1">
      <alignment horizontal="right" vertical="center"/>
    </xf>
    <xf borderId="6" fillId="0" fontId="8" numFmtId="0" xfId="0" applyAlignment="1" applyBorder="1" applyFont="1">
      <alignment vertical="center"/>
    </xf>
    <xf borderId="6" fillId="0" fontId="8" numFmtId="3" xfId="0" applyAlignment="1" applyBorder="1" applyFont="1" applyNumberFormat="1">
      <alignment horizontal="right" vertical="center"/>
    </xf>
    <xf borderId="6" fillId="0" fontId="8" numFmtId="166" xfId="0" applyAlignment="1" applyBorder="1" applyFont="1" applyNumberFormat="1">
      <alignment horizontal="left" readingOrder="0" vertical="center"/>
    </xf>
    <xf borderId="6" fillId="0" fontId="8" numFmtId="166" xfId="0" applyAlignment="1" applyBorder="1" applyFont="1" applyNumberFormat="1">
      <alignment horizontal="left" vertical="center"/>
    </xf>
    <xf borderId="6" fillId="0" fontId="8" numFmtId="3" xfId="0" applyAlignment="1" applyBorder="1" applyFont="1" applyNumberFormat="1">
      <alignment readingOrder="0" vertical="center"/>
    </xf>
    <xf borderId="6" fillId="0" fontId="8" numFmtId="3" xfId="0" applyAlignment="1" applyBorder="1" applyFont="1" applyNumberFormat="1">
      <alignment horizontal="right" readingOrder="0" vertical="center"/>
    </xf>
    <xf borderId="6" fillId="0" fontId="8" numFmtId="0" xfId="0" applyAlignment="1" applyBorder="1" applyFont="1">
      <alignment horizontal="left" vertical="center"/>
    </xf>
    <xf borderId="7" fillId="0" fontId="12" numFmtId="0" xfId="0" applyAlignment="1" applyBorder="1" applyFont="1">
      <alignment horizontal="left" readingOrder="0" vertical="center"/>
    </xf>
    <xf borderId="7" fillId="0" fontId="12" numFmtId="0" xfId="0" applyAlignment="1" applyBorder="1" applyFont="1">
      <alignment horizontal="left" vertical="center"/>
    </xf>
    <xf borderId="7" fillId="0" fontId="12" numFmtId="0" xfId="0" applyAlignment="1" applyBorder="1" applyFont="1">
      <alignment vertical="center"/>
    </xf>
    <xf borderId="7" fillId="0" fontId="12" numFmtId="165" xfId="0" applyAlignment="1" applyBorder="1" applyFont="1" applyNumberFormat="1">
      <alignment horizontal="right" vertical="center"/>
    </xf>
    <xf borderId="7" fillId="0" fontId="12" numFmtId="3" xfId="0" applyAlignment="1" applyBorder="1" applyFont="1" applyNumberFormat="1">
      <alignment horizontal="right" vertical="center"/>
    </xf>
    <xf borderId="7" fillId="0" fontId="12" numFmtId="166" xfId="0" applyAlignment="1" applyBorder="1" applyFont="1" applyNumberFormat="1">
      <alignment horizontal="left" vertical="center"/>
    </xf>
    <xf borderId="1" fillId="0" fontId="12" numFmtId="0" xfId="0" applyAlignment="1" applyBorder="1" applyFont="1">
      <alignment horizontal="left" readingOrder="0" vertical="center"/>
    </xf>
    <xf borderId="1" fillId="0" fontId="12" numFmtId="0" xfId="0" applyAlignment="1" applyBorder="1" applyFont="1">
      <alignment horizontal="left" vertical="center"/>
    </xf>
    <xf borderId="1" fillId="0" fontId="12" numFmtId="0" xfId="0" applyAlignment="1" applyBorder="1" applyFont="1">
      <alignment vertical="center"/>
    </xf>
    <xf borderId="1" fillId="0" fontId="12" numFmtId="165" xfId="0" applyAlignment="1" applyBorder="1" applyFont="1" applyNumberFormat="1">
      <alignment horizontal="right" vertical="center"/>
    </xf>
    <xf borderId="1" fillId="0" fontId="12" numFmtId="3" xfId="0" applyAlignment="1" applyBorder="1" applyFont="1" applyNumberFormat="1">
      <alignment horizontal="right" vertical="center"/>
    </xf>
    <xf borderId="1" fillId="0" fontId="12" numFmtId="166" xfId="0" applyAlignment="1" applyBorder="1" applyFont="1" applyNumberFormat="1">
      <alignment horizontal="left" vertical="center"/>
    </xf>
    <xf borderId="5" fillId="0" fontId="8" numFmtId="3" xfId="0" applyAlignment="1" applyBorder="1" applyFont="1" applyNumberFormat="1">
      <alignment readingOrder="0" vertical="center"/>
    </xf>
    <xf borderId="2" fillId="0" fontId="2" numFmtId="0" xfId="0" applyAlignment="1" applyBorder="1" applyFont="1">
      <alignment readingOrder="0" vertical="center"/>
    </xf>
    <xf borderId="2" fillId="0" fontId="2" numFmtId="0" xfId="0" applyBorder="1" applyFont="1"/>
    <xf borderId="2" fillId="0" fontId="13"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31.38"/>
    <col customWidth="1" min="3" max="3" width="20.63"/>
    <col customWidth="1" min="4" max="4" width="12.25"/>
    <col customWidth="1" min="5" max="5" width="38.13"/>
    <col customWidth="1" min="6" max="6" width="23.13"/>
    <col customWidth="1" min="7" max="7" width="13.75"/>
    <col customWidth="1" min="8" max="8" width="8.5"/>
    <col customWidth="1" min="9" max="9" width="15.0"/>
    <col customWidth="1" min="10" max="10" width="13.13"/>
    <col customWidth="1" min="11" max="11" width="31.5"/>
    <col customWidth="1" min="12" max="12" width="8.5"/>
    <col customWidth="1" min="13" max="13" width="7.13"/>
    <col customWidth="1" min="14" max="15" width="11.13"/>
    <col customWidth="1" min="16" max="16" width="13.25"/>
    <col customWidth="1" min="17" max="17" width="7.5"/>
    <col customWidth="1" min="18" max="18" width="13.25"/>
    <col customWidth="1" min="19" max="19" width="12.13"/>
    <col customWidth="1" min="20" max="20" width="11.75"/>
    <col customWidth="1" min="21" max="21" width="12.13"/>
    <col customWidth="1" min="22" max="22" width="5.13"/>
  </cols>
  <sheetData>
    <row r="1">
      <c r="A1" s="1"/>
      <c r="B1" s="2"/>
      <c r="C1" s="2"/>
      <c r="D1" s="2"/>
      <c r="E1" s="2"/>
      <c r="F1" s="2"/>
      <c r="G1" s="2"/>
      <c r="H1" s="2"/>
      <c r="I1" s="2"/>
      <c r="J1" s="2"/>
      <c r="K1" s="2"/>
      <c r="L1" s="2"/>
      <c r="M1" s="2"/>
      <c r="N1" s="2"/>
      <c r="O1" s="2"/>
      <c r="P1" s="2"/>
      <c r="Q1" s="2"/>
      <c r="R1" s="2"/>
      <c r="S1" s="2"/>
      <c r="T1" s="2"/>
      <c r="U1" s="2"/>
      <c r="V1" s="1"/>
    </row>
    <row r="2" ht="37.5" customHeight="1">
      <c r="A2" s="3"/>
      <c r="B2" s="4" t="s">
        <v>0</v>
      </c>
      <c r="C2" s="5"/>
      <c r="D2" s="5"/>
      <c r="E2" s="5"/>
      <c r="F2" s="5"/>
      <c r="G2" s="5"/>
      <c r="H2" s="5"/>
      <c r="I2" s="5"/>
      <c r="J2" s="5"/>
      <c r="K2" s="5"/>
      <c r="L2" s="5"/>
      <c r="M2" s="5"/>
      <c r="N2" s="5"/>
      <c r="O2" s="5"/>
      <c r="P2" s="5"/>
      <c r="Q2" s="5"/>
      <c r="R2" s="5"/>
      <c r="S2" s="5"/>
      <c r="T2" s="5"/>
      <c r="U2" s="6"/>
      <c r="V2" s="1"/>
    </row>
    <row r="3" ht="18.75" customHeight="1">
      <c r="A3" s="7"/>
      <c r="B3" s="8">
        <v>45863.0</v>
      </c>
      <c r="C3" s="5"/>
      <c r="D3" s="5"/>
      <c r="E3" s="5"/>
      <c r="F3" s="5"/>
      <c r="G3" s="5"/>
      <c r="H3" s="5"/>
      <c r="I3" s="5"/>
      <c r="J3" s="5"/>
      <c r="K3" s="5"/>
      <c r="L3" s="5"/>
      <c r="M3" s="5"/>
      <c r="N3" s="5"/>
      <c r="O3" s="5"/>
      <c r="P3" s="5"/>
      <c r="Q3" s="5"/>
      <c r="R3" s="5"/>
      <c r="S3" s="5"/>
      <c r="T3" s="5"/>
      <c r="U3" s="6"/>
      <c r="V3" s="1"/>
    </row>
    <row r="4" ht="37.5" customHeight="1">
      <c r="A4" s="1"/>
      <c r="B4" s="9"/>
      <c r="C4" s="5"/>
      <c r="D4" s="5"/>
      <c r="E4" s="5"/>
      <c r="F4" s="5"/>
      <c r="G4" s="5"/>
      <c r="H4" s="5"/>
      <c r="I4" s="5"/>
      <c r="J4" s="5"/>
      <c r="K4" s="5"/>
      <c r="L4" s="5"/>
      <c r="M4" s="5"/>
      <c r="N4" s="5"/>
      <c r="O4" s="5"/>
      <c r="P4" s="5"/>
      <c r="Q4" s="5"/>
      <c r="R4" s="5"/>
      <c r="S4" s="5"/>
      <c r="T4" s="5"/>
      <c r="U4" s="6"/>
      <c r="V4" s="1"/>
    </row>
    <row r="5" ht="24.0" customHeight="1">
      <c r="A5" s="3"/>
      <c r="B5" s="10" t="s">
        <v>1</v>
      </c>
      <c r="C5" s="5"/>
      <c r="D5" s="5"/>
      <c r="E5" s="5"/>
      <c r="F5" s="5"/>
      <c r="G5" s="5"/>
      <c r="H5" s="5"/>
      <c r="I5" s="5"/>
      <c r="J5" s="5"/>
      <c r="K5" s="5"/>
      <c r="L5" s="5"/>
      <c r="M5" s="5"/>
      <c r="N5" s="5"/>
      <c r="O5" s="5"/>
      <c r="P5" s="5"/>
      <c r="Q5" s="5"/>
      <c r="R5" s="5"/>
      <c r="S5" s="5"/>
      <c r="T5" s="5"/>
      <c r="U5" s="6"/>
      <c r="V5" s="1"/>
    </row>
    <row r="6" ht="24.0" customHeight="1">
      <c r="A6" s="3"/>
      <c r="B6" s="11" t="s">
        <v>2</v>
      </c>
      <c r="C6" s="11" t="s">
        <v>3</v>
      </c>
      <c r="D6" s="12" t="s">
        <v>4</v>
      </c>
      <c r="E6" s="12" t="s">
        <v>5</v>
      </c>
      <c r="F6" s="11" t="s">
        <v>6</v>
      </c>
      <c r="G6" s="13" t="s">
        <v>7</v>
      </c>
      <c r="H6" s="13" t="s">
        <v>8</v>
      </c>
      <c r="I6" s="13" t="s">
        <v>9</v>
      </c>
      <c r="J6" s="13" t="s">
        <v>10</v>
      </c>
      <c r="K6" s="11" t="s">
        <v>11</v>
      </c>
      <c r="L6" s="12" t="s">
        <v>12</v>
      </c>
      <c r="M6" s="12" t="s">
        <v>13</v>
      </c>
      <c r="N6" s="12" t="s">
        <v>14</v>
      </c>
      <c r="O6" s="12" t="s">
        <v>15</v>
      </c>
      <c r="P6" s="12" t="s">
        <v>16</v>
      </c>
      <c r="Q6" s="13" t="s">
        <v>17</v>
      </c>
      <c r="R6" s="11" t="s">
        <v>18</v>
      </c>
      <c r="S6" s="11" t="s">
        <v>19</v>
      </c>
      <c r="T6" s="13" t="s">
        <v>20</v>
      </c>
      <c r="U6" s="11" t="s">
        <v>21</v>
      </c>
      <c r="V6" s="1"/>
    </row>
    <row r="7" ht="24.0" customHeight="1">
      <c r="A7" s="1"/>
      <c r="B7" s="14" t="str">
        <f>HYPERLINK("https://www.compass.com/listing/327-east-3rd-street-unit-4b-manhattan-ny-10009/1852323984557243689/view?agent_id=610d3f3370540700019b0833","327 E 3rd St, Unit 4B")</f>
        <v>327 E 3rd St, Unit 4B</v>
      </c>
      <c r="C7" s="15" t="s">
        <v>22</v>
      </c>
      <c r="D7" s="16" t="s">
        <v>23</v>
      </c>
      <c r="E7" s="17" t="str">
        <f>HYPERLINK("https://www.compass.com/building/327-e-3rd-st-manhattan-ny-10009/281899616352350661/","327 E 3rd St")</f>
        <v>327 E 3rd St</v>
      </c>
      <c r="F7" s="15" t="s">
        <v>24</v>
      </c>
      <c r="G7" s="18">
        <v>650000.0</v>
      </c>
      <c r="H7" s="19"/>
      <c r="I7" s="18">
        <v>335.0</v>
      </c>
      <c r="J7" s="18">
        <v>0.0</v>
      </c>
      <c r="K7" s="15" t="s">
        <v>25</v>
      </c>
      <c r="L7" s="16">
        <v>4.0</v>
      </c>
      <c r="M7" s="16">
        <v>2.0</v>
      </c>
      <c r="N7" s="16">
        <v>1.0</v>
      </c>
      <c r="O7" s="20"/>
      <c r="P7" s="20"/>
      <c r="Q7" s="21"/>
      <c r="R7" s="22">
        <v>45810.0</v>
      </c>
      <c r="S7" s="23"/>
      <c r="T7" s="19"/>
      <c r="U7" s="23"/>
      <c r="V7" s="1"/>
    </row>
    <row r="8" ht="24.0" customHeight="1">
      <c r="A8" s="1"/>
      <c r="B8" s="24" t="str">
        <f>HYPERLINK("https://www.compass.com/listing/376-west-street-unit-5b-manhattan-ny-10014/1873434604505851097/view?agent_id=610d3f3370540700019b0833","376 West St, Unit 5B")</f>
        <v>376 West St, Unit 5B</v>
      </c>
      <c r="C8" s="25" t="s">
        <v>22</v>
      </c>
      <c r="D8" s="26" t="s">
        <v>23</v>
      </c>
      <c r="E8" s="27" t="str">
        <f>HYPERLINK("https://www.compass.com/building/west-village-houses-manhattan-ny/282060576618741845/","West Village Houses")</f>
        <v>West Village Houses</v>
      </c>
      <c r="F8" s="25" t="s">
        <v>26</v>
      </c>
      <c r="G8" s="28">
        <v>950000.0</v>
      </c>
      <c r="H8" s="29"/>
      <c r="I8" s="28">
        <v>1581.0</v>
      </c>
      <c r="J8" s="28">
        <v>0.0</v>
      </c>
      <c r="K8" s="25" t="s">
        <v>25</v>
      </c>
      <c r="L8" s="26">
        <v>4.0</v>
      </c>
      <c r="M8" s="26">
        <v>2.0</v>
      </c>
      <c r="N8" s="26">
        <v>1.0</v>
      </c>
      <c r="O8" s="30"/>
      <c r="P8" s="30"/>
      <c r="Q8" s="31"/>
      <c r="R8" s="32">
        <v>45861.0</v>
      </c>
      <c r="S8" s="33"/>
      <c r="T8" s="29"/>
      <c r="U8" s="33"/>
      <c r="V8" s="1"/>
    </row>
    <row r="9" ht="24.0" customHeight="1">
      <c r="A9" s="1"/>
      <c r="B9" s="24" t="str">
        <f>HYPERLINK("https://www.compass.com/listing/205-east-10th-street-unit-3a-manhattan-ny-10003/1871242530435538465/view?agent_id=610d3f3370540700019b0833","205 E 10th St, Unit 3A")</f>
        <v>205 E 10th St, Unit 3A</v>
      </c>
      <c r="C9" s="25" t="s">
        <v>22</v>
      </c>
      <c r="D9" s="26" t="s">
        <v>23</v>
      </c>
      <c r="E9" s="27" t="str">
        <f>HYPERLINK("https://www.compass.com/building/205-e-10th-st-manhattan-ny-10003/281890490469584357/","205 E 10th St")</f>
        <v>205 E 10th St</v>
      </c>
      <c r="F9" s="25" t="s">
        <v>24</v>
      </c>
      <c r="G9" s="28">
        <v>1200000.0</v>
      </c>
      <c r="H9" s="29"/>
      <c r="I9" s="28">
        <v>2322.0</v>
      </c>
      <c r="J9" s="28">
        <v>0.0</v>
      </c>
      <c r="K9" s="25" t="s">
        <v>25</v>
      </c>
      <c r="L9" s="26">
        <v>5.0</v>
      </c>
      <c r="M9" s="26">
        <v>2.0</v>
      </c>
      <c r="N9" s="26">
        <v>1.0</v>
      </c>
      <c r="O9" s="30"/>
      <c r="P9" s="30"/>
      <c r="Q9" s="31"/>
      <c r="R9" s="32">
        <v>45833.0</v>
      </c>
      <c r="S9" s="33"/>
      <c r="T9" s="29"/>
      <c r="U9" s="33"/>
      <c r="V9" s="1"/>
    </row>
    <row r="10" ht="24.0" customHeight="1">
      <c r="A10" s="1"/>
      <c r="B10" s="24" t="str">
        <f>HYPERLINK("https://www.compass.com/listing/261-west-22nd-street-unit-23-manhattan-ny-10011/1890037762240808721/view?agent_id=610d3f3370540700019b0833","261 W 22nd St, Unit 23")</f>
        <v>261 W 22nd St, Unit 23</v>
      </c>
      <c r="C10" s="25" t="s">
        <v>22</v>
      </c>
      <c r="D10" s="26" t="s">
        <v>23</v>
      </c>
      <c r="E10" s="27" t="str">
        <f>HYPERLINK("https://www.compass.com/building/261-w-22nd-st-manhattan-ny-10011/281908158908093653/","261 W 22nd St")</f>
        <v>261 W 22nd St</v>
      </c>
      <c r="F10" s="25" t="s">
        <v>27</v>
      </c>
      <c r="G10" s="28">
        <v>525000.0</v>
      </c>
      <c r="H10" s="29"/>
      <c r="I10" s="28">
        <v>1662.0</v>
      </c>
      <c r="J10" s="28">
        <v>0.0</v>
      </c>
      <c r="K10" s="25" t="s">
        <v>25</v>
      </c>
      <c r="L10" s="26">
        <v>4.0</v>
      </c>
      <c r="M10" s="26">
        <v>2.0</v>
      </c>
      <c r="N10" s="26">
        <v>1.0</v>
      </c>
      <c r="O10" s="30"/>
      <c r="P10" s="30"/>
      <c r="Q10" s="31"/>
      <c r="R10" s="32">
        <v>45860.0</v>
      </c>
      <c r="S10" s="33"/>
      <c r="T10" s="29"/>
      <c r="U10" s="33"/>
      <c r="V10" s="1"/>
    </row>
    <row r="11" ht="24.0" customHeight="1">
      <c r="A11" s="1"/>
      <c r="B11" s="24" t="str">
        <f>HYPERLINK("https://www.compass.com/listing/311-east-11th-street-unit-2d-manhattan-ny-10003/1835031611195999273/view?agent_id=610d3f3370540700019b0833","311 E 11th St, Unit 2D")</f>
        <v>311 E 11th St, Unit 2D</v>
      </c>
      <c r="C11" s="25" t="s">
        <v>22</v>
      </c>
      <c r="D11" s="26" t="s">
        <v>23</v>
      </c>
      <c r="E11" s="27" t="str">
        <f>HYPERLINK("https://www.compass.com/building/the-village-green-manhattan-ny/281892209547025333/","The Village Green")</f>
        <v>The Village Green</v>
      </c>
      <c r="F11" s="25" t="s">
        <v>24</v>
      </c>
      <c r="G11" s="28">
        <v>1695000.0</v>
      </c>
      <c r="H11" s="28">
        <v>1892.0</v>
      </c>
      <c r="I11" s="28">
        <v>3029.0</v>
      </c>
      <c r="J11" s="28">
        <v>17424.0</v>
      </c>
      <c r="K11" s="25" t="s">
        <v>28</v>
      </c>
      <c r="L11" s="26">
        <v>3.0</v>
      </c>
      <c r="M11" s="26">
        <v>2.0</v>
      </c>
      <c r="N11" s="26">
        <v>1.0</v>
      </c>
      <c r="O11" s="26">
        <v>0.0</v>
      </c>
      <c r="P11" s="26">
        <v>896.0</v>
      </c>
      <c r="Q11" s="31"/>
      <c r="R11" s="32">
        <v>45791.0</v>
      </c>
      <c r="S11" s="33"/>
      <c r="T11" s="29"/>
      <c r="U11" s="33"/>
      <c r="V11" s="1"/>
    </row>
    <row r="12" ht="24.0" customHeight="1">
      <c r="A12" s="1"/>
      <c r="B12" s="24" t="str">
        <f>HYPERLINK("https://www.compass.com/listing/599-west-end-avenue-unit-5a-manhattan-ny-10024/1858053093052439409/view?agent_id=610d3f3370540700019b0833","599 West End Ave, Unit 5A")</f>
        <v>599 West End Ave, Unit 5A</v>
      </c>
      <c r="C12" s="25" t="s">
        <v>22</v>
      </c>
      <c r="D12" s="26" t="s">
        <v>23</v>
      </c>
      <c r="E12" s="27" t="str">
        <f t="shared" ref="E12:E13" si="1">HYPERLINK("https://www.compass.com/building/599-west-end-ave-manhattan-ny-10024/281925578204947237/","599 West End Ave")</f>
        <v>599 West End Ave</v>
      </c>
      <c r="F12" s="25" t="s">
        <v>29</v>
      </c>
      <c r="G12" s="28">
        <v>899000.0</v>
      </c>
      <c r="H12" s="29"/>
      <c r="I12" s="28">
        <v>1902.0</v>
      </c>
      <c r="J12" s="28">
        <v>0.0</v>
      </c>
      <c r="K12" s="25" t="s">
        <v>25</v>
      </c>
      <c r="L12" s="26">
        <v>4.0</v>
      </c>
      <c r="M12" s="26">
        <v>2.0</v>
      </c>
      <c r="N12" s="26">
        <v>1.0</v>
      </c>
      <c r="O12" s="26">
        <v>0.0</v>
      </c>
      <c r="P12" s="30"/>
      <c r="Q12" s="31"/>
      <c r="R12" s="32">
        <v>45826.0</v>
      </c>
      <c r="S12" s="33"/>
      <c r="T12" s="29"/>
      <c r="U12" s="33"/>
      <c r="V12" s="1"/>
    </row>
    <row r="13" ht="24.0" customHeight="1">
      <c r="A13" s="1"/>
      <c r="B13" s="24" t="str">
        <f>HYPERLINK("https://www.compass.com/listing/599-west-end-avenue-unit-3a-manhattan-ny-10024/1888725801758665137/view?agent_id=610d3f3370540700019b0833","599 West End Ave, Unit 3A")</f>
        <v>599 West End Ave, Unit 3A</v>
      </c>
      <c r="C13" s="25" t="s">
        <v>22</v>
      </c>
      <c r="D13" s="26" t="s">
        <v>23</v>
      </c>
      <c r="E13" s="27" t="str">
        <f t="shared" si="1"/>
        <v>599 West End Ave</v>
      </c>
      <c r="F13" s="25" t="s">
        <v>29</v>
      </c>
      <c r="G13" s="28">
        <v>950000.0</v>
      </c>
      <c r="H13" s="29"/>
      <c r="I13" s="28">
        <v>1789.0</v>
      </c>
      <c r="J13" s="28">
        <v>0.0</v>
      </c>
      <c r="K13" s="25" t="s">
        <v>25</v>
      </c>
      <c r="L13" s="26">
        <v>4.0</v>
      </c>
      <c r="M13" s="26">
        <v>2.0</v>
      </c>
      <c r="N13" s="26">
        <v>1.0</v>
      </c>
      <c r="O13" s="26">
        <v>0.0</v>
      </c>
      <c r="P13" s="30"/>
      <c r="Q13" s="31"/>
      <c r="R13" s="32">
        <v>45858.0</v>
      </c>
      <c r="S13" s="33"/>
      <c r="T13" s="29"/>
      <c r="U13" s="33"/>
      <c r="V13" s="1"/>
    </row>
    <row r="14" ht="24.0" customHeight="1">
      <c r="A14" s="1"/>
      <c r="B14" s="24" t="str">
        <f>HYPERLINK("https://www.compass.com/listing/110-clinton-avenue-unit-1c-brooklyn-ny-11205/1878480692741625137/view?agent_id=610d3f3370540700019b0833","110 Clinton Ave, Unit 1C")</f>
        <v>110 Clinton Ave, Unit 1C</v>
      </c>
      <c r="C14" s="25" t="s">
        <v>22</v>
      </c>
      <c r="D14" s="26" t="s">
        <v>23</v>
      </c>
      <c r="E14" s="27" t="str">
        <f>HYPERLINK("https://www.compass.com/building/110-clinton-ave-brooklyn-ny-11205/282500829473222565/","110 Clinton Ave")</f>
        <v>110 Clinton Ave</v>
      </c>
      <c r="F14" s="25" t="s">
        <v>30</v>
      </c>
      <c r="G14" s="28">
        <v>1395000.0</v>
      </c>
      <c r="H14" s="29"/>
      <c r="I14" s="28">
        <v>1262.0</v>
      </c>
      <c r="J14" s="28">
        <v>0.0</v>
      </c>
      <c r="K14" s="25" t="s">
        <v>25</v>
      </c>
      <c r="L14" s="26">
        <v>3.0</v>
      </c>
      <c r="M14" s="26">
        <v>2.0</v>
      </c>
      <c r="N14" s="26">
        <v>1.0</v>
      </c>
      <c r="O14" s="26">
        <v>0.0</v>
      </c>
      <c r="P14" s="30"/>
      <c r="Q14" s="31"/>
      <c r="R14" s="32">
        <v>45860.0</v>
      </c>
      <c r="S14" s="33"/>
      <c r="T14" s="29"/>
      <c r="U14" s="33"/>
      <c r="V14" s="1"/>
    </row>
    <row r="15" ht="24.0" customHeight="1">
      <c r="A15" s="1"/>
      <c r="B15" s="24" t="str">
        <f>HYPERLINK("https://www.compass.com/listing/317-west-93rd-street-unit-7c-manhattan-ny-10025/1892972430217619169/view?agent_id=610d3f3370540700019b0833","317 W 93rd St, Unit 7C")</f>
        <v>317 W 93rd St, Unit 7C</v>
      </c>
      <c r="C15" s="25" t="s">
        <v>22</v>
      </c>
      <c r="D15" s="26" t="s">
        <v>23</v>
      </c>
      <c r="E15" s="27" t="str">
        <f>HYPERLINK("https://www.compass.com/building/317-w-93rd-st-manhattan-ny-10025/281925891813055973/","317 W 93rd St")</f>
        <v>317 W 93rd St</v>
      </c>
      <c r="F15" s="25" t="s">
        <v>29</v>
      </c>
      <c r="G15" s="28">
        <v>600000.0</v>
      </c>
      <c r="H15" s="29"/>
      <c r="I15" s="28">
        <v>0.0</v>
      </c>
      <c r="J15" s="28">
        <v>0.0</v>
      </c>
      <c r="K15" s="25" t="s">
        <v>25</v>
      </c>
      <c r="L15" s="26">
        <v>4.0</v>
      </c>
      <c r="M15" s="26">
        <v>2.0</v>
      </c>
      <c r="N15" s="26">
        <v>1.0</v>
      </c>
      <c r="O15" s="26">
        <v>0.0</v>
      </c>
      <c r="P15" s="30"/>
      <c r="Q15" s="31"/>
      <c r="R15" s="32">
        <v>45863.0</v>
      </c>
      <c r="S15" s="33"/>
      <c r="T15" s="29"/>
      <c r="U15" s="33"/>
      <c r="V15" s="1"/>
    </row>
    <row r="16" ht="24.0" customHeight="1">
      <c r="A16" s="1"/>
      <c r="B16" s="24" t="str">
        <f>HYPERLINK("https://www.compass.com/listing/11-west-108th-street-unit-34-manhattan-ny-10025/1882070344476518761/view?agent_id=610d3f3370540700019b0833","11 W 108th St, Unit 34")</f>
        <v>11 W 108th St, Unit 34</v>
      </c>
      <c r="C16" s="25" t="s">
        <v>22</v>
      </c>
      <c r="D16" s="26" t="s">
        <v>23</v>
      </c>
      <c r="E16" s="27" t="str">
        <f>HYPERLINK("https://www.compass.com/building/11-w-108th-st-manhattan-ny-10025/281968347589987989/","11 W 108th St")</f>
        <v>11 W 108th St</v>
      </c>
      <c r="F16" s="25" t="s">
        <v>29</v>
      </c>
      <c r="G16" s="28">
        <v>475000.0</v>
      </c>
      <c r="H16" s="29"/>
      <c r="I16" s="28">
        <v>531.0</v>
      </c>
      <c r="J16" s="28">
        <v>0.0</v>
      </c>
      <c r="K16" s="25" t="s">
        <v>25</v>
      </c>
      <c r="L16" s="26">
        <v>4.0</v>
      </c>
      <c r="M16" s="26">
        <v>2.0</v>
      </c>
      <c r="N16" s="26">
        <v>1.0</v>
      </c>
      <c r="O16" s="30"/>
      <c r="P16" s="30"/>
      <c r="Q16" s="31"/>
      <c r="R16" s="32">
        <v>45848.0</v>
      </c>
      <c r="S16" s="33"/>
      <c r="T16" s="29"/>
      <c r="U16" s="33"/>
      <c r="V16" s="1"/>
    </row>
    <row r="17" ht="24.0" customHeight="1">
      <c r="A17" s="1"/>
      <c r="B17" s="24" t="str">
        <f>HYPERLINK("https://www.compass.com/listing/85-livingston-street-unit-17k-brooklyn-ny-11201/1590772667913938361/view?agent_id=610d3f3370540700019b0833","85 Livingston St, Unit 17K")</f>
        <v>85 Livingston St, Unit 17K</v>
      </c>
      <c r="C17" s="25" t="s">
        <v>22</v>
      </c>
      <c r="D17" s="26" t="s">
        <v>23</v>
      </c>
      <c r="E17" s="27" t="str">
        <f>HYPERLINK("https://www.compass.com/building/the-robert-livingston-brooklyn-ny/293425945753230197/","The Robert Livingston")</f>
        <v>The Robert Livingston</v>
      </c>
      <c r="F17" s="25" t="s">
        <v>31</v>
      </c>
      <c r="G17" s="28">
        <v>750000.0</v>
      </c>
      <c r="H17" s="29"/>
      <c r="I17" s="28">
        <v>1875.0</v>
      </c>
      <c r="J17" s="28">
        <v>0.0</v>
      </c>
      <c r="K17" s="25" t="s">
        <v>25</v>
      </c>
      <c r="L17" s="26">
        <v>4.0</v>
      </c>
      <c r="M17" s="26">
        <v>2.0</v>
      </c>
      <c r="N17" s="26">
        <v>1.0</v>
      </c>
      <c r="O17" s="30"/>
      <c r="P17" s="30"/>
      <c r="Q17" s="31"/>
      <c r="R17" s="32">
        <v>45769.0</v>
      </c>
      <c r="S17" s="33"/>
      <c r="T17" s="29"/>
      <c r="U17" s="33"/>
      <c r="V17" s="1"/>
    </row>
    <row r="18" ht="24.0" customHeight="1">
      <c r="A18" s="1"/>
      <c r="B18" s="24" t="str">
        <f>HYPERLINK("https://www.compass.com/listing/365-bridge-street-unit-7g-brooklyn-ny-11201/1839970484417112929/view?agent_id=610d3f3370540700019b0833","365 Bridge St, Unit 7G")</f>
        <v>365 Bridge St, Unit 7G</v>
      </c>
      <c r="C18" s="25" t="s">
        <v>22</v>
      </c>
      <c r="D18" s="26" t="s">
        <v>23</v>
      </c>
      <c r="E18" s="27" t="str">
        <f>HYPERLINK("https://www.compass.com/building/belltel-lofts-brooklyn-ny/282511553654250117/","BellTel Lofts")</f>
        <v>BellTel Lofts</v>
      </c>
      <c r="F18" s="25" t="s">
        <v>31</v>
      </c>
      <c r="G18" s="28">
        <v>1130000.0</v>
      </c>
      <c r="H18" s="28">
        <v>962.0</v>
      </c>
      <c r="I18" s="28">
        <v>1847.0</v>
      </c>
      <c r="J18" s="28">
        <v>10065.0</v>
      </c>
      <c r="K18" s="25" t="s">
        <v>28</v>
      </c>
      <c r="L18" s="26">
        <v>5.0</v>
      </c>
      <c r="M18" s="26">
        <v>2.0</v>
      </c>
      <c r="N18" s="26">
        <v>1.0</v>
      </c>
      <c r="O18" s="26">
        <v>0.0</v>
      </c>
      <c r="P18" s="34">
        <v>1175.0</v>
      </c>
      <c r="Q18" s="31"/>
      <c r="R18" s="32">
        <v>45861.0</v>
      </c>
      <c r="S18" s="33"/>
      <c r="T18" s="29"/>
      <c r="U18" s="33"/>
      <c r="V18" s="1"/>
    </row>
    <row r="19" ht="24.0" customHeight="1">
      <c r="A19" s="1"/>
      <c r="B19" s="24" t="str">
        <f>HYPERLINK("https://www.compass.com/listing/137-west-142nd-street-unit-2b-manhattan-ny-10030/1871258581860667185/view?agent_id=610d3f3370540700019b0833","137 W 142nd St, Unit 2B")</f>
        <v>137 W 142nd St, Unit 2B</v>
      </c>
      <c r="C19" s="25" t="s">
        <v>22</v>
      </c>
      <c r="D19" s="26" t="s">
        <v>23</v>
      </c>
      <c r="E19" s="27" t="str">
        <f>HYPERLINK("https://www.compass.com/building/137-w-142nd-st-manhattan-ny-10030/281927211290764421/","137 W 142nd St")</f>
        <v>137 W 142nd St</v>
      </c>
      <c r="F19" s="25" t="s">
        <v>32</v>
      </c>
      <c r="G19" s="28">
        <v>550000.0</v>
      </c>
      <c r="H19" s="29"/>
      <c r="I19" s="28">
        <v>1198.0</v>
      </c>
      <c r="J19" s="28">
        <v>0.0</v>
      </c>
      <c r="K19" s="25" t="s">
        <v>25</v>
      </c>
      <c r="L19" s="26">
        <v>5.0</v>
      </c>
      <c r="M19" s="26">
        <v>2.0</v>
      </c>
      <c r="N19" s="26">
        <v>1.0</v>
      </c>
      <c r="O19" s="30"/>
      <c r="P19" s="30"/>
      <c r="Q19" s="31"/>
      <c r="R19" s="32">
        <v>45833.0</v>
      </c>
      <c r="S19" s="33"/>
      <c r="T19" s="29"/>
      <c r="U19" s="33"/>
      <c r="V19" s="1"/>
    </row>
    <row r="20" ht="24.0" customHeight="1">
      <c r="A20" s="1"/>
      <c r="B20" s="24" t="str">
        <f>HYPERLINK("https://www.compass.com/listing/237-west-135th-street-unit-5e-manhattan-ny-10030/1828984759637212009/view?agent_id=610d3f3370540700019b0833","237 W 135th St, Unit 5E")</f>
        <v>237 W 135th St, Unit 5E</v>
      </c>
      <c r="C20" s="25" t="s">
        <v>22</v>
      </c>
      <c r="D20" s="26" t="s">
        <v>23</v>
      </c>
      <c r="E20" s="27" t="str">
        <f>HYPERLINK("https://www.compass.com/building/237-w-135th-st-manhattan-ny-10030/281994389503461301/","237 W 135th St")</f>
        <v>237 W 135th St</v>
      </c>
      <c r="F20" s="25" t="s">
        <v>32</v>
      </c>
      <c r="G20" s="28">
        <v>380000.0</v>
      </c>
      <c r="H20" s="29"/>
      <c r="I20" s="28">
        <v>873.0</v>
      </c>
      <c r="J20" s="28">
        <v>0.0</v>
      </c>
      <c r="K20" s="25" t="s">
        <v>25</v>
      </c>
      <c r="L20" s="26">
        <v>4.0</v>
      </c>
      <c r="M20" s="26">
        <v>2.0</v>
      </c>
      <c r="N20" s="26">
        <v>1.0</v>
      </c>
      <c r="O20" s="30"/>
      <c r="P20" s="30"/>
      <c r="Q20" s="31"/>
      <c r="R20" s="32">
        <v>45775.0</v>
      </c>
      <c r="S20" s="33"/>
      <c r="T20" s="29"/>
      <c r="U20" s="33"/>
      <c r="V20" s="1"/>
    </row>
    <row r="21" ht="24.0" customHeight="1">
      <c r="A21" s="1"/>
      <c r="B21" s="24" t="str">
        <f>HYPERLINK("https://www.compass.com/listing/35-50-85th-street-unit-9j-queens-ny-11372/1786319724846651641/view?agent_id=610d3f3370540700019b0833","35-50 85th St, Unit 9J")</f>
        <v>35-50 85th St, Unit 9J</v>
      </c>
      <c r="C21" s="25" t="s">
        <v>22</v>
      </c>
      <c r="D21" s="26" t="s">
        <v>23</v>
      </c>
      <c r="E21" s="27" t="str">
        <f>HYPERLINK("https://www.compass.com/building/roosevelt-terrace-queens-ny/293530660042211765/","Roosevelt Terrace")</f>
        <v>Roosevelt Terrace</v>
      </c>
      <c r="F21" s="25" t="s">
        <v>33</v>
      </c>
      <c r="G21" s="28">
        <v>410000.0</v>
      </c>
      <c r="H21" s="29"/>
      <c r="I21" s="28">
        <v>901.0</v>
      </c>
      <c r="J21" s="28">
        <v>0.0</v>
      </c>
      <c r="K21" s="25" t="s">
        <v>25</v>
      </c>
      <c r="L21" s="26">
        <v>5.0</v>
      </c>
      <c r="M21" s="26">
        <v>2.0</v>
      </c>
      <c r="N21" s="26">
        <v>1.0</v>
      </c>
      <c r="O21" s="26">
        <v>0.0</v>
      </c>
      <c r="P21" s="30"/>
      <c r="Q21" s="31"/>
      <c r="R21" s="32">
        <v>45819.0</v>
      </c>
      <c r="S21" s="32">
        <v>45728.0</v>
      </c>
      <c r="T21" s="29"/>
      <c r="U21" s="33"/>
      <c r="V21" s="1"/>
    </row>
    <row r="22" ht="24.0" customHeight="1">
      <c r="A22" s="1"/>
      <c r="B22" s="24" t="str">
        <f>HYPERLINK("https://www.compass.com/listing/839-east-19th-street-unit-4d-brooklyn-ny-11230/1725653676169273097/view?agent_id=610d3f3370540700019b0833","839 E 19th St, Unit 4D")</f>
        <v>839 E 19th St, Unit 4D</v>
      </c>
      <c r="C22" s="25" t="s">
        <v>22</v>
      </c>
      <c r="D22" s="26" t="s">
        <v>23</v>
      </c>
      <c r="E22" s="27" t="str">
        <f>HYPERLINK("https://www.compass.com/building/839-e-19th-st-brooklyn-ny-11230/307432239444726037/","839 E 19th St")</f>
        <v>839 E 19th St</v>
      </c>
      <c r="F22" s="25" t="s">
        <v>34</v>
      </c>
      <c r="G22" s="28">
        <v>500000.0</v>
      </c>
      <c r="H22" s="28">
        <v>593.0</v>
      </c>
      <c r="I22" s="28">
        <v>805.0</v>
      </c>
      <c r="J22" s="28">
        <v>3524.0</v>
      </c>
      <c r="K22" s="25" t="s">
        <v>28</v>
      </c>
      <c r="L22" s="26">
        <v>5.0</v>
      </c>
      <c r="M22" s="26">
        <v>2.0</v>
      </c>
      <c r="N22" s="26">
        <v>1.0</v>
      </c>
      <c r="O22" s="30"/>
      <c r="P22" s="26">
        <v>843.0</v>
      </c>
      <c r="Q22" s="31"/>
      <c r="R22" s="32">
        <v>45824.0</v>
      </c>
      <c r="S22" s="33"/>
      <c r="T22" s="29"/>
      <c r="U22" s="33"/>
      <c r="V22" s="1"/>
    </row>
    <row r="23" ht="24.0" customHeight="1">
      <c r="A23" s="1"/>
      <c r="B23" s="24" t="str">
        <f>HYPERLINK("https://www.compass.com/listing/3-22-beach-88th-street-queens-ny-11693/1810391414191151065/view?agent_id=610d3f3370540700019b0833","3-22 Beach 88th St")</f>
        <v>3-22 Beach 88th St</v>
      </c>
      <c r="C23" s="25" t="s">
        <v>22</v>
      </c>
      <c r="D23" s="26" t="s">
        <v>23</v>
      </c>
      <c r="E23" s="27" t="str">
        <f>HYPERLINK("https://www.compass.com/building/3-22-beach-88th-st-queens-ny-11693/293532086902555237/","3-22 Beach 88th St")</f>
        <v>3-22 Beach 88th St</v>
      </c>
      <c r="F23" s="25" t="s">
        <v>35</v>
      </c>
      <c r="G23" s="28">
        <v>750000.0</v>
      </c>
      <c r="H23" s="28">
        <v>915.0</v>
      </c>
      <c r="I23" s="28">
        <v>265.0</v>
      </c>
      <c r="J23" s="28">
        <v>3180.0</v>
      </c>
      <c r="K23" s="25" t="s">
        <v>36</v>
      </c>
      <c r="L23" s="26">
        <v>4.0</v>
      </c>
      <c r="M23" s="26">
        <v>2.0</v>
      </c>
      <c r="N23" s="26">
        <v>1.0</v>
      </c>
      <c r="O23" s="30"/>
      <c r="P23" s="26">
        <v>820.0</v>
      </c>
      <c r="Q23" s="31"/>
      <c r="R23" s="32">
        <v>45860.0</v>
      </c>
      <c r="S23" s="33"/>
      <c r="T23" s="29"/>
      <c r="U23" s="33"/>
      <c r="V23" s="1"/>
    </row>
    <row r="24" ht="24.0" customHeight="1">
      <c r="A24" s="1"/>
      <c r="B24" s="24" t="str">
        <f>HYPERLINK("https://www.compass.com/listing/217-20-73rd-avenue-fl-1-queens-ny-11364/1795926104162590441/view?agent_id=610d3f3370540700019b0833","217-20 73rd Ave, Fl 1")</f>
        <v>217-20 73rd Ave, Fl 1</v>
      </c>
      <c r="C24" s="25" t="s">
        <v>22</v>
      </c>
      <c r="D24" s="26" t="s">
        <v>23</v>
      </c>
      <c r="E24" s="27" t="str">
        <f>HYPERLINK("https://www.compass.com/building/217-20-73rd-ave-queens-ny-11364/307438417461561029/","217-20 73rd Ave")</f>
        <v>217-20 73rd Ave</v>
      </c>
      <c r="F24" s="25" t="s">
        <v>37</v>
      </c>
      <c r="G24" s="28">
        <v>349999.0</v>
      </c>
      <c r="H24" s="29"/>
      <c r="I24" s="28">
        <v>1200.0</v>
      </c>
      <c r="J24" s="28">
        <v>0.0</v>
      </c>
      <c r="K24" s="25" t="s">
        <v>25</v>
      </c>
      <c r="L24" s="26">
        <v>6.0</v>
      </c>
      <c r="M24" s="26">
        <v>2.0</v>
      </c>
      <c r="N24" s="26">
        <v>1.0</v>
      </c>
      <c r="O24" s="26">
        <v>0.0</v>
      </c>
      <c r="P24" s="30"/>
      <c r="Q24" s="31"/>
      <c r="R24" s="32">
        <v>45743.0</v>
      </c>
      <c r="S24" s="33"/>
      <c r="T24" s="29"/>
      <c r="U24" s="33"/>
      <c r="V24" s="1"/>
    </row>
    <row r="25" ht="24.0" customHeight="1">
      <c r="A25" s="1"/>
      <c r="B25" s="24" t="str">
        <f>HYPERLINK("https://www.compass.com/listing/75-50-bell-boulevard-unit-3f-queens-ny-11364/1652208482284095729/view?agent_id=610d3f3370540700019b0833","75-50 Bell Blvd, Unit 3F")</f>
        <v>75-50 Bell Blvd, Unit 3F</v>
      </c>
      <c r="C25" s="25" t="s">
        <v>22</v>
      </c>
      <c r="D25" s="26" t="s">
        <v>23</v>
      </c>
      <c r="E25" s="27" t="str">
        <f>HYPERLINK("https://www.compass.com/building/75-50-bell-blvd-queens-ny-11364/307453467043757573/","75-50 Bell Blvd")</f>
        <v>75-50 Bell Blvd</v>
      </c>
      <c r="F25" s="25" t="s">
        <v>37</v>
      </c>
      <c r="G25" s="28">
        <v>365000.0</v>
      </c>
      <c r="H25" s="29"/>
      <c r="I25" s="28">
        <v>801.0</v>
      </c>
      <c r="J25" s="28">
        <v>0.0</v>
      </c>
      <c r="K25" s="25" t="s">
        <v>25</v>
      </c>
      <c r="L25" s="26">
        <v>5.0</v>
      </c>
      <c r="M25" s="26">
        <v>2.0</v>
      </c>
      <c r="N25" s="26">
        <v>1.0</v>
      </c>
      <c r="O25" s="30"/>
      <c r="P25" s="30"/>
      <c r="Q25" s="31"/>
      <c r="R25" s="32">
        <v>45533.0</v>
      </c>
      <c r="S25" s="33"/>
      <c r="T25" s="29"/>
      <c r="U25" s="33"/>
      <c r="V25" s="1"/>
    </row>
    <row r="26" ht="24.0" customHeight="1">
      <c r="A26" s="1"/>
      <c r="B26" s="24" t="str">
        <f>HYPERLINK("https://www.compass.com/listing/217-14-73rd-avenue-unit-1-queens-ny-11364/1856772919212008689/view?agent_id=610d3f3370540700019b0833","217-14 73rd Ave, Unit 1")</f>
        <v>217-14 73rd Ave, Unit 1</v>
      </c>
      <c r="C26" s="25" t="s">
        <v>22</v>
      </c>
      <c r="D26" s="26" t="s">
        <v>23</v>
      </c>
      <c r="E26" s="27" t="str">
        <f>HYPERLINK("https://www.compass.com/building/217-14-73rd-ave-queens-ny-11364/307450640342857285/","217-14 73rd Ave")</f>
        <v>217-14 73rd Ave</v>
      </c>
      <c r="F26" s="25" t="s">
        <v>37</v>
      </c>
      <c r="G26" s="28">
        <v>349999.0</v>
      </c>
      <c r="H26" s="28">
        <v>467.0</v>
      </c>
      <c r="I26" s="28">
        <v>0.0</v>
      </c>
      <c r="J26" s="29"/>
      <c r="K26" s="25" t="s">
        <v>25</v>
      </c>
      <c r="L26" s="26">
        <v>5.0</v>
      </c>
      <c r="M26" s="26">
        <v>2.0</v>
      </c>
      <c r="N26" s="26">
        <v>1.0</v>
      </c>
      <c r="O26" s="30"/>
      <c r="P26" s="26">
        <v>750.0</v>
      </c>
      <c r="Q26" s="31"/>
      <c r="R26" s="32">
        <v>45814.0</v>
      </c>
      <c r="S26" s="33"/>
      <c r="T26" s="29"/>
      <c r="U26" s="33"/>
      <c r="V26" s="1"/>
    </row>
    <row r="27" ht="24.0" customHeight="1">
      <c r="A27" s="1"/>
      <c r="B27" s="24" t="str">
        <f>HYPERLINK("https://www.compass.com/listing/217-10-73rd-avenue-queens-ny-11364/1856771780819321873/view?agent_id=610d3f3370540700019b0833","217-10 73rd Ave, Unit 1")</f>
        <v>217-10 73rd Ave, Unit 1</v>
      </c>
      <c r="C27" s="25" t="s">
        <v>22</v>
      </c>
      <c r="D27" s="26" t="s">
        <v>23</v>
      </c>
      <c r="E27" s="26" t="s">
        <v>38</v>
      </c>
      <c r="F27" s="25" t="s">
        <v>37</v>
      </c>
      <c r="G27" s="28">
        <v>349999.0</v>
      </c>
      <c r="H27" s="28">
        <v>467.0</v>
      </c>
      <c r="I27" s="28">
        <v>0.0</v>
      </c>
      <c r="J27" s="28">
        <v>0.0</v>
      </c>
      <c r="K27" s="25" t="s">
        <v>25</v>
      </c>
      <c r="L27" s="26">
        <v>5.0</v>
      </c>
      <c r="M27" s="26">
        <v>2.0</v>
      </c>
      <c r="N27" s="26">
        <v>1.0</v>
      </c>
      <c r="O27" s="26">
        <v>0.0</v>
      </c>
      <c r="P27" s="26">
        <v>750.0</v>
      </c>
      <c r="Q27" s="31"/>
      <c r="R27" s="32">
        <v>45813.0</v>
      </c>
      <c r="S27" s="33"/>
      <c r="T27" s="29"/>
      <c r="U27" s="33"/>
      <c r="V27" s="1"/>
    </row>
    <row r="28" ht="24.0" customHeight="1">
      <c r="A28" s="1"/>
      <c r="B28" s="24" t="str">
        <f>HYPERLINK("https://www.compass.com/listing/251-west-98th-street-unit-1b-manhattan-ny-10025/1891385603224079897/view?agent_id=610d3f3370540700019b0833","251 W 98th St, Unit 1B")</f>
        <v>251 W 98th St, Unit 1B</v>
      </c>
      <c r="C28" s="25" t="s">
        <v>22</v>
      </c>
      <c r="D28" s="26" t="s">
        <v>23</v>
      </c>
      <c r="E28" s="27" t="str">
        <f>HYPERLINK("https://www.compass.com/building/the-andrew-condominium-manhattan-ny/281969987411859109/","The Andrew Condominium")</f>
        <v>The Andrew Condominium</v>
      </c>
      <c r="F28" s="25" t="s">
        <v>29</v>
      </c>
      <c r="G28" s="28">
        <v>1100000.0</v>
      </c>
      <c r="H28" s="28">
        <v>1239.0</v>
      </c>
      <c r="I28" s="28">
        <v>1543.0</v>
      </c>
      <c r="J28" s="28">
        <v>8880.0</v>
      </c>
      <c r="K28" s="25" t="s">
        <v>28</v>
      </c>
      <c r="L28" s="26">
        <v>5.0</v>
      </c>
      <c r="M28" s="26">
        <v>2.0</v>
      </c>
      <c r="N28" s="26">
        <v>1.0</v>
      </c>
      <c r="O28" s="30"/>
      <c r="P28" s="26">
        <v>888.0</v>
      </c>
      <c r="Q28" s="35">
        <v>2.0</v>
      </c>
      <c r="R28" s="32">
        <v>45861.0</v>
      </c>
      <c r="S28" s="32">
        <v>45861.0</v>
      </c>
      <c r="T28" s="29"/>
      <c r="U28" s="33"/>
      <c r="V28" s="1"/>
    </row>
    <row r="29" ht="24.0" customHeight="1">
      <c r="A29" s="1"/>
      <c r="B29" s="24" t="str">
        <f>HYPERLINK("https://www.compass.com/listing/295-st-johns-place-unit-3g-brooklyn-ny-11238/1883738862726131209/view?agent_id=610d3f3370540700019b0833","295 St Johns Pl, Unit 3G")</f>
        <v>295 St Johns Pl, Unit 3G</v>
      </c>
      <c r="C29" s="25" t="s">
        <v>22</v>
      </c>
      <c r="D29" s="26" t="s">
        <v>23</v>
      </c>
      <c r="E29" s="27" t="str">
        <f>HYPERLINK("https://www.compass.com/building/the-mews-at-grand-army-plaza-brooklyn-ny/293420182569810133/","The Mews at Grand Army Plaza")</f>
        <v>The Mews at Grand Army Plaza</v>
      </c>
      <c r="F29" s="25" t="s">
        <v>39</v>
      </c>
      <c r="G29" s="28">
        <v>1295000.0</v>
      </c>
      <c r="H29" s="29"/>
      <c r="I29" s="28">
        <v>1200.0</v>
      </c>
      <c r="J29" s="28">
        <v>0.0</v>
      </c>
      <c r="K29" s="25" t="s">
        <v>25</v>
      </c>
      <c r="L29" s="26">
        <v>4.0</v>
      </c>
      <c r="M29" s="26">
        <v>2.0</v>
      </c>
      <c r="N29" s="26">
        <v>1.0</v>
      </c>
      <c r="O29" s="26">
        <v>0.0</v>
      </c>
      <c r="P29" s="30"/>
      <c r="Q29" s="35">
        <v>9.0</v>
      </c>
      <c r="R29" s="32">
        <v>45861.0</v>
      </c>
      <c r="S29" s="32">
        <v>45854.0</v>
      </c>
      <c r="T29" s="29"/>
      <c r="U29" s="33"/>
      <c r="V29" s="1"/>
    </row>
    <row r="30" ht="24.0" customHeight="1">
      <c r="A30" s="1"/>
      <c r="B30" s="24" t="str">
        <f>HYPERLINK("https://www.compass.com/listing/255-west-23rd-street-unit-4hw-manhattan-ny-10011/1860370778478283529/view?agent_id=610d3f3370540700019b0833","255 W 23rd St, Unit 4HW")</f>
        <v>255 W 23rd St, Unit 4HW</v>
      </c>
      <c r="C30" s="25" t="s">
        <v>22</v>
      </c>
      <c r="D30" s="26" t="s">
        <v>23</v>
      </c>
      <c r="E30" s="27" t="str">
        <f>HYPERLINK("https://www.compass.com/building/255-w-23rd-st-manhattan-ny-10011/281908028674956517/","255 W 23rd St")</f>
        <v>255 W 23rd St</v>
      </c>
      <c r="F30" s="25" t="s">
        <v>27</v>
      </c>
      <c r="G30" s="28">
        <v>1400000.0</v>
      </c>
      <c r="H30" s="29"/>
      <c r="I30" s="28">
        <v>1785.0</v>
      </c>
      <c r="J30" s="28">
        <v>0.0</v>
      </c>
      <c r="K30" s="25" t="s">
        <v>25</v>
      </c>
      <c r="L30" s="26">
        <v>5.0</v>
      </c>
      <c r="M30" s="26">
        <v>2.0</v>
      </c>
      <c r="N30" s="26">
        <v>1.0</v>
      </c>
      <c r="O30" s="30"/>
      <c r="P30" s="30"/>
      <c r="Q30" s="35">
        <v>9.0</v>
      </c>
      <c r="R30" s="32">
        <v>45861.0</v>
      </c>
      <c r="S30" s="32">
        <v>45854.0</v>
      </c>
      <c r="T30" s="29"/>
      <c r="U30" s="33"/>
      <c r="V30" s="1"/>
    </row>
    <row r="31" ht="24.0" customHeight="1">
      <c r="A31" s="1"/>
      <c r="B31" s="24" t="str">
        <f>HYPERLINK("https://www.compass.com/listing/1209-8th-avenue-unit-4l-brooklyn-ny-11215/1881532832398517585/view?agent_id=610d3f3370540700019b0833","1209 8th Ave, Unit 4L")</f>
        <v>1209 8th Ave, Unit 4L</v>
      </c>
      <c r="C31" s="25" t="s">
        <v>22</v>
      </c>
      <c r="D31" s="26" t="s">
        <v>23</v>
      </c>
      <c r="E31" s="27" t="str">
        <f>HYPERLINK("https://www.compass.com/building/1209-8th-ave-brooklyn-ny-11215/282500082367018549/","1209 8th Ave")</f>
        <v>1209 8th Ave</v>
      </c>
      <c r="F31" s="25" t="s">
        <v>40</v>
      </c>
      <c r="G31" s="28">
        <v>999000.0</v>
      </c>
      <c r="H31" s="29"/>
      <c r="I31" s="28">
        <v>946.0</v>
      </c>
      <c r="J31" s="28">
        <v>0.0</v>
      </c>
      <c r="K31" s="25" t="s">
        <v>25</v>
      </c>
      <c r="L31" s="26">
        <v>5.0</v>
      </c>
      <c r="M31" s="26">
        <v>2.0</v>
      </c>
      <c r="N31" s="26">
        <v>1.0</v>
      </c>
      <c r="O31" s="30"/>
      <c r="P31" s="30"/>
      <c r="Q31" s="35">
        <v>9.0</v>
      </c>
      <c r="R31" s="32">
        <v>45862.0</v>
      </c>
      <c r="S31" s="32">
        <v>45854.0</v>
      </c>
      <c r="T31" s="29"/>
      <c r="U31" s="33"/>
      <c r="V31" s="1"/>
    </row>
    <row r="32" ht="24.0" customHeight="1">
      <c r="A32" s="1"/>
      <c r="B32" s="24" t="str">
        <f>HYPERLINK("https://www.compass.com/listing/527-west-110th-street-unit-84-manhattan-ny-10025/1850894661568952433/view?agent_id=610d3f3370540700019b0833","527 W 110th St, Unit 84")</f>
        <v>527 W 110th St, Unit 84</v>
      </c>
      <c r="C32" s="25" t="s">
        <v>22</v>
      </c>
      <c r="D32" s="26" t="s">
        <v>23</v>
      </c>
      <c r="E32" s="27" t="str">
        <f>HYPERLINK("https://www.compass.com/building/527-w-110th-st-manhattan-ny-10025/307447929144912853/","527 W 110th St")</f>
        <v>527 W 110th St</v>
      </c>
      <c r="F32" s="25" t="s">
        <v>41</v>
      </c>
      <c r="G32" s="28">
        <v>799000.0</v>
      </c>
      <c r="H32" s="28">
        <v>1203.0</v>
      </c>
      <c r="I32" s="28">
        <v>1690.0</v>
      </c>
      <c r="J32" s="28">
        <v>8180.0</v>
      </c>
      <c r="K32" s="25" t="s">
        <v>42</v>
      </c>
      <c r="L32" s="26">
        <v>4.0</v>
      </c>
      <c r="M32" s="26">
        <v>2.0</v>
      </c>
      <c r="N32" s="26">
        <v>1.0</v>
      </c>
      <c r="O32" s="30"/>
      <c r="P32" s="26">
        <v>664.0</v>
      </c>
      <c r="Q32" s="35">
        <v>8.0</v>
      </c>
      <c r="R32" s="32">
        <v>45856.0</v>
      </c>
      <c r="S32" s="32">
        <v>45855.0</v>
      </c>
      <c r="T32" s="29"/>
      <c r="U32" s="33"/>
      <c r="V32" s="1"/>
    </row>
    <row r="33" ht="24.0" customHeight="1">
      <c r="A33" s="1"/>
      <c r="B33" s="24" t="str">
        <f>HYPERLINK("https://www.compass.com/listing/55-east-9th-street-unit-1f-manhattan-ny-10003/1874596010801907697/view?agent_id=610d3f3370540700019b0833","55 E 9th St, Unit 1F")</f>
        <v>55 E 9th St, Unit 1F</v>
      </c>
      <c r="C33" s="25" t="s">
        <v>22</v>
      </c>
      <c r="D33" s="26" t="s">
        <v>23</v>
      </c>
      <c r="E33" s="27" t="str">
        <f>HYPERLINK("https://www.compass.com/building/55-e-9th-st-manhattan-ny-10003/292785859109861301/","55 E 9th St")</f>
        <v>55 E 9th St</v>
      </c>
      <c r="F33" s="25" t="s">
        <v>43</v>
      </c>
      <c r="G33" s="28">
        <v>1150000.0</v>
      </c>
      <c r="H33" s="29"/>
      <c r="I33" s="28">
        <v>1863.0</v>
      </c>
      <c r="J33" s="28">
        <v>0.0</v>
      </c>
      <c r="K33" s="25" t="s">
        <v>25</v>
      </c>
      <c r="L33" s="26">
        <v>4.0</v>
      </c>
      <c r="M33" s="26">
        <v>2.0</v>
      </c>
      <c r="N33" s="26">
        <v>1.0</v>
      </c>
      <c r="O33" s="30"/>
      <c r="P33" s="30"/>
      <c r="Q33" s="35">
        <v>25.0</v>
      </c>
      <c r="R33" s="32">
        <v>45862.0</v>
      </c>
      <c r="S33" s="32">
        <v>45838.0</v>
      </c>
      <c r="T33" s="29"/>
      <c r="U33" s="33"/>
      <c r="V33" s="1"/>
    </row>
    <row r="34" ht="24.0" customHeight="1">
      <c r="A34" s="1"/>
      <c r="B34" s="24" t="str">
        <f>HYPERLINK("https://www.compass.com/listing/525-east-89th-street-unit-1e-manhattan-ny-10128/1886397112701905433/view?agent_id=610d3f3370540700019b0833","525 E 89th St, Unit 1E")</f>
        <v>525 E 89th St, Unit 1E</v>
      </c>
      <c r="C34" s="25" t="s">
        <v>22</v>
      </c>
      <c r="D34" s="26" t="s">
        <v>23</v>
      </c>
      <c r="E34" s="27" t="str">
        <f>HYPERLINK("https://www.compass.com/building/gracie-gardens-manhattan-ny/282053097646223109/","Gracie Gardens")</f>
        <v>Gracie Gardens</v>
      </c>
      <c r="F34" s="25" t="s">
        <v>44</v>
      </c>
      <c r="G34" s="28">
        <v>795000.0</v>
      </c>
      <c r="H34" s="28">
        <v>837.0</v>
      </c>
      <c r="I34" s="28">
        <v>1896.0</v>
      </c>
      <c r="J34" s="28">
        <v>0.0</v>
      </c>
      <c r="K34" s="25" t="s">
        <v>25</v>
      </c>
      <c r="L34" s="26">
        <v>5.0</v>
      </c>
      <c r="M34" s="26">
        <v>2.0</v>
      </c>
      <c r="N34" s="26">
        <v>1.0</v>
      </c>
      <c r="O34" s="26">
        <v>0.0</v>
      </c>
      <c r="P34" s="26">
        <v>950.0</v>
      </c>
      <c r="Q34" s="35">
        <v>9.0</v>
      </c>
      <c r="R34" s="32">
        <v>45854.0</v>
      </c>
      <c r="S34" s="32">
        <v>45854.0</v>
      </c>
      <c r="T34" s="29"/>
      <c r="U34" s="33"/>
      <c r="V34" s="1"/>
    </row>
    <row r="35" ht="24.0" customHeight="1">
      <c r="A35" s="1"/>
      <c r="B35" s="24" t="str">
        <f>HYPERLINK("https://www.compass.com/listing/65-west-107th-street-unit-2d-manhattan-ny-10025/1858833621276384649/view?agent_id=610d3f3370540700019b0833","65 W 107th St, Unit 2D")</f>
        <v>65 W 107th St, Unit 2D</v>
      </c>
      <c r="C35" s="25" t="s">
        <v>22</v>
      </c>
      <c r="D35" s="26" t="s">
        <v>23</v>
      </c>
      <c r="E35" s="27" t="str">
        <f>HYPERLINK("https://www.compass.com/building/65-w-107th-st-manhattan-ny-10025/282066496291642261/","65 W 107th St")</f>
        <v>65 W 107th St</v>
      </c>
      <c r="F35" s="25" t="s">
        <v>29</v>
      </c>
      <c r="G35" s="28">
        <v>599000.0</v>
      </c>
      <c r="H35" s="28">
        <v>1126.0</v>
      </c>
      <c r="I35" s="28">
        <v>1311.0</v>
      </c>
      <c r="J35" s="28">
        <v>6309.0</v>
      </c>
      <c r="K35" s="25" t="s">
        <v>28</v>
      </c>
      <c r="L35" s="26">
        <v>2.0</v>
      </c>
      <c r="M35" s="26">
        <v>2.0</v>
      </c>
      <c r="N35" s="26">
        <v>1.0</v>
      </c>
      <c r="O35" s="30"/>
      <c r="P35" s="26">
        <v>532.0</v>
      </c>
      <c r="Q35" s="35">
        <v>47.0</v>
      </c>
      <c r="R35" s="32">
        <v>45816.0</v>
      </c>
      <c r="S35" s="32">
        <v>45816.0</v>
      </c>
      <c r="T35" s="29"/>
      <c r="U35" s="33"/>
      <c r="V35" s="1"/>
    </row>
    <row r="36" ht="24.0" customHeight="1">
      <c r="A36" s="1"/>
      <c r="B36" s="24" t="str">
        <f>HYPERLINK("https://www.compass.com/listing/224-east-11th-street-unit-19-manhattan-ny-10003/1855387645806647489/view?agent_id=610d3f3370540700019b0833","224 E 11th St, Unit 19")</f>
        <v>224 E 11th St, Unit 19</v>
      </c>
      <c r="C36" s="25" t="s">
        <v>22</v>
      </c>
      <c r="D36" s="26" t="s">
        <v>23</v>
      </c>
      <c r="E36" s="27" t="str">
        <f>HYPERLINK("https://www.compass.com/building/224-e-11th-st-manhattan-ny-10003/281891141257793765/","224 E 11th St")</f>
        <v>224 E 11th St</v>
      </c>
      <c r="F36" s="25" t="s">
        <v>24</v>
      </c>
      <c r="G36" s="28">
        <v>879000.0</v>
      </c>
      <c r="H36" s="29"/>
      <c r="I36" s="28">
        <v>1280.0</v>
      </c>
      <c r="J36" s="28">
        <v>0.0</v>
      </c>
      <c r="K36" s="25" t="s">
        <v>25</v>
      </c>
      <c r="L36" s="26">
        <v>4.0</v>
      </c>
      <c r="M36" s="26">
        <v>2.0</v>
      </c>
      <c r="N36" s="26">
        <v>1.0</v>
      </c>
      <c r="O36" s="30"/>
      <c r="P36" s="30"/>
      <c r="Q36" s="35">
        <v>24.0</v>
      </c>
      <c r="R36" s="32">
        <v>45859.0</v>
      </c>
      <c r="S36" s="32">
        <v>45839.0</v>
      </c>
      <c r="T36" s="29"/>
      <c r="U36" s="33"/>
      <c r="V36" s="1"/>
    </row>
    <row r="37" ht="24.0" customHeight="1">
      <c r="A37" s="1"/>
      <c r="B37" s="24" t="str">
        <f>HYPERLINK("https://www.compass.com/listing/279-1st-street-unit-4c-brooklyn-ny-11215/1880551875574454881/view?agent_id=610d3f3370540700019b0833","279 1st St, Unit 4C")</f>
        <v>279 1st St, Unit 4C</v>
      </c>
      <c r="C37" s="25" t="s">
        <v>22</v>
      </c>
      <c r="D37" s="26" t="s">
        <v>23</v>
      </c>
      <c r="E37" s="27" t="str">
        <f>HYPERLINK("https://www.compass.com/building/279-1st-st-brooklyn-ny-11215/282500185110686917/","279 1st St")</f>
        <v>279 1st St</v>
      </c>
      <c r="F37" s="25" t="s">
        <v>40</v>
      </c>
      <c r="G37" s="28">
        <v>995000.0</v>
      </c>
      <c r="H37" s="29"/>
      <c r="I37" s="28">
        <v>971.0</v>
      </c>
      <c r="J37" s="28">
        <v>0.0</v>
      </c>
      <c r="K37" s="25" t="s">
        <v>25</v>
      </c>
      <c r="L37" s="26">
        <v>4.0</v>
      </c>
      <c r="M37" s="26">
        <v>2.0</v>
      </c>
      <c r="N37" s="26">
        <v>1.0</v>
      </c>
      <c r="O37" s="30"/>
      <c r="P37" s="30"/>
      <c r="Q37" s="35">
        <v>17.0</v>
      </c>
      <c r="R37" s="32">
        <v>45862.0</v>
      </c>
      <c r="S37" s="32">
        <v>45846.0</v>
      </c>
      <c r="T37" s="29"/>
      <c r="U37" s="33"/>
      <c r="V37" s="1"/>
    </row>
    <row r="38" ht="24.0" customHeight="1">
      <c r="A38" s="1"/>
      <c r="B38" s="24" t="str">
        <f>HYPERLINK("https://www.compass.com/listing/161-west-15th-street-unit-4c-manhattan-ny-10011/1862373221805456153/view?agent_id=610d3f3370540700019b0833","161 W 15th St, Unit 4C")</f>
        <v>161 W 15th St, Unit 4C</v>
      </c>
      <c r="C38" s="25" t="s">
        <v>22</v>
      </c>
      <c r="D38" s="26" t="s">
        <v>23</v>
      </c>
      <c r="E38" s="27" t="str">
        <f>HYPERLINK("https://www.compass.com/building/161-w-15th-st-manhattan-ny-10011/292807987511197445/","161 W 15th St")</f>
        <v>161 W 15th St</v>
      </c>
      <c r="F38" s="25" t="s">
        <v>27</v>
      </c>
      <c r="G38" s="28">
        <v>1925000.0</v>
      </c>
      <c r="H38" s="29"/>
      <c r="I38" s="28">
        <v>2537.0</v>
      </c>
      <c r="J38" s="28">
        <v>0.0</v>
      </c>
      <c r="K38" s="25" t="s">
        <v>25</v>
      </c>
      <c r="L38" s="26">
        <v>4.0</v>
      </c>
      <c r="M38" s="26">
        <v>2.0</v>
      </c>
      <c r="N38" s="26">
        <v>1.0</v>
      </c>
      <c r="O38" s="30"/>
      <c r="P38" s="30"/>
      <c r="Q38" s="35">
        <v>42.0</v>
      </c>
      <c r="R38" s="32">
        <v>45835.0</v>
      </c>
      <c r="S38" s="32">
        <v>45821.0</v>
      </c>
      <c r="T38" s="29"/>
      <c r="U38" s="33"/>
      <c r="V38" s="1"/>
    </row>
    <row r="39" ht="24.0" customHeight="1">
      <c r="A39" s="1"/>
      <c r="B39" s="24" t="str">
        <f>HYPERLINK("https://www.compass.com/listing/157-west-123rd-street-unit-2a-manhattan-ny-10027/1887227470095546121/view?agent_id=610d3f3370540700019b0833","157 W 123rd St, Unit 2A")</f>
        <v>157 W 123rd St, Unit 2A</v>
      </c>
      <c r="C39" s="25" t="s">
        <v>22</v>
      </c>
      <c r="D39" s="26" t="s">
        <v>23</v>
      </c>
      <c r="E39" s="27" t="str">
        <f>HYPERLINK("https://www.compass.com/building/157-w-123rd-st-manhattan-ny-10027/281979269415009461/","157 W 123rd St")</f>
        <v>157 W 123rd St</v>
      </c>
      <c r="F39" s="25" t="s">
        <v>45</v>
      </c>
      <c r="G39" s="28">
        <v>385000.0</v>
      </c>
      <c r="H39" s="29"/>
      <c r="I39" s="28">
        <v>630.0</v>
      </c>
      <c r="J39" s="28">
        <v>0.0</v>
      </c>
      <c r="K39" s="25" t="s">
        <v>25</v>
      </c>
      <c r="L39" s="26">
        <v>5.0</v>
      </c>
      <c r="M39" s="26">
        <v>2.0</v>
      </c>
      <c r="N39" s="26">
        <v>1.0</v>
      </c>
      <c r="O39" s="30"/>
      <c r="P39" s="30"/>
      <c r="Q39" s="35">
        <v>7.0</v>
      </c>
      <c r="R39" s="32">
        <v>45856.0</v>
      </c>
      <c r="S39" s="32">
        <v>45855.0</v>
      </c>
      <c r="T39" s="29"/>
      <c r="U39" s="33"/>
      <c r="V39" s="1"/>
    </row>
    <row r="40" ht="24.0" customHeight="1">
      <c r="A40" s="1"/>
      <c r="B40" s="24" t="str">
        <f>HYPERLINK("https://www.compass.com/listing/429-kent-avenue-unit-301-brooklyn-ny-11249/1874068162794033745/view?agent_id=610d3f3370540700019b0833","429 Kent Ave, Unit 301")</f>
        <v>429 Kent Ave, Unit 301</v>
      </c>
      <c r="C40" s="25" t="s">
        <v>22</v>
      </c>
      <c r="D40" s="26" t="s">
        <v>23</v>
      </c>
      <c r="E40" s="27" t="str">
        <f>HYPERLINK("https://www.compass.com/building/the-oosten-brooklyn-ny/293425863259659349/","The Oosten")</f>
        <v>The Oosten</v>
      </c>
      <c r="F40" s="25" t="s">
        <v>46</v>
      </c>
      <c r="G40" s="28">
        <v>1650000.0</v>
      </c>
      <c r="H40" s="28">
        <v>1500.0</v>
      </c>
      <c r="I40" s="28">
        <v>1674.0</v>
      </c>
      <c r="J40" s="28">
        <v>6972.0</v>
      </c>
      <c r="K40" s="25" t="s">
        <v>28</v>
      </c>
      <c r="L40" s="26">
        <v>3.0</v>
      </c>
      <c r="M40" s="26">
        <v>2.0</v>
      </c>
      <c r="N40" s="26">
        <v>1.0</v>
      </c>
      <c r="O40" s="26">
        <v>0.0</v>
      </c>
      <c r="P40" s="34">
        <v>1100.0</v>
      </c>
      <c r="Q40" s="35">
        <v>18.0</v>
      </c>
      <c r="R40" s="32">
        <v>45862.0</v>
      </c>
      <c r="S40" s="32">
        <v>45845.0</v>
      </c>
      <c r="T40" s="29"/>
      <c r="U40" s="33"/>
      <c r="V40" s="1"/>
    </row>
    <row r="41" ht="24.0" customHeight="1">
      <c r="A41" s="1"/>
      <c r="B41" s="24" t="str">
        <f>HYPERLINK("https://www.compass.com/listing/170-2nd-avenue-unit-5a-manhattan-ny-10003/1866059162697237433/view?agent_id=610d3f3370540700019b0833","170 2nd Ave, Unit 5A")</f>
        <v>170 2nd Ave, Unit 5A</v>
      </c>
      <c r="C41" s="25" t="s">
        <v>22</v>
      </c>
      <c r="D41" s="26" t="s">
        <v>23</v>
      </c>
      <c r="E41" s="27" t="str">
        <f>HYPERLINK("https://www.compass.com/building/170-2nd-ave-manhattan-ny-10003/281890110633413797/","170 2nd Ave")</f>
        <v>170 2nd Ave</v>
      </c>
      <c r="F41" s="25" t="s">
        <v>24</v>
      </c>
      <c r="G41" s="28">
        <v>1500000.0</v>
      </c>
      <c r="H41" s="29"/>
      <c r="I41" s="28">
        <v>2947.0</v>
      </c>
      <c r="J41" s="28">
        <v>0.0</v>
      </c>
      <c r="K41" s="25" t="s">
        <v>25</v>
      </c>
      <c r="L41" s="26">
        <v>5.0</v>
      </c>
      <c r="M41" s="26">
        <v>2.0</v>
      </c>
      <c r="N41" s="26">
        <v>1.0</v>
      </c>
      <c r="O41" s="30"/>
      <c r="P41" s="30"/>
      <c r="Q41" s="35">
        <v>37.0</v>
      </c>
      <c r="R41" s="32">
        <v>45848.0</v>
      </c>
      <c r="S41" s="32">
        <v>45826.0</v>
      </c>
      <c r="T41" s="29"/>
      <c r="U41" s="33"/>
      <c r="V41" s="1"/>
    </row>
    <row r="42" ht="24.0" customHeight="1">
      <c r="A42" s="1"/>
      <c r="B42" s="24" t="str">
        <f>HYPERLINK("https://www.compass.com/listing/50-west-67th-street-unit-4f-manhattan-ny-10023/1842736705172839361/view?agent_id=610d3f3370540700019b0833","50 W 67th St, Unit 4F")</f>
        <v>50 W 67th St, Unit 4F</v>
      </c>
      <c r="C42" s="25" t="s">
        <v>22</v>
      </c>
      <c r="D42" s="26" t="s">
        <v>23</v>
      </c>
      <c r="E42" s="27" t="str">
        <f>HYPERLINK("https://www.compass.com/building/the-musicians-building-manhattan-ny/281960839760651365/","The Musician's Building")</f>
        <v>The Musician's Building</v>
      </c>
      <c r="F42" s="25" t="s">
        <v>29</v>
      </c>
      <c r="G42" s="28">
        <v>1195000.0</v>
      </c>
      <c r="H42" s="29"/>
      <c r="I42" s="28">
        <v>2518.0</v>
      </c>
      <c r="J42" s="28">
        <v>0.0</v>
      </c>
      <c r="K42" s="25" t="s">
        <v>25</v>
      </c>
      <c r="L42" s="26">
        <v>4.0</v>
      </c>
      <c r="M42" s="26">
        <v>2.0</v>
      </c>
      <c r="N42" s="26">
        <v>1.0</v>
      </c>
      <c r="O42" s="26">
        <v>0.0</v>
      </c>
      <c r="P42" s="30"/>
      <c r="Q42" s="35">
        <v>66.0</v>
      </c>
      <c r="R42" s="32">
        <v>45805.0</v>
      </c>
      <c r="S42" s="32">
        <v>45797.0</v>
      </c>
      <c r="T42" s="29"/>
      <c r="U42" s="33"/>
      <c r="V42" s="1"/>
    </row>
    <row r="43" ht="24.0" customHeight="1">
      <c r="A43" s="1"/>
      <c r="B43" s="24" t="str">
        <f>HYPERLINK("https://www.compass.com/listing/140-7th-avenue-unit-4m-manhattan-ny-10011/1815958169488335001/view?agent_id=610d3f3370540700019b0833","140 7th Ave, Unit 4M")</f>
        <v>140 7th Ave, Unit 4M</v>
      </c>
      <c r="C43" s="25" t="s">
        <v>22</v>
      </c>
      <c r="D43" s="26" t="s">
        <v>23</v>
      </c>
      <c r="E43" s="27" t="str">
        <f>HYPERLINK("https://www.compass.com/building/chadwin-house-manhattan-ny/281905329866819621/","Chadwin House")</f>
        <v>Chadwin House</v>
      </c>
      <c r="F43" s="25" t="s">
        <v>27</v>
      </c>
      <c r="G43" s="28">
        <v>1200000.0</v>
      </c>
      <c r="H43" s="28">
        <v>1525.0</v>
      </c>
      <c r="I43" s="28">
        <v>2745.0</v>
      </c>
      <c r="J43" s="28">
        <v>14841.0</v>
      </c>
      <c r="K43" s="25" t="s">
        <v>28</v>
      </c>
      <c r="L43" s="26">
        <v>4.0</v>
      </c>
      <c r="M43" s="26">
        <v>2.0</v>
      </c>
      <c r="N43" s="26">
        <v>1.0</v>
      </c>
      <c r="O43" s="30"/>
      <c r="P43" s="26">
        <v>787.0</v>
      </c>
      <c r="Q43" s="35">
        <v>51.0</v>
      </c>
      <c r="R43" s="32">
        <v>45859.0</v>
      </c>
      <c r="S43" s="32">
        <v>45812.0</v>
      </c>
      <c r="T43" s="29"/>
      <c r="U43" s="33"/>
      <c r="V43" s="1"/>
    </row>
    <row r="44" ht="24.0" customHeight="1">
      <c r="A44" s="1"/>
      <c r="B44" s="24" t="str">
        <f>HYPERLINK("https://www.compass.com/listing/360-west-22nd-street-unit-5m-manhattan-ny-10011/1845185874294603025/view?agent_id=610d3f3370540700019b0833","360 W 22nd St, Unit 5M")</f>
        <v>360 W 22nd St, Unit 5M</v>
      </c>
      <c r="C44" s="25" t="s">
        <v>22</v>
      </c>
      <c r="D44" s="26" t="s">
        <v>23</v>
      </c>
      <c r="E44" s="27" t="str">
        <f>HYPERLINK("https://www.compass.com/building/london-towne-house-manhattan-ny/281909772867885877/","London Towne House")</f>
        <v>London Towne House</v>
      </c>
      <c r="F44" s="25" t="s">
        <v>27</v>
      </c>
      <c r="G44" s="28">
        <v>1675000.0</v>
      </c>
      <c r="H44" s="29"/>
      <c r="I44" s="28">
        <v>2243.0</v>
      </c>
      <c r="J44" s="28">
        <v>0.0</v>
      </c>
      <c r="K44" s="25" t="s">
        <v>25</v>
      </c>
      <c r="L44" s="26">
        <v>5.0</v>
      </c>
      <c r="M44" s="26">
        <v>2.0</v>
      </c>
      <c r="N44" s="26">
        <v>1.0</v>
      </c>
      <c r="O44" s="26">
        <v>0.0</v>
      </c>
      <c r="P44" s="30"/>
      <c r="Q44" s="35">
        <v>54.0</v>
      </c>
      <c r="R44" s="32">
        <v>45835.0</v>
      </c>
      <c r="S44" s="32">
        <v>45808.0</v>
      </c>
      <c r="T44" s="29"/>
      <c r="U44" s="33"/>
      <c r="V44" s="1"/>
    </row>
    <row r="45" ht="24.0" customHeight="1">
      <c r="A45" s="1"/>
      <c r="B45" s="24" t="str">
        <f>HYPERLINK("https://www.compass.com/listing/223-west-21st-street-unit-1m-manhattan-ny-10011/1851111119808780313/view?agent_id=610d3f3370540700019b0833","223 W 21st St, Unit 1M")</f>
        <v>223 W 21st St, Unit 1M</v>
      </c>
      <c r="C45" s="25" t="s">
        <v>22</v>
      </c>
      <c r="D45" s="26" t="s">
        <v>23</v>
      </c>
      <c r="E45" s="27" t="str">
        <f>HYPERLINK("https://www.compass.com/building/223-w-21st-st-manhattan-ny-10011/281907120062877637/","223 W 21st St")</f>
        <v>223 W 21st St</v>
      </c>
      <c r="F45" s="25" t="s">
        <v>27</v>
      </c>
      <c r="G45" s="28">
        <v>899000.0</v>
      </c>
      <c r="H45" s="29"/>
      <c r="I45" s="28">
        <v>1425.0</v>
      </c>
      <c r="J45" s="28">
        <v>0.0</v>
      </c>
      <c r="K45" s="25" t="s">
        <v>25</v>
      </c>
      <c r="L45" s="26">
        <v>5.0</v>
      </c>
      <c r="M45" s="26">
        <v>2.0</v>
      </c>
      <c r="N45" s="26">
        <v>1.0</v>
      </c>
      <c r="O45" s="26">
        <v>0.0</v>
      </c>
      <c r="P45" s="30"/>
      <c r="Q45" s="35">
        <v>45.0</v>
      </c>
      <c r="R45" s="32">
        <v>45861.0</v>
      </c>
      <c r="S45" s="32">
        <v>45818.0</v>
      </c>
      <c r="T45" s="29"/>
      <c r="U45" s="33"/>
      <c r="V45" s="1"/>
    </row>
    <row r="46" ht="24.0" customHeight="1">
      <c r="A46" s="1"/>
      <c r="B46" s="24" t="str">
        <f>HYPERLINK("https://www.compass.com/listing/360-west-22nd-street-unit-12l-manhattan-ny-10011/1850091498539849721/view?agent_id=610d3f3370540700019b0833","360 W 22nd St, Unit 12L")</f>
        <v>360 W 22nd St, Unit 12L</v>
      </c>
      <c r="C46" s="25" t="s">
        <v>22</v>
      </c>
      <c r="D46" s="26" t="s">
        <v>23</v>
      </c>
      <c r="E46" s="27" t="str">
        <f>HYPERLINK("https://www.compass.com/building/london-towne-house-manhattan-ny/281909772867885877/","London Towne House")</f>
        <v>London Towne House</v>
      </c>
      <c r="F46" s="25" t="s">
        <v>27</v>
      </c>
      <c r="G46" s="28">
        <v>1695000.0</v>
      </c>
      <c r="H46" s="29"/>
      <c r="I46" s="28">
        <v>2470.0</v>
      </c>
      <c r="J46" s="28">
        <v>0.0</v>
      </c>
      <c r="K46" s="25" t="s">
        <v>25</v>
      </c>
      <c r="L46" s="26">
        <v>5.0</v>
      </c>
      <c r="M46" s="26">
        <v>2.0</v>
      </c>
      <c r="N46" s="26">
        <v>1.0</v>
      </c>
      <c r="O46" s="26">
        <v>0.0</v>
      </c>
      <c r="P46" s="30"/>
      <c r="Q46" s="35">
        <v>59.0</v>
      </c>
      <c r="R46" s="32">
        <v>45854.0</v>
      </c>
      <c r="S46" s="32">
        <v>45804.0</v>
      </c>
      <c r="T46" s="29"/>
      <c r="U46" s="33"/>
      <c r="V46" s="1"/>
    </row>
    <row r="47" ht="24.0" customHeight="1">
      <c r="A47" s="1"/>
      <c r="B47" s="24" t="str">
        <f>HYPERLINK("https://www.compass.com/listing/305-west-52nd-street-unit-2j-manhattan-ny-10019/1860406135496263753/view?agent_id=610d3f3370540700019b0833","305 W 52nd St, Unit 2J")</f>
        <v>305 W 52nd St, Unit 2J</v>
      </c>
      <c r="C47" s="25" t="s">
        <v>22</v>
      </c>
      <c r="D47" s="26" t="s">
        <v>23</v>
      </c>
      <c r="E47" s="27" t="str">
        <f>HYPERLINK("https://www.compass.com/building/305-w-52nd-st-manhattan-ny-10019/292821559012274501/","305 W 52nd St")</f>
        <v>305 W 52nd St</v>
      </c>
      <c r="F47" s="25" t="s">
        <v>47</v>
      </c>
      <c r="G47" s="28">
        <v>1100000.0</v>
      </c>
      <c r="H47" s="28">
        <v>1294.0</v>
      </c>
      <c r="I47" s="28">
        <v>2086.0</v>
      </c>
      <c r="J47" s="28">
        <v>14460.0</v>
      </c>
      <c r="K47" s="25" t="s">
        <v>28</v>
      </c>
      <c r="L47" s="26">
        <v>5.0</v>
      </c>
      <c r="M47" s="26">
        <v>2.0</v>
      </c>
      <c r="N47" s="26">
        <v>1.0</v>
      </c>
      <c r="O47" s="30"/>
      <c r="P47" s="26">
        <v>850.0</v>
      </c>
      <c r="Q47" s="35">
        <v>14.0</v>
      </c>
      <c r="R47" s="32">
        <v>45851.0</v>
      </c>
      <c r="S47" s="32">
        <v>45849.0</v>
      </c>
      <c r="T47" s="29"/>
      <c r="U47" s="33"/>
      <c r="V47" s="1"/>
    </row>
    <row r="48" ht="24.0" customHeight="1">
      <c r="A48" s="1"/>
      <c r="B48" s="24" t="str">
        <f>HYPERLINK("https://www.compass.com/listing/235-east-22nd-street-unit-profb-manhattan-ny-10010/1845167186966935249/view?agent_id=610d3f3370540700019b0833","235 E 22nd St, Unit PROFB")</f>
        <v>235 E 22nd St, Unit PROFB</v>
      </c>
      <c r="C48" s="25" t="s">
        <v>22</v>
      </c>
      <c r="D48" s="26" t="s">
        <v>23</v>
      </c>
      <c r="E48" s="27" t="str">
        <f t="shared" ref="E48:E49" si="2">HYPERLINK("https://www.compass.com/building/gramercy-house-manhattan-ny/292797612162047333/","Gramercy House")</f>
        <v>Gramercy House</v>
      </c>
      <c r="F48" s="25" t="s">
        <v>48</v>
      </c>
      <c r="G48" s="28">
        <v>999000.0</v>
      </c>
      <c r="H48" s="28">
        <v>1135.0</v>
      </c>
      <c r="I48" s="28">
        <v>5960.0</v>
      </c>
      <c r="J48" s="28">
        <v>25128.0</v>
      </c>
      <c r="K48" s="25" t="s">
        <v>49</v>
      </c>
      <c r="L48" s="26">
        <v>8.0</v>
      </c>
      <c r="M48" s="26">
        <v>2.0</v>
      </c>
      <c r="N48" s="26">
        <v>1.0</v>
      </c>
      <c r="O48" s="30"/>
      <c r="P48" s="26">
        <v>880.0</v>
      </c>
      <c r="Q48" s="35">
        <v>66.0</v>
      </c>
      <c r="R48" s="32">
        <v>45833.0</v>
      </c>
      <c r="S48" s="32">
        <v>45797.0</v>
      </c>
      <c r="T48" s="29"/>
      <c r="U48" s="33"/>
      <c r="V48" s="1"/>
    </row>
    <row r="49" ht="24.0" customHeight="1">
      <c r="A49" s="1"/>
      <c r="B49" s="24" t="str">
        <f>HYPERLINK("https://www.compass.com/listing/235-east-22nd-street-unit-profb-manhattan-ny-10010/1845170880353550337/view?agent_id=610d3f3370540700019b0833","235 E 22nd St, Unit PROFB")</f>
        <v>235 E 22nd St, Unit PROFB</v>
      </c>
      <c r="C49" s="25" t="s">
        <v>22</v>
      </c>
      <c r="D49" s="26" t="s">
        <v>23</v>
      </c>
      <c r="E49" s="27" t="str">
        <f t="shared" si="2"/>
        <v>Gramercy House</v>
      </c>
      <c r="F49" s="25" t="s">
        <v>48</v>
      </c>
      <c r="G49" s="28">
        <v>999000.0</v>
      </c>
      <c r="H49" s="28">
        <v>1135.0</v>
      </c>
      <c r="I49" s="28">
        <v>5960.0</v>
      </c>
      <c r="J49" s="28">
        <v>25128.0</v>
      </c>
      <c r="K49" s="25" t="s">
        <v>49</v>
      </c>
      <c r="L49" s="26">
        <v>8.0</v>
      </c>
      <c r="M49" s="26">
        <v>2.0</v>
      </c>
      <c r="N49" s="26">
        <v>1.0</v>
      </c>
      <c r="O49" s="30"/>
      <c r="P49" s="26">
        <v>880.0</v>
      </c>
      <c r="Q49" s="35">
        <v>66.0</v>
      </c>
      <c r="R49" s="32">
        <v>45833.0</v>
      </c>
      <c r="S49" s="32">
        <v>45797.0</v>
      </c>
      <c r="T49" s="29"/>
      <c r="U49" s="33"/>
      <c r="V49" s="1"/>
    </row>
    <row r="50" ht="24.0" customHeight="1">
      <c r="A50" s="1"/>
      <c r="B50" s="24" t="str">
        <f>HYPERLINK("https://www.compass.com/listing/418-west-129th-street-unit-4-manhattan-ny-10027/1885020099319072929/view?agent_id=610d3f3370540700019b0833","418 W 129th St, Unit 4")</f>
        <v>418 W 129th St, Unit 4</v>
      </c>
      <c r="C50" s="25" t="s">
        <v>22</v>
      </c>
      <c r="D50" s="26" t="s">
        <v>23</v>
      </c>
      <c r="E50" s="27" t="str">
        <f>HYPERLINK("https://www.compass.com/building/418-w-129th-st-manhattan-ny-10027/292889538462852837/","418 W 129th St")</f>
        <v>418 W 129th St</v>
      </c>
      <c r="F50" s="25" t="s">
        <v>50</v>
      </c>
      <c r="G50" s="28">
        <v>450000.0</v>
      </c>
      <c r="H50" s="29"/>
      <c r="I50" s="28">
        <v>692.0</v>
      </c>
      <c r="J50" s="28">
        <v>0.0</v>
      </c>
      <c r="K50" s="25" t="s">
        <v>25</v>
      </c>
      <c r="L50" s="26">
        <v>4.0</v>
      </c>
      <c r="M50" s="26">
        <v>2.0</v>
      </c>
      <c r="N50" s="26">
        <v>1.0</v>
      </c>
      <c r="O50" s="30"/>
      <c r="P50" s="30"/>
      <c r="Q50" s="35">
        <v>11.0</v>
      </c>
      <c r="R50" s="32">
        <v>45854.0</v>
      </c>
      <c r="S50" s="32">
        <v>45852.0</v>
      </c>
      <c r="T50" s="29"/>
      <c r="U50" s="33"/>
      <c r="V50" s="1"/>
    </row>
    <row r="51" ht="24.0" customHeight="1">
      <c r="A51" s="1"/>
      <c r="B51" s="24" t="str">
        <f>HYPERLINK("https://www.compass.com/listing/149-clifton-place-unit-3-brooklyn-ny-11238/1864664485859566761/view?agent_id=610d3f3370540700019b0833","149 Clifton Pl, Unit 3")</f>
        <v>149 Clifton Pl, Unit 3</v>
      </c>
      <c r="C51" s="25" t="s">
        <v>22</v>
      </c>
      <c r="D51" s="26" t="s">
        <v>23</v>
      </c>
      <c r="E51" s="27" t="str">
        <f>HYPERLINK("https://www.compass.com/building/149-clifton-pl-brooklyn-ny-11238/293421658268566293/","149 Clifton Pl")</f>
        <v>149 Clifton Pl</v>
      </c>
      <c r="F51" s="25" t="s">
        <v>51</v>
      </c>
      <c r="G51" s="28">
        <v>975000.0</v>
      </c>
      <c r="H51" s="28">
        <v>1204.0</v>
      </c>
      <c r="I51" s="28">
        <v>390.0</v>
      </c>
      <c r="J51" s="28">
        <v>438.0</v>
      </c>
      <c r="K51" s="25" t="s">
        <v>28</v>
      </c>
      <c r="L51" s="26">
        <v>4.0</v>
      </c>
      <c r="M51" s="26">
        <v>2.0</v>
      </c>
      <c r="N51" s="26">
        <v>1.0</v>
      </c>
      <c r="O51" s="30"/>
      <c r="P51" s="26">
        <v>810.0</v>
      </c>
      <c r="Q51" s="35">
        <v>18.0</v>
      </c>
      <c r="R51" s="32">
        <v>45860.0</v>
      </c>
      <c r="S51" s="32">
        <v>45845.0</v>
      </c>
      <c r="T51" s="29"/>
      <c r="U51" s="33"/>
      <c r="V51" s="1"/>
    </row>
    <row r="52" ht="24.0" customHeight="1">
      <c r="A52" s="1"/>
      <c r="B52" s="24" t="str">
        <f>HYPERLINK("https://www.compass.com/listing/30-east-9th-street-unit-6kk-manhattan-ny-10003/1816690154624479241/view?agent_id=610d3f3370540700019b0833","30 E 9th St, Unit 6KK")</f>
        <v>30 E 9th St, Unit 6KK</v>
      </c>
      <c r="C52" s="25" t="s">
        <v>22</v>
      </c>
      <c r="D52" s="26" t="s">
        <v>23</v>
      </c>
      <c r="E52" s="27" t="str">
        <f>HYPERLINK("https://www.compass.com/building/the-lafayette-manhattan-ny/292781948961564533/","The Lafayette")</f>
        <v>The Lafayette</v>
      </c>
      <c r="F52" s="25" t="s">
        <v>43</v>
      </c>
      <c r="G52" s="28">
        <v>1550000.0</v>
      </c>
      <c r="H52" s="29"/>
      <c r="I52" s="28">
        <v>2227.0</v>
      </c>
      <c r="J52" s="28">
        <v>0.0</v>
      </c>
      <c r="K52" s="25" t="s">
        <v>25</v>
      </c>
      <c r="L52" s="26">
        <v>4.0</v>
      </c>
      <c r="M52" s="26">
        <v>2.0</v>
      </c>
      <c r="N52" s="26">
        <v>1.0</v>
      </c>
      <c r="O52" s="26">
        <v>0.0</v>
      </c>
      <c r="P52" s="30"/>
      <c r="Q52" s="35">
        <v>105.0</v>
      </c>
      <c r="R52" s="32">
        <v>45861.0</v>
      </c>
      <c r="S52" s="32">
        <v>45758.0</v>
      </c>
      <c r="T52" s="29"/>
      <c r="U52" s="33"/>
      <c r="V52" s="1"/>
    </row>
    <row r="53" ht="24.0" customHeight="1">
      <c r="A53" s="1"/>
      <c r="B53" s="24" t="str">
        <f>HYPERLINK("https://www.compass.com/listing/25-5th-avenue-unit-8f-manhattan-ny-10003/1831943747754201889/view?agent_id=610d3f3370540700019b0833","25 5th Ave, Unit 8F")</f>
        <v>25 5th Ave, Unit 8F</v>
      </c>
      <c r="C53" s="25" t="s">
        <v>22</v>
      </c>
      <c r="D53" s="26" t="s">
        <v>23</v>
      </c>
      <c r="E53" s="27" t="str">
        <f>HYPERLINK("https://www.compass.com/building/25-5th-ave-manhattan-ny-10003/293532429275211765/","25 5th Ave")</f>
        <v>25 5th Ave</v>
      </c>
      <c r="F53" s="25" t="s">
        <v>43</v>
      </c>
      <c r="G53" s="28">
        <v>2495000.0</v>
      </c>
      <c r="H53" s="29"/>
      <c r="I53" s="28">
        <v>2510.0</v>
      </c>
      <c r="J53" s="28">
        <v>12411.0</v>
      </c>
      <c r="K53" s="25" t="s">
        <v>28</v>
      </c>
      <c r="L53" s="26">
        <v>4.0</v>
      </c>
      <c r="M53" s="26">
        <v>2.0</v>
      </c>
      <c r="N53" s="26">
        <v>1.0</v>
      </c>
      <c r="O53" s="30"/>
      <c r="P53" s="26">
        <v>0.0</v>
      </c>
      <c r="Q53" s="35">
        <v>72.0</v>
      </c>
      <c r="R53" s="32">
        <v>45863.0</v>
      </c>
      <c r="S53" s="32">
        <v>45791.0</v>
      </c>
      <c r="T53" s="29"/>
      <c r="U53" s="33"/>
      <c r="V53" s="1"/>
    </row>
    <row r="54" ht="24.0" customHeight="1">
      <c r="A54" s="1"/>
      <c r="B54" s="24" t="str">
        <f>HYPERLINK("https://www.compass.com/listing/13-west-13th-street-unit-6js-manhattan-ny-10011/1806723612815909721/view?agent_id=610d3f3370540700019b0833","13 W 13th St, Unit 6JS")</f>
        <v>13 W 13th St, Unit 6JS</v>
      </c>
      <c r="C54" s="25" t="s">
        <v>22</v>
      </c>
      <c r="D54" s="26" t="s">
        <v>23</v>
      </c>
      <c r="E54" s="27" t="str">
        <f>HYPERLINK("https://www.compass.com/building/the-norville-house-manhattan-ny/292801098475923429/","The Norville House")</f>
        <v>The Norville House</v>
      </c>
      <c r="F54" s="25" t="s">
        <v>43</v>
      </c>
      <c r="G54" s="28">
        <v>979000.0</v>
      </c>
      <c r="H54" s="29"/>
      <c r="I54" s="28">
        <v>2454.0</v>
      </c>
      <c r="J54" s="28">
        <v>0.0</v>
      </c>
      <c r="K54" s="25" t="s">
        <v>25</v>
      </c>
      <c r="L54" s="26">
        <v>4.0</v>
      </c>
      <c r="M54" s="26">
        <v>2.0</v>
      </c>
      <c r="N54" s="26">
        <v>1.0</v>
      </c>
      <c r="O54" s="30"/>
      <c r="P54" s="30"/>
      <c r="Q54" s="35">
        <v>119.0</v>
      </c>
      <c r="R54" s="32">
        <v>45861.0</v>
      </c>
      <c r="S54" s="32">
        <v>45744.0</v>
      </c>
      <c r="T54" s="29"/>
      <c r="U54" s="33"/>
      <c r="V54" s="1"/>
    </row>
    <row r="55" ht="24.0" customHeight="1">
      <c r="A55" s="1"/>
      <c r="B55" s="24" t="str">
        <f>HYPERLINK("https://www.compass.com/listing/436-sterling-place-unit-10-brooklyn-ny-11238/1841525727130823889/view?agent_id=610d3f3370540700019b0833","436 Sterling Pl, Unit 10")</f>
        <v>436 Sterling Pl, Unit 10</v>
      </c>
      <c r="C55" s="25" t="s">
        <v>22</v>
      </c>
      <c r="D55" s="26" t="s">
        <v>23</v>
      </c>
      <c r="E55" s="27" t="str">
        <f>HYPERLINK("https://www.compass.com/building/436-sterling-pl-brooklyn-ny-11238/293420113128913013/","436 Sterling Pl")</f>
        <v>436 Sterling Pl</v>
      </c>
      <c r="F55" s="25" t="s">
        <v>39</v>
      </c>
      <c r="G55" s="28">
        <v>830000.0</v>
      </c>
      <c r="H55" s="29"/>
      <c r="I55" s="28">
        <v>1147.0</v>
      </c>
      <c r="J55" s="28">
        <v>0.0</v>
      </c>
      <c r="K55" s="25" t="s">
        <v>25</v>
      </c>
      <c r="L55" s="26">
        <v>5.0</v>
      </c>
      <c r="M55" s="26">
        <v>2.0</v>
      </c>
      <c r="N55" s="26">
        <v>1.0</v>
      </c>
      <c r="O55" s="30"/>
      <c r="P55" s="30"/>
      <c r="Q55" s="35">
        <v>71.0</v>
      </c>
      <c r="R55" s="32">
        <v>45849.0</v>
      </c>
      <c r="S55" s="32">
        <v>45792.0</v>
      </c>
      <c r="T55" s="29"/>
      <c r="U55" s="33"/>
      <c r="V55" s="1"/>
    </row>
    <row r="56" ht="24.0" customHeight="1">
      <c r="A56" s="1"/>
      <c r="B56" s="24" t="str">
        <f>HYPERLINK("https://www.compass.com/listing/205-hicks-street-unit-2b-brooklyn-ny-11201/1847306682840762585/view?agent_id=610d3f3370540700019b0833","205 Hicks St, Unit 2B")</f>
        <v>205 Hicks St, Unit 2B</v>
      </c>
      <c r="C56" s="25" t="s">
        <v>22</v>
      </c>
      <c r="D56" s="26" t="s">
        <v>23</v>
      </c>
      <c r="E56" s="27" t="str">
        <f>HYPERLINK("https://www.compass.com/building/205-hicks-st-brooklyn-ny-11201/282510782841839701/","205 Hicks St")</f>
        <v>205 Hicks St</v>
      </c>
      <c r="F56" s="25" t="s">
        <v>52</v>
      </c>
      <c r="G56" s="28">
        <v>1295000.0</v>
      </c>
      <c r="H56" s="29"/>
      <c r="I56" s="28">
        <v>1669.0</v>
      </c>
      <c r="J56" s="28">
        <v>0.0</v>
      </c>
      <c r="K56" s="25" t="s">
        <v>25</v>
      </c>
      <c r="L56" s="26">
        <v>4.0</v>
      </c>
      <c r="M56" s="26">
        <v>2.0</v>
      </c>
      <c r="N56" s="26">
        <v>1.0</v>
      </c>
      <c r="O56" s="30"/>
      <c r="P56" s="30"/>
      <c r="Q56" s="35">
        <v>43.0</v>
      </c>
      <c r="R56" s="32">
        <v>45861.0</v>
      </c>
      <c r="S56" s="32">
        <v>45820.0</v>
      </c>
      <c r="T56" s="29"/>
      <c r="U56" s="33"/>
      <c r="V56" s="1"/>
    </row>
    <row r="57" ht="24.0" customHeight="1">
      <c r="A57" s="1"/>
      <c r="B57" s="24" t="str">
        <f>HYPERLINK("https://www.compass.com/listing/131-thompson-street-unit-6f-manhattan-ny-10012/1842212918475793769/view?agent_id=610d3f3370540700019b0833","131 Thompson St, Unit 6F")</f>
        <v>131 Thompson St, Unit 6F</v>
      </c>
      <c r="C57" s="25" t="s">
        <v>22</v>
      </c>
      <c r="D57" s="26" t="s">
        <v>23</v>
      </c>
      <c r="E57" s="27" t="str">
        <f>HYPERLINK("https://www.compass.com/building/131-thompson-st-manhattan-ny-10012/281912851327642069/","131 Thompson St")</f>
        <v>131 Thompson St</v>
      </c>
      <c r="F57" s="25" t="s">
        <v>53</v>
      </c>
      <c r="G57" s="28">
        <v>950000.0</v>
      </c>
      <c r="H57" s="29"/>
      <c r="I57" s="28">
        <v>1711.0</v>
      </c>
      <c r="J57" s="28">
        <v>0.0</v>
      </c>
      <c r="K57" s="25" t="s">
        <v>25</v>
      </c>
      <c r="L57" s="26">
        <v>3.0</v>
      </c>
      <c r="M57" s="26">
        <v>2.0</v>
      </c>
      <c r="N57" s="26">
        <v>1.0</v>
      </c>
      <c r="O57" s="30"/>
      <c r="P57" s="30"/>
      <c r="Q57" s="35">
        <v>69.0</v>
      </c>
      <c r="R57" s="32">
        <v>45856.0</v>
      </c>
      <c r="S57" s="32">
        <v>45794.0</v>
      </c>
      <c r="T57" s="29"/>
      <c r="U57" s="33"/>
      <c r="V57" s="1"/>
    </row>
    <row r="58" ht="24.0" customHeight="1">
      <c r="A58" s="1"/>
      <c r="B58" s="24" t="str">
        <f>HYPERLINK("https://www.compass.com/listing/201-clinton-avenue-unit-10f-brooklyn-ny-11205/1859534749344967297/view?agent_id=610d3f3370540700019b0833","201 Clinton Ave, Unit 10F")</f>
        <v>201 Clinton Ave, Unit 10F</v>
      </c>
      <c r="C58" s="25" t="s">
        <v>22</v>
      </c>
      <c r="D58" s="26" t="s">
        <v>23</v>
      </c>
      <c r="E58" s="27" t="str">
        <f>HYPERLINK("https://www.compass.com/building/clinton-hill-coops-north-campus-brooklyn-ny/293426221084122469/","Clinton Hill Coops - North Campus")</f>
        <v>Clinton Hill Coops - North Campus</v>
      </c>
      <c r="F58" s="25" t="s">
        <v>30</v>
      </c>
      <c r="G58" s="28">
        <v>1095000.0</v>
      </c>
      <c r="H58" s="29"/>
      <c r="I58" s="28">
        <v>1605.0</v>
      </c>
      <c r="J58" s="28">
        <v>0.0</v>
      </c>
      <c r="K58" s="25" t="s">
        <v>25</v>
      </c>
      <c r="L58" s="26">
        <v>5.0</v>
      </c>
      <c r="M58" s="26">
        <v>2.0</v>
      </c>
      <c r="N58" s="26">
        <v>1.0</v>
      </c>
      <c r="O58" s="30"/>
      <c r="P58" s="30"/>
      <c r="Q58" s="35">
        <v>43.0</v>
      </c>
      <c r="R58" s="32">
        <v>45861.0</v>
      </c>
      <c r="S58" s="32">
        <v>45820.0</v>
      </c>
      <c r="T58" s="29"/>
      <c r="U58" s="33"/>
      <c r="V58" s="1"/>
    </row>
    <row r="59" ht="24.0" customHeight="1">
      <c r="A59" s="1"/>
      <c r="B59" s="24" t="str">
        <f>HYPERLINK("https://www.compass.com/listing/100-west-93rd-street-unit-11j-manhattan-ny-10025/1798656739788179065/view?agent_id=610d3f3370540700019b0833","100 W 93rd St, Unit 11J")</f>
        <v>100 W 93rd St, Unit 11J</v>
      </c>
      <c r="C59" s="25" t="s">
        <v>22</v>
      </c>
      <c r="D59" s="26" t="s">
        <v>23</v>
      </c>
      <c r="E59" s="27" t="str">
        <f>HYPERLINK("https://www.compass.com/building/100-west-manhattan-ny/281968202811000645/","100 West")</f>
        <v>100 West</v>
      </c>
      <c r="F59" s="25" t="s">
        <v>29</v>
      </c>
      <c r="G59" s="28">
        <v>1450000.0</v>
      </c>
      <c r="H59" s="28">
        <v>1493.0</v>
      </c>
      <c r="I59" s="28">
        <v>1908.0</v>
      </c>
      <c r="J59" s="28">
        <v>9119.0</v>
      </c>
      <c r="K59" s="25" t="s">
        <v>28</v>
      </c>
      <c r="L59" s="26">
        <v>4.0</v>
      </c>
      <c r="M59" s="26">
        <v>2.0</v>
      </c>
      <c r="N59" s="26">
        <v>1.0</v>
      </c>
      <c r="O59" s="30"/>
      <c r="P59" s="26">
        <v>971.0</v>
      </c>
      <c r="Q59" s="35">
        <v>104.0</v>
      </c>
      <c r="R59" s="32">
        <v>45855.0</v>
      </c>
      <c r="S59" s="32">
        <v>45757.0</v>
      </c>
      <c r="T59" s="29"/>
      <c r="U59" s="33"/>
      <c r="V59" s="1"/>
    </row>
    <row r="60" ht="24.0" customHeight="1">
      <c r="A60" s="1"/>
      <c r="B60" s="24" t="str">
        <f>HYPERLINK("https://www.compass.com/listing/271-central-park-west-unit-1d-manhattan-ny-10024/1850176307223868025/view?agent_id=610d3f3370540700019b0833","271 Central Park West, Unit 1D")</f>
        <v>271 Central Park West, Unit 1D</v>
      </c>
      <c r="C60" s="25" t="s">
        <v>22</v>
      </c>
      <c r="D60" s="26" t="s">
        <v>23</v>
      </c>
      <c r="E60" s="27" t="str">
        <f>HYPERLINK("https://www.compass.com/building/271-central-park-west-manhattan-ny-10024/281964679671133941/","271 Central Park West")</f>
        <v>271 Central Park West</v>
      </c>
      <c r="F60" s="25" t="s">
        <v>29</v>
      </c>
      <c r="G60" s="28">
        <v>1295000.0</v>
      </c>
      <c r="H60" s="29"/>
      <c r="I60" s="28">
        <v>3100.0</v>
      </c>
      <c r="J60" s="28">
        <v>0.0</v>
      </c>
      <c r="K60" s="25" t="s">
        <v>25</v>
      </c>
      <c r="L60" s="26">
        <v>4.0</v>
      </c>
      <c r="M60" s="26">
        <v>2.0</v>
      </c>
      <c r="N60" s="26">
        <v>1.0</v>
      </c>
      <c r="O60" s="30"/>
      <c r="P60" s="30"/>
      <c r="Q60" s="35">
        <v>50.0</v>
      </c>
      <c r="R60" s="32">
        <v>45862.0</v>
      </c>
      <c r="S60" s="32">
        <v>45813.0</v>
      </c>
      <c r="T60" s="29"/>
      <c r="U60" s="33"/>
      <c r="V60" s="1"/>
    </row>
    <row r="61" ht="24.0" customHeight="1">
      <c r="A61" s="1"/>
      <c r="B61" s="24" t="str">
        <f>HYPERLINK("https://www.compass.com/listing/37-bridge-street-unit-3g-brooklyn-ny-11201/1888514511144113617/view?agent_id=610d3f3370540700019b0833","37 Bridge St, Unit 3G")</f>
        <v>37 Bridge St, Unit 3G</v>
      </c>
      <c r="C61" s="25" t="s">
        <v>22</v>
      </c>
      <c r="D61" s="26" t="s">
        <v>23</v>
      </c>
      <c r="E61" s="27" t="str">
        <f>HYPERLINK("https://www.compass.com/building/the-37-and-43-street-condominium-brooklyn-ny/282510370860521525/","The 37 and 43 Street Condominium ")</f>
        <v>The 37 and 43 Street Condominium </v>
      </c>
      <c r="F61" s="25" t="s">
        <v>54</v>
      </c>
      <c r="G61" s="28">
        <v>1135000.0</v>
      </c>
      <c r="H61" s="28">
        <v>1287.0</v>
      </c>
      <c r="I61" s="28">
        <v>2063.0</v>
      </c>
      <c r="J61" s="28">
        <v>12514.0</v>
      </c>
      <c r="K61" s="25" t="s">
        <v>28</v>
      </c>
      <c r="L61" s="26">
        <v>4.0</v>
      </c>
      <c r="M61" s="26">
        <v>2.0</v>
      </c>
      <c r="N61" s="26">
        <v>1.0</v>
      </c>
      <c r="O61" s="30"/>
      <c r="P61" s="26">
        <v>882.0</v>
      </c>
      <c r="Q61" s="35">
        <v>6.0</v>
      </c>
      <c r="R61" s="32">
        <v>45860.0</v>
      </c>
      <c r="S61" s="32">
        <v>45857.0</v>
      </c>
      <c r="T61" s="29"/>
      <c r="U61" s="33"/>
      <c r="V61" s="1"/>
    </row>
    <row r="62" ht="24.0" customHeight="1">
      <c r="A62" s="1"/>
      <c r="B62" s="24" t="str">
        <f>HYPERLINK("https://www.compass.com/listing/336-99th-street-unit-15-brooklyn-ny-11209/1890632786573534481/view?agent_id=610d3f3370540700019b0833","336 99th St, Unit 15")</f>
        <v>336 99th St, Unit 15</v>
      </c>
      <c r="C62" s="25" t="s">
        <v>22</v>
      </c>
      <c r="D62" s="26" t="s">
        <v>23</v>
      </c>
      <c r="E62" s="27" t="str">
        <f>HYPERLINK("https://www.compass.com/building/336-99th-st-brooklyn-ny-11209/293531853330064773/","336 99th St")</f>
        <v>336 99th St</v>
      </c>
      <c r="F62" s="25" t="s">
        <v>55</v>
      </c>
      <c r="G62" s="28">
        <v>775000.0</v>
      </c>
      <c r="H62" s="28">
        <v>737.0</v>
      </c>
      <c r="I62" s="28">
        <v>695.0</v>
      </c>
      <c r="J62" s="28">
        <v>3612.0</v>
      </c>
      <c r="K62" s="25" t="s">
        <v>28</v>
      </c>
      <c r="L62" s="26">
        <v>4.0</v>
      </c>
      <c r="M62" s="26">
        <v>2.0</v>
      </c>
      <c r="N62" s="26">
        <v>1.0</v>
      </c>
      <c r="O62" s="30"/>
      <c r="P62" s="34">
        <v>1051.0</v>
      </c>
      <c r="Q62" s="35">
        <v>1.0</v>
      </c>
      <c r="R62" s="32">
        <v>45862.0</v>
      </c>
      <c r="S62" s="32">
        <v>45862.0</v>
      </c>
      <c r="T62" s="29"/>
      <c r="U62" s="33"/>
      <c r="V62" s="1"/>
    </row>
    <row r="63" ht="24.0" customHeight="1">
      <c r="A63" s="1"/>
      <c r="B63" s="24" t="str">
        <f>HYPERLINK("https://www.compass.com/listing/190-green-street-unit-401-brooklyn-ny-11222/1819076474023564441/view?agent_id=610d3f3370540700019b0833","190 Green St, Unit 401")</f>
        <v>190 Green St, Unit 401</v>
      </c>
      <c r="C63" s="25" t="s">
        <v>22</v>
      </c>
      <c r="D63" s="26" t="s">
        <v>23</v>
      </c>
      <c r="E63" s="27" t="str">
        <f>HYPERLINK("https://www.compass.com/building/the-glass-house-on-green-street-brooklyn-ny/282416588269907925/","The Glass House on Green Street")</f>
        <v>The Glass House on Green Street</v>
      </c>
      <c r="F63" s="25" t="s">
        <v>56</v>
      </c>
      <c r="G63" s="28">
        <v>1400000.0</v>
      </c>
      <c r="H63" s="28">
        <v>1400.0</v>
      </c>
      <c r="I63" s="28">
        <v>1824.0</v>
      </c>
      <c r="J63" s="28">
        <v>12269.0</v>
      </c>
      <c r="K63" s="25" t="s">
        <v>28</v>
      </c>
      <c r="L63" s="26">
        <v>4.0</v>
      </c>
      <c r="M63" s="26">
        <v>2.0</v>
      </c>
      <c r="N63" s="26">
        <v>1.0</v>
      </c>
      <c r="O63" s="30"/>
      <c r="P63" s="34">
        <v>1000.0</v>
      </c>
      <c r="Q63" s="35">
        <v>25.0</v>
      </c>
      <c r="R63" s="32">
        <v>45861.0</v>
      </c>
      <c r="S63" s="32">
        <v>45838.0</v>
      </c>
      <c r="T63" s="29"/>
      <c r="U63" s="33"/>
      <c r="V63" s="1"/>
    </row>
    <row r="64" ht="24.0" customHeight="1">
      <c r="A64" s="1"/>
      <c r="B64" s="24" t="str">
        <f>HYPERLINK("https://www.compass.com/listing/124-thompson-street-unit-21-manhattan-ny-10012/1780060336324916417/view?agent_id=610d3f3370540700019b0833","124 Thompson St, Unit 21")</f>
        <v>124 Thompson St, Unit 21</v>
      </c>
      <c r="C64" s="25" t="s">
        <v>22</v>
      </c>
      <c r="D64" s="26" t="s">
        <v>23</v>
      </c>
      <c r="E64" s="27" t="str">
        <f>HYPERLINK("https://www.compass.com/building/124-thompson-owners-corporation-manhattan-ny/292809521477223909/","124 Thompson Owners Corporation")</f>
        <v>124 Thompson Owners Corporation</v>
      </c>
      <c r="F64" s="25" t="s">
        <v>53</v>
      </c>
      <c r="G64" s="28">
        <v>840000.0</v>
      </c>
      <c r="H64" s="29"/>
      <c r="I64" s="28">
        <v>1512.0</v>
      </c>
      <c r="J64" s="28">
        <v>0.0</v>
      </c>
      <c r="K64" s="25" t="s">
        <v>25</v>
      </c>
      <c r="L64" s="26">
        <v>4.0</v>
      </c>
      <c r="M64" s="26">
        <v>2.0</v>
      </c>
      <c r="N64" s="26">
        <v>1.0</v>
      </c>
      <c r="O64" s="30"/>
      <c r="P64" s="30"/>
      <c r="Q64" s="35">
        <v>99.0</v>
      </c>
      <c r="R64" s="32">
        <v>45859.0</v>
      </c>
      <c r="S64" s="32">
        <v>45764.0</v>
      </c>
      <c r="T64" s="29"/>
      <c r="U64" s="33"/>
      <c r="V64" s="1"/>
    </row>
    <row r="65" ht="24.0" customHeight="1">
      <c r="A65" s="1"/>
      <c r="B65" s="24" t="str">
        <f>HYPERLINK("https://www.compass.com/listing/201-east-21st-street-unit-phj-manhattan-ny-10010/1795005585514988769/view?agent_id=610d3f3370540700019b0833","201 E 21st St, Unit PHJ")</f>
        <v>201 E 21st St, Unit PHJ</v>
      </c>
      <c r="C65" s="25" t="s">
        <v>22</v>
      </c>
      <c r="D65" s="26" t="s">
        <v>23</v>
      </c>
      <c r="E65" s="27" t="str">
        <f>HYPERLINK("https://www.compass.com/building/quaker-ridge-manhattan-ny/282059474573754133/","Quaker Ridge")</f>
        <v>Quaker Ridge</v>
      </c>
      <c r="F65" s="25" t="s">
        <v>48</v>
      </c>
      <c r="G65" s="28">
        <v>1499000.0</v>
      </c>
      <c r="H65" s="29"/>
      <c r="I65" s="28">
        <v>1965.0</v>
      </c>
      <c r="J65" s="28">
        <v>0.0</v>
      </c>
      <c r="K65" s="25" t="s">
        <v>25</v>
      </c>
      <c r="L65" s="26">
        <v>4.0</v>
      </c>
      <c r="M65" s="26">
        <v>2.0</v>
      </c>
      <c r="N65" s="26">
        <v>1.0</v>
      </c>
      <c r="O65" s="26">
        <v>0.0</v>
      </c>
      <c r="P65" s="30"/>
      <c r="Q65" s="35">
        <v>135.0</v>
      </c>
      <c r="R65" s="32">
        <v>45861.0</v>
      </c>
      <c r="S65" s="32">
        <v>45728.0</v>
      </c>
      <c r="T65" s="29"/>
      <c r="U65" s="33"/>
      <c r="V65" s="1"/>
    </row>
    <row r="66" ht="24.0" customHeight="1">
      <c r="A66" s="1"/>
      <c r="B66" s="24" t="str">
        <f>HYPERLINK("https://www.compass.com/listing/155-west-80th-street-unit-4b-manhattan-ny-10024/1730715838496458073/view?agent_id=610d3f3370540700019b0833","155 W 80th St, Unit 4B")</f>
        <v>155 W 80th St, Unit 4B</v>
      </c>
      <c r="C66" s="25" t="s">
        <v>22</v>
      </c>
      <c r="D66" s="26" t="s">
        <v>23</v>
      </c>
      <c r="E66" s="27" t="str">
        <f>HYPERLINK("https://www.compass.com/building/155-w-80th-st-manhattan-ny-10024/281962960685971061/","155 W 80th St")</f>
        <v>155 W 80th St</v>
      </c>
      <c r="F66" s="25" t="s">
        <v>29</v>
      </c>
      <c r="G66" s="28">
        <v>899000.0</v>
      </c>
      <c r="H66" s="29"/>
      <c r="I66" s="28">
        <v>1731.0</v>
      </c>
      <c r="J66" s="28">
        <v>0.0</v>
      </c>
      <c r="K66" s="25" t="s">
        <v>25</v>
      </c>
      <c r="L66" s="26">
        <v>4.0</v>
      </c>
      <c r="M66" s="26">
        <v>2.0</v>
      </c>
      <c r="N66" s="26">
        <v>1.0</v>
      </c>
      <c r="O66" s="30"/>
      <c r="P66" s="30"/>
      <c r="Q66" s="35">
        <v>158.0</v>
      </c>
      <c r="R66" s="32">
        <v>45855.0</v>
      </c>
      <c r="S66" s="32">
        <v>45705.0</v>
      </c>
      <c r="T66" s="29"/>
      <c r="U66" s="33"/>
      <c r="V66" s="1"/>
    </row>
    <row r="67" ht="24.0" customHeight="1">
      <c r="A67" s="1"/>
      <c r="B67" s="24" t="str">
        <f>HYPERLINK("https://www.compass.com/listing/35-bond-street-manhattan-ny-10012/1768951563692164937/view?agent_id=610d3f3370540700019b0833","35 Bond St, Unit 5")</f>
        <v>35 Bond St, Unit 5</v>
      </c>
      <c r="C67" s="25" t="s">
        <v>22</v>
      </c>
      <c r="D67" s="26" t="s">
        <v>23</v>
      </c>
      <c r="E67" s="27" t="str">
        <f>HYPERLINK("https://www.compass.com/building/35-bond-st-manhattan-ny-10012/281914925880736149/","35 Bond St")</f>
        <v>35 Bond St</v>
      </c>
      <c r="F67" s="25" t="s">
        <v>57</v>
      </c>
      <c r="G67" s="28">
        <v>5475000.0</v>
      </c>
      <c r="H67" s="29"/>
      <c r="I67" s="28">
        <v>2000.0</v>
      </c>
      <c r="J67" s="28">
        <v>0.0</v>
      </c>
      <c r="K67" s="25" t="s">
        <v>25</v>
      </c>
      <c r="L67" s="26">
        <v>5.0</v>
      </c>
      <c r="M67" s="26">
        <v>2.0</v>
      </c>
      <c r="N67" s="26">
        <v>1.0</v>
      </c>
      <c r="O67" s="30"/>
      <c r="P67" s="30"/>
      <c r="Q67" s="35">
        <v>170.0</v>
      </c>
      <c r="R67" s="32">
        <v>45849.0</v>
      </c>
      <c r="S67" s="32">
        <v>45693.0</v>
      </c>
      <c r="T67" s="29"/>
      <c r="U67" s="33"/>
      <c r="V67" s="1"/>
    </row>
    <row r="68" ht="24.0" customHeight="1">
      <c r="A68" s="1"/>
      <c r="B68" s="24" t="str">
        <f>HYPERLINK("https://www.compass.com/listing/760-west-end-avenue-unit-6b-manhattan-ny-10025/1788624662926852457/view?agent_id=610d3f3370540700019b0833","760 West End Ave, Unit 6B")</f>
        <v>760 West End Ave, Unit 6B</v>
      </c>
      <c r="C68" s="25" t="s">
        <v>22</v>
      </c>
      <c r="D68" s="26" t="s">
        <v>23</v>
      </c>
      <c r="E68" s="27" t="str">
        <f>HYPERLINK("https://www.compass.com/building/760-west-end-ave-manhattan-ny-10025/281973168288128101/","760 West End Ave")</f>
        <v>760 West End Ave</v>
      </c>
      <c r="F68" s="25" t="s">
        <v>29</v>
      </c>
      <c r="G68" s="28">
        <v>925000.0</v>
      </c>
      <c r="H68" s="29"/>
      <c r="I68" s="28">
        <v>2120.0</v>
      </c>
      <c r="J68" s="28">
        <v>0.0</v>
      </c>
      <c r="K68" s="25" t="s">
        <v>25</v>
      </c>
      <c r="L68" s="26">
        <v>4.0</v>
      </c>
      <c r="M68" s="26">
        <v>2.0</v>
      </c>
      <c r="N68" s="26">
        <v>1.0</v>
      </c>
      <c r="O68" s="30"/>
      <c r="P68" s="30"/>
      <c r="Q68" s="35">
        <v>130.0</v>
      </c>
      <c r="R68" s="32">
        <v>45862.0</v>
      </c>
      <c r="S68" s="32">
        <v>45733.0</v>
      </c>
      <c r="T68" s="29"/>
      <c r="U68" s="33"/>
      <c r="V68" s="1"/>
    </row>
    <row r="69" ht="24.0" customHeight="1">
      <c r="A69" s="1"/>
      <c r="B69" s="24" t="str">
        <f>HYPERLINK("https://www.compass.com/listing/207-east-21st-street-unit-6b-manhattan-ny-10010/1698051012847604617/view?agent_id=610d3f3370540700019b0833","207 E 21st St, Unit 6B")</f>
        <v>207 E 21st St, Unit 6B</v>
      </c>
      <c r="C69" s="25" t="s">
        <v>22</v>
      </c>
      <c r="D69" s="26" t="s">
        <v>23</v>
      </c>
      <c r="E69" s="27" t="str">
        <f>HYPERLINK("https://www.compass.com/building/207-e-21st-st-manhattan-ny-10010/281902086705137061/","207 E 21st St")</f>
        <v>207 E 21st St</v>
      </c>
      <c r="F69" s="25" t="s">
        <v>48</v>
      </c>
      <c r="G69" s="28">
        <v>750000.0</v>
      </c>
      <c r="H69" s="29"/>
      <c r="I69" s="28">
        <v>2151.0</v>
      </c>
      <c r="J69" s="28">
        <v>0.0</v>
      </c>
      <c r="K69" s="25" t="s">
        <v>25</v>
      </c>
      <c r="L69" s="26">
        <v>4.0</v>
      </c>
      <c r="M69" s="26">
        <v>2.0</v>
      </c>
      <c r="N69" s="26">
        <v>1.0</v>
      </c>
      <c r="O69" s="30"/>
      <c r="P69" s="30"/>
      <c r="Q69" s="35">
        <v>259.0</v>
      </c>
      <c r="R69" s="32">
        <v>45862.0</v>
      </c>
      <c r="S69" s="32">
        <v>45594.0</v>
      </c>
      <c r="T69" s="29"/>
      <c r="U69" s="33"/>
      <c r="V69" s="1"/>
    </row>
    <row r="70" ht="24.0" customHeight="1">
      <c r="A70" s="1"/>
      <c r="B70" s="24" t="str">
        <f>HYPERLINK("https://www.compass.com/listing/345-riverside-drive-unit-1e-manhattan-ny-10025/1810508962530023505/view?agent_id=610d3f3370540700019b0833","345 Riverside Dr, Unit 1E")</f>
        <v>345 Riverside Dr, Unit 1E</v>
      </c>
      <c r="C70" s="25" t="s">
        <v>22</v>
      </c>
      <c r="D70" s="26" t="s">
        <v>23</v>
      </c>
      <c r="E70" s="27" t="str">
        <f>HYPERLINK("https://www.compass.com/building/345-riverside-dr-manhattan-ny-10025/281971449135193461/","345 Riverside Dr")</f>
        <v>345 Riverside Dr</v>
      </c>
      <c r="F70" s="25" t="s">
        <v>29</v>
      </c>
      <c r="G70" s="28">
        <v>950000.0</v>
      </c>
      <c r="H70" s="29"/>
      <c r="I70" s="28">
        <v>1292.0</v>
      </c>
      <c r="J70" s="28">
        <v>15504.0</v>
      </c>
      <c r="K70" s="25" t="s">
        <v>25</v>
      </c>
      <c r="L70" s="26">
        <v>4.0</v>
      </c>
      <c r="M70" s="26">
        <v>2.0</v>
      </c>
      <c r="N70" s="26">
        <v>1.0</v>
      </c>
      <c r="O70" s="26">
        <v>0.0</v>
      </c>
      <c r="P70" s="30"/>
      <c r="Q70" s="35">
        <v>113.0</v>
      </c>
      <c r="R70" s="32">
        <v>45863.0</v>
      </c>
      <c r="S70" s="32">
        <v>45749.0</v>
      </c>
      <c r="T70" s="29"/>
      <c r="U70" s="33"/>
      <c r="V70" s="1"/>
    </row>
    <row r="71" ht="24.0" customHeight="1">
      <c r="A71" s="1"/>
      <c r="B71" s="24" t="str">
        <f>HYPERLINK("https://www.compass.com/listing/120-cabrini-boulevard-unit-118-manhattan-ny-10033/1884830221104967993/view?agent_id=610d3f3370540700019b0833","120 Cabrini Blvd, Unit 118")</f>
        <v>120 Cabrini Blvd, Unit 118</v>
      </c>
      <c r="C71" s="25" t="s">
        <v>22</v>
      </c>
      <c r="D71" s="26" t="s">
        <v>23</v>
      </c>
      <c r="E71" s="27" t="str">
        <f>HYPERLINK("https://www.compass.com/building/castle-village-manhattan-ny/282010127530198453/","Castle Village")</f>
        <v>Castle Village</v>
      </c>
      <c r="F71" s="25" t="s">
        <v>58</v>
      </c>
      <c r="G71" s="28">
        <v>850000.0</v>
      </c>
      <c r="H71" s="29"/>
      <c r="I71" s="28">
        <v>2358.0</v>
      </c>
      <c r="J71" s="28">
        <v>0.0</v>
      </c>
      <c r="K71" s="25" t="s">
        <v>25</v>
      </c>
      <c r="L71" s="26">
        <v>4.0</v>
      </c>
      <c r="M71" s="26">
        <v>2.0</v>
      </c>
      <c r="N71" s="26">
        <v>1.0</v>
      </c>
      <c r="O71" s="26">
        <v>0.0</v>
      </c>
      <c r="P71" s="30"/>
      <c r="Q71" s="35">
        <v>11.0</v>
      </c>
      <c r="R71" s="32">
        <v>45852.0</v>
      </c>
      <c r="S71" s="32">
        <v>45852.0</v>
      </c>
      <c r="T71" s="29"/>
      <c r="U71" s="33"/>
      <c r="V71" s="1"/>
    </row>
    <row r="72" ht="24.0" customHeight="1">
      <c r="A72" s="1"/>
      <c r="B72" s="24" t="str">
        <f>HYPERLINK("https://www.compass.com/listing/456-prospect-avenue-unit-1l-brooklyn-ny-11215/1829255142475445097/view?agent_id=610d3f3370540700019b0833","456 Prospect Ave, Unit 1L")</f>
        <v>456 Prospect Ave, Unit 1L</v>
      </c>
      <c r="C72" s="25" t="s">
        <v>22</v>
      </c>
      <c r="D72" s="26" t="s">
        <v>23</v>
      </c>
      <c r="E72" s="27" t="str">
        <f>HYPERLINK("https://www.compass.com/building/456-prospect-ave-brooklyn-ny-11215/282500909240498709/","456 Prospect Ave")</f>
        <v>456 Prospect Ave</v>
      </c>
      <c r="F72" s="25" t="s">
        <v>40</v>
      </c>
      <c r="G72" s="28">
        <v>975000.0</v>
      </c>
      <c r="H72" s="28">
        <v>1250.0</v>
      </c>
      <c r="I72" s="28">
        <v>748.0</v>
      </c>
      <c r="J72" s="28">
        <v>0.0</v>
      </c>
      <c r="K72" s="25" t="s">
        <v>25</v>
      </c>
      <c r="L72" s="26">
        <v>6.0</v>
      </c>
      <c r="M72" s="26">
        <v>2.0</v>
      </c>
      <c r="N72" s="26">
        <v>1.0</v>
      </c>
      <c r="O72" s="30"/>
      <c r="P72" s="26">
        <v>780.0</v>
      </c>
      <c r="Q72" s="35">
        <v>87.0</v>
      </c>
      <c r="R72" s="32">
        <v>45862.0</v>
      </c>
      <c r="S72" s="32">
        <v>45775.0</v>
      </c>
      <c r="T72" s="29"/>
      <c r="U72" s="33"/>
      <c r="V72" s="1"/>
    </row>
    <row r="73" ht="24.0" customHeight="1">
      <c r="A73" s="1"/>
      <c r="B73" s="24" t="str">
        <f>HYPERLINK("https://www.compass.com/listing/303-west-66th-street-unit-6bw-manhattan-ny-10023/1775732128857742265/view?agent_id=610d3f3370540700019b0833","303 W 66th St, Unit 6BW")</f>
        <v>303 W 66th St, Unit 6BW</v>
      </c>
      <c r="C73" s="25" t="s">
        <v>22</v>
      </c>
      <c r="D73" s="26" t="s">
        <v>23</v>
      </c>
      <c r="E73" s="27" t="str">
        <f>HYPERLINK("https://www.compass.com/building/lincoln-guild-manhattan-ny/294835608891304661/","Lincoln Guild")</f>
        <v>Lincoln Guild</v>
      </c>
      <c r="F73" s="25" t="s">
        <v>29</v>
      </c>
      <c r="G73" s="28">
        <v>920000.0</v>
      </c>
      <c r="H73" s="29"/>
      <c r="I73" s="28">
        <v>1847.0</v>
      </c>
      <c r="J73" s="28">
        <v>0.0</v>
      </c>
      <c r="K73" s="25" t="s">
        <v>25</v>
      </c>
      <c r="L73" s="26">
        <v>4.0</v>
      </c>
      <c r="M73" s="26">
        <v>2.0</v>
      </c>
      <c r="N73" s="26">
        <v>1.0</v>
      </c>
      <c r="O73" s="30"/>
      <c r="P73" s="30"/>
      <c r="Q73" s="35">
        <v>161.0</v>
      </c>
      <c r="R73" s="32">
        <v>45855.0</v>
      </c>
      <c r="S73" s="32">
        <v>45701.0</v>
      </c>
      <c r="T73" s="29"/>
      <c r="U73" s="33"/>
      <c r="V73" s="1"/>
    </row>
    <row r="74" ht="24.0" customHeight="1">
      <c r="A74" s="1"/>
      <c r="B74" s="24" t="str">
        <f>HYPERLINK("https://www.compass.com/listing/786-9th-avenue-unit-2r-manhattan-ny-10019/1845889975655879873/view?agent_id=610d3f3370540700019b0833","786 9th Ave, Unit 2R")</f>
        <v>786 9th Ave, Unit 2R</v>
      </c>
      <c r="C74" s="25" t="s">
        <v>22</v>
      </c>
      <c r="D74" s="26" t="s">
        <v>23</v>
      </c>
      <c r="E74" s="27" t="str">
        <f>HYPERLINK("https://www.compass.com/building/786-9th-ave-manhattan-ny-10019/281947031474336229/","786 9th Ave")</f>
        <v>786 9th Ave</v>
      </c>
      <c r="F74" s="25" t="s">
        <v>47</v>
      </c>
      <c r="G74" s="28">
        <v>540000.0</v>
      </c>
      <c r="H74" s="29"/>
      <c r="I74" s="28">
        <v>325.0</v>
      </c>
      <c r="J74" s="28">
        <v>0.0</v>
      </c>
      <c r="K74" s="25" t="s">
        <v>25</v>
      </c>
      <c r="L74" s="26">
        <v>4.0</v>
      </c>
      <c r="M74" s="26">
        <v>2.0</v>
      </c>
      <c r="N74" s="26">
        <v>1.0</v>
      </c>
      <c r="O74" s="30"/>
      <c r="P74" s="30"/>
      <c r="Q74" s="35">
        <v>25.0</v>
      </c>
      <c r="R74" s="32">
        <v>45859.0</v>
      </c>
      <c r="S74" s="32">
        <v>45838.0</v>
      </c>
      <c r="T74" s="29"/>
      <c r="U74" s="33"/>
      <c r="V74" s="1"/>
    </row>
    <row r="75" ht="24.0" customHeight="1">
      <c r="A75" s="1"/>
      <c r="B75" s="24" t="str">
        <f>HYPERLINK("https://www.compass.com/listing/147-south-oxford-street-unit-2c-brooklyn-ny-11217/1866096078528044009/view?agent_id=610d3f3370540700019b0833","147 S Oxford St, Unit 2C")</f>
        <v>147 S Oxford St, Unit 2C</v>
      </c>
      <c r="C75" s="25" t="s">
        <v>22</v>
      </c>
      <c r="D75" s="26" t="s">
        <v>23</v>
      </c>
      <c r="E75" s="27" t="str">
        <f>HYPERLINK("https://www.compass.com/building/147-s-oxford-st-brooklyn-ny-11217/282504158903353573/","147 S Oxford St")</f>
        <v>147 S Oxford St</v>
      </c>
      <c r="F75" s="25" t="s">
        <v>59</v>
      </c>
      <c r="G75" s="28">
        <v>985000.0</v>
      </c>
      <c r="H75" s="29"/>
      <c r="I75" s="28">
        <v>998.0</v>
      </c>
      <c r="J75" s="28">
        <v>0.0</v>
      </c>
      <c r="K75" s="25" t="s">
        <v>25</v>
      </c>
      <c r="L75" s="26">
        <v>3.0</v>
      </c>
      <c r="M75" s="26">
        <v>2.0</v>
      </c>
      <c r="N75" s="26">
        <v>1.0</v>
      </c>
      <c r="O75" s="30"/>
      <c r="P75" s="30"/>
      <c r="Q75" s="35">
        <v>37.0</v>
      </c>
      <c r="R75" s="32">
        <v>45861.0</v>
      </c>
      <c r="S75" s="32">
        <v>45826.0</v>
      </c>
      <c r="T75" s="29"/>
      <c r="U75" s="33"/>
      <c r="V75" s="1"/>
    </row>
    <row r="76" ht="24.0" customHeight="1">
      <c r="A76" s="1"/>
      <c r="B76" s="24" t="str">
        <f>HYPERLINK("https://www.compass.com/listing/100-hudson-street-unit-4d-manhattan-ny-10013/1792050523157651785/view?agent_id=610d3f3370540700019b0833","100 Hudson St, Unit 4D")</f>
        <v>100 Hudson St, Unit 4D</v>
      </c>
      <c r="C76" s="25" t="s">
        <v>22</v>
      </c>
      <c r="D76" s="26" t="s">
        <v>23</v>
      </c>
      <c r="E76" s="27" t="str">
        <f>HYPERLINK("https://www.compass.com/building/100-hudson-st-manhattan-ny-10013/281916400547690373/","100 Hudson St")</f>
        <v>100 Hudson St</v>
      </c>
      <c r="F76" s="25" t="s">
        <v>60</v>
      </c>
      <c r="G76" s="28">
        <v>2195000.0</v>
      </c>
      <c r="H76" s="29"/>
      <c r="I76" s="28">
        <v>2349.0</v>
      </c>
      <c r="J76" s="28">
        <v>0.0</v>
      </c>
      <c r="K76" s="25" t="s">
        <v>25</v>
      </c>
      <c r="L76" s="26">
        <v>5.0</v>
      </c>
      <c r="M76" s="26">
        <v>2.0</v>
      </c>
      <c r="N76" s="26">
        <v>1.0</v>
      </c>
      <c r="O76" s="30"/>
      <c r="P76" s="30"/>
      <c r="Q76" s="35">
        <v>125.0</v>
      </c>
      <c r="R76" s="32">
        <v>45836.0</v>
      </c>
      <c r="S76" s="32">
        <v>45738.0</v>
      </c>
      <c r="T76" s="29"/>
      <c r="U76" s="33"/>
      <c r="V76" s="1"/>
    </row>
    <row r="77" ht="24.0" customHeight="1">
      <c r="A77" s="1"/>
      <c r="B77" s="24" t="str">
        <f>HYPERLINK("https://www.compass.com/listing/582-throop-avenue-unit-3b-brooklyn-ny-11216/1770765149629341865/view?agent_id=610d3f3370540700019b0833","582 Throop Ave, Unit 3B")</f>
        <v>582 Throop Ave, Unit 3B</v>
      </c>
      <c r="C77" s="25" t="s">
        <v>22</v>
      </c>
      <c r="D77" s="26" t="s">
        <v>23</v>
      </c>
      <c r="E77" s="27" t="str">
        <f>HYPERLINK("https://www.compass.com/building/582-throop-ave-brooklyn-ny-11216/293426210690637141/","582 Throop Ave")</f>
        <v>582 Throop Ave</v>
      </c>
      <c r="F77" s="25" t="s">
        <v>51</v>
      </c>
      <c r="G77" s="28">
        <v>775000.0</v>
      </c>
      <c r="H77" s="28">
        <v>918.0</v>
      </c>
      <c r="I77" s="28">
        <v>931.0</v>
      </c>
      <c r="J77" s="28">
        <v>4752.0</v>
      </c>
      <c r="K77" s="25" t="s">
        <v>28</v>
      </c>
      <c r="L77" s="26">
        <v>5.0</v>
      </c>
      <c r="M77" s="26">
        <v>2.0</v>
      </c>
      <c r="N77" s="26">
        <v>1.0</v>
      </c>
      <c r="O77" s="30"/>
      <c r="P77" s="26">
        <v>844.0</v>
      </c>
      <c r="Q77" s="35">
        <v>141.0</v>
      </c>
      <c r="R77" s="32">
        <v>45839.0</v>
      </c>
      <c r="S77" s="32">
        <v>45719.0</v>
      </c>
      <c r="T77" s="29"/>
      <c r="U77" s="33"/>
      <c r="V77" s="1"/>
    </row>
    <row r="78" ht="24.0" customHeight="1">
      <c r="A78" s="1"/>
      <c r="B78" s="24" t="str">
        <f>HYPERLINK("https://www.compass.com/listing/120-cabrini-boulevard-unit-48-manhattan-ny-10033/1882696029113888177/view?agent_id=610d3f3370540700019b0833","120 Cabrini Blvd, Unit 48")</f>
        <v>120 Cabrini Blvd, Unit 48</v>
      </c>
      <c r="C78" s="25" t="s">
        <v>22</v>
      </c>
      <c r="D78" s="26" t="s">
        <v>23</v>
      </c>
      <c r="E78" s="27" t="str">
        <f>HYPERLINK("https://www.compass.com/building/castle-village-manhattan-ny/282010127530198453/","Castle Village")</f>
        <v>Castle Village</v>
      </c>
      <c r="F78" s="25" t="s">
        <v>58</v>
      </c>
      <c r="G78" s="28">
        <v>865000.0</v>
      </c>
      <c r="H78" s="29"/>
      <c r="I78" s="28">
        <v>2195.0</v>
      </c>
      <c r="J78" s="28">
        <v>0.0</v>
      </c>
      <c r="K78" s="25" t="s">
        <v>25</v>
      </c>
      <c r="L78" s="26">
        <v>5.0</v>
      </c>
      <c r="M78" s="26">
        <v>2.0</v>
      </c>
      <c r="N78" s="26">
        <v>1.0</v>
      </c>
      <c r="O78" s="26">
        <v>0.0</v>
      </c>
      <c r="P78" s="30"/>
      <c r="Q78" s="35">
        <v>13.0</v>
      </c>
      <c r="R78" s="32">
        <v>45862.0</v>
      </c>
      <c r="S78" s="32">
        <v>45850.0</v>
      </c>
      <c r="T78" s="29"/>
      <c r="U78" s="33"/>
      <c r="V78" s="1"/>
    </row>
    <row r="79" ht="24.0" customHeight="1">
      <c r="A79" s="1"/>
      <c r="B79" s="24" t="str">
        <f>HYPERLINK("https://www.compass.com/listing/345-east-77th-street-unit-3c-manhattan-ny-10075/1832656705639819145/view?agent_id=610d3f3370540700019b0833","345 E 77th St, Unit 3C")</f>
        <v>345 E 77th St, Unit 3C</v>
      </c>
      <c r="C79" s="25" t="s">
        <v>22</v>
      </c>
      <c r="D79" s="26" t="s">
        <v>23</v>
      </c>
      <c r="E79" s="27" t="str">
        <f>HYPERLINK("https://www.compass.com/building/345-e-77th-st-manhattan-ny-10075/282044233529974597/","345 E 77th St")</f>
        <v>345 E 77th St</v>
      </c>
      <c r="F79" s="25" t="s">
        <v>44</v>
      </c>
      <c r="G79" s="28">
        <v>680000.0</v>
      </c>
      <c r="H79" s="29"/>
      <c r="I79" s="28">
        <v>2002.0</v>
      </c>
      <c r="J79" s="28">
        <v>0.0</v>
      </c>
      <c r="K79" s="25" t="s">
        <v>25</v>
      </c>
      <c r="L79" s="26">
        <v>4.0</v>
      </c>
      <c r="M79" s="26">
        <v>2.0</v>
      </c>
      <c r="N79" s="26">
        <v>1.0</v>
      </c>
      <c r="O79" s="30"/>
      <c r="P79" s="30"/>
      <c r="Q79" s="35">
        <v>83.0</v>
      </c>
      <c r="R79" s="32">
        <v>45861.0</v>
      </c>
      <c r="S79" s="32">
        <v>45780.0</v>
      </c>
      <c r="T79" s="29"/>
      <c r="U79" s="33"/>
      <c r="V79" s="1"/>
    </row>
    <row r="80" ht="24.0" customHeight="1">
      <c r="A80" s="1"/>
      <c r="B80" s="24" t="str">
        <f>HYPERLINK("https://www.compass.com/listing/33-east-end-avenue-unit-9f-manhattan-ny-10028/1829029887671670265/view?agent_id=610d3f3370540700019b0833","33 E End Ave, Unit 9F")</f>
        <v>33 E End Ave, Unit 9F</v>
      </c>
      <c r="C80" s="25" t="s">
        <v>22</v>
      </c>
      <c r="D80" s="26" t="s">
        <v>23</v>
      </c>
      <c r="E80" s="27" t="str">
        <f>HYPERLINK("https://www.compass.com/building/33-e-end-ave-manhattan-ny-10028/281986290260483797/","33 E End Ave")</f>
        <v>33 E End Ave</v>
      </c>
      <c r="F80" s="25" t="s">
        <v>44</v>
      </c>
      <c r="G80" s="28">
        <v>750000.0</v>
      </c>
      <c r="H80" s="29"/>
      <c r="I80" s="28">
        <v>2690.0</v>
      </c>
      <c r="J80" s="28">
        <v>0.0</v>
      </c>
      <c r="K80" s="25" t="s">
        <v>25</v>
      </c>
      <c r="L80" s="26">
        <v>4.0</v>
      </c>
      <c r="M80" s="26">
        <v>2.0</v>
      </c>
      <c r="N80" s="26">
        <v>1.0</v>
      </c>
      <c r="O80" s="30"/>
      <c r="P80" s="30"/>
      <c r="Q80" s="35">
        <v>88.0</v>
      </c>
      <c r="R80" s="32">
        <v>45843.0</v>
      </c>
      <c r="S80" s="32">
        <v>45775.0</v>
      </c>
      <c r="T80" s="29"/>
      <c r="U80" s="33"/>
      <c r="V80" s="1"/>
    </row>
    <row r="81" ht="24.0" customHeight="1">
      <c r="A81" s="1"/>
      <c r="B81" s="24" t="str">
        <f>HYPERLINK("https://www.compass.com/listing/464-east-new-york-avenue-brooklyn-ny-11225/1871887747165332521/view?agent_id=610d3f3370540700019b0833","464 E New York Ave")</f>
        <v>464 E New York Ave</v>
      </c>
      <c r="C81" s="25" t="s">
        <v>22</v>
      </c>
      <c r="D81" s="26" t="s">
        <v>23</v>
      </c>
      <c r="E81" s="27" t="str">
        <f>HYPERLINK("https://www.compass.com/building/464-e-new-york-ave-brooklyn-ny-11225/293417922301344485/","464 E New York Ave")</f>
        <v>464 E New York Ave</v>
      </c>
      <c r="F81" s="25" t="s">
        <v>61</v>
      </c>
      <c r="G81" s="28">
        <v>1250000.0</v>
      </c>
      <c r="H81" s="28">
        <v>1453.0</v>
      </c>
      <c r="I81" s="28">
        <v>282.0</v>
      </c>
      <c r="J81" s="28">
        <v>3382.0</v>
      </c>
      <c r="K81" s="25" t="s">
        <v>62</v>
      </c>
      <c r="L81" s="26">
        <v>4.0</v>
      </c>
      <c r="M81" s="26">
        <v>2.0</v>
      </c>
      <c r="N81" s="26">
        <v>1.0</v>
      </c>
      <c r="O81" s="30"/>
      <c r="P81" s="26">
        <v>860.0</v>
      </c>
      <c r="Q81" s="35">
        <v>29.0</v>
      </c>
      <c r="R81" s="32">
        <v>45840.0</v>
      </c>
      <c r="S81" s="32">
        <v>45834.0</v>
      </c>
      <c r="T81" s="29"/>
      <c r="U81" s="33"/>
      <c r="V81" s="1"/>
    </row>
    <row r="82" ht="24.0" customHeight="1">
      <c r="A82" s="1"/>
      <c r="B82" s="24" t="str">
        <f>HYPERLINK("https://www.compass.com/listing/345-east-70th-street-unit-5f-manhattan-ny-10021/1801718431073585105/view?agent_id=610d3f3370540700019b0833","345 E 70th St, Unit 5F")</f>
        <v>345 E 70th St, Unit 5F</v>
      </c>
      <c r="C82" s="25" t="s">
        <v>22</v>
      </c>
      <c r="D82" s="26" t="s">
        <v>23</v>
      </c>
      <c r="E82" s="26" t="s">
        <v>63</v>
      </c>
      <c r="F82" s="25" t="s">
        <v>64</v>
      </c>
      <c r="G82" s="28">
        <v>1390000.0</v>
      </c>
      <c r="H82" s="29"/>
      <c r="I82" s="28">
        <v>2068.0</v>
      </c>
      <c r="J82" s="28">
        <v>0.0</v>
      </c>
      <c r="K82" s="25" t="s">
        <v>25</v>
      </c>
      <c r="L82" s="26">
        <v>4.0</v>
      </c>
      <c r="M82" s="26">
        <v>2.0</v>
      </c>
      <c r="N82" s="26">
        <v>1.0</v>
      </c>
      <c r="O82" s="30"/>
      <c r="P82" s="30"/>
      <c r="Q82" s="35">
        <v>125.0</v>
      </c>
      <c r="R82" s="32">
        <v>45850.0</v>
      </c>
      <c r="S82" s="32">
        <v>45737.0</v>
      </c>
      <c r="T82" s="29"/>
      <c r="U82" s="33"/>
      <c r="V82" s="1"/>
    </row>
    <row r="83" ht="24.0" customHeight="1">
      <c r="A83" s="1"/>
      <c r="B83" s="24" t="str">
        <f>HYPERLINK("https://www.compass.com/listing/505-court-street-unit-3d-brooklyn-ny-11231/1783451027592198217/view?agent_id=610d3f3370540700019b0833","505 Court St, Unit 3D")</f>
        <v>505 Court St, Unit 3D</v>
      </c>
      <c r="C83" s="25" t="s">
        <v>22</v>
      </c>
      <c r="D83" s="26" t="s">
        <v>23</v>
      </c>
      <c r="E83" s="27" t="str">
        <f>HYPERLINK("https://www.compass.com/building/court-street-lofts-brooklyn-ny/282508453459612037/","Court Street Lofts")</f>
        <v>Court Street Lofts</v>
      </c>
      <c r="F83" s="25" t="s">
        <v>65</v>
      </c>
      <c r="G83" s="28">
        <v>1399000.0</v>
      </c>
      <c r="H83" s="28">
        <v>1050.0</v>
      </c>
      <c r="I83" s="28">
        <v>2103.0</v>
      </c>
      <c r="J83" s="28">
        <v>10716.0</v>
      </c>
      <c r="K83" s="25" t="s">
        <v>28</v>
      </c>
      <c r="L83" s="26">
        <v>4.0</v>
      </c>
      <c r="M83" s="26">
        <v>2.0</v>
      </c>
      <c r="N83" s="26">
        <v>1.0</v>
      </c>
      <c r="O83" s="26">
        <v>0.0</v>
      </c>
      <c r="P83" s="34">
        <v>1333.0</v>
      </c>
      <c r="Q83" s="35">
        <v>136.0</v>
      </c>
      <c r="R83" s="32">
        <v>45863.0</v>
      </c>
      <c r="S83" s="32">
        <v>45727.0</v>
      </c>
      <c r="T83" s="29"/>
      <c r="U83" s="33"/>
      <c r="V83" s="1"/>
    </row>
    <row r="84" ht="24.0" customHeight="1">
      <c r="A84" s="1"/>
      <c r="B84" s="24" t="str">
        <f>HYPERLINK("https://www.compass.com/listing/222-east-82nd-street-unit-5e-manhattan-ny-10028/1795822499450927545/view?agent_id=610d3f3370540700019b0833","222 E 82nd St, Unit 5E")</f>
        <v>222 E 82nd St, Unit 5E</v>
      </c>
      <c r="C84" s="25" t="s">
        <v>22</v>
      </c>
      <c r="D84" s="26" t="s">
        <v>23</v>
      </c>
      <c r="E84" s="27" t="str">
        <f>HYPERLINK("https://www.compass.com/building/222-e-82nd-st-manhattan-ny-10028/281985790039399477/","222 E 82nd St")</f>
        <v>222 E 82nd St</v>
      </c>
      <c r="F84" s="25" t="s">
        <v>44</v>
      </c>
      <c r="G84" s="28">
        <v>835000.0</v>
      </c>
      <c r="H84" s="29"/>
      <c r="I84" s="28">
        <v>1735.0</v>
      </c>
      <c r="J84" s="28">
        <v>0.0</v>
      </c>
      <c r="K84" s="25" t="s">
        <v>25</v>
      </c>
      <c r="L84" s="26">
        <v>5.0</v>
      </c>
      <c r="M84" s="26">
        <v>2.0</v>
      </c>
      <c r="N84" s="26">
        <v>1.0</v>
      </c>
      <c r="O84" s="30"/>
      <c r="P84" s="30"/>
      <c r="Q84" s="35">
        <v>129.0</v>
      </c>
      <c r="R84" s="32">
        <v>45861.0</v>
      </c>
      <c r="S84" s="32">
        <v>45734.0</v>
      </c>
      <c r="T84" s="29"/>
      <c r="U84" s="33"/>
      <c r="V84" s="1"/>
    </row>
    <row r="85" ht="24.0" customHeight="1">
      <c r="A85" s="1"/>
      <c r="B85" s="24" t="str">
        <f>HYPERLINK("https://www.compass.com/listing/310-east-46th-street-unit-20h-manhattan-ny-10017/1865283029844527225/view?agent_id=610d3f3370540700019b0833","310 E 46th St, Unit 20H")</f>
        <v>310 E 46th St, Unit 20H</v>
      </c>
      <c r="C85" s="25" t="s">
        <v>22</v>
      </c>
      <c r="D85" s="26" t="s">
        <v>23</v>
      </c>
      <c r="E85" s="27" t="str">
        <f>HYPERLINK("https://www.compass.com/building/turtle-bay-towers-manhattan-ny/292843173577817381/","Turtle Bay Towers")</f>
        <v>Turtle Bay Towers</v>
      </c>
      <c r="F85" s="25" t="s">
        <v>66</v>
      </c>
      <c r="G85" s="28">
        <v>999000.0</v>
      </c>
      <c r="H85" s="29"/>
      <c r="I85" s="28">
        <v>2739.0</v>
      </c>
      <c r="J85" s="28">
        <v>0.0</v>
      </c>
      <c r="K85" s="25" t="s">
        <v>49</v>
      </c>
      <c r="L85" s="26">
        <v>5.0</v>
      </c>
      <c r="M85" s="26">
        <v>2.0</v>
      </c>
      <c r="N85" s="26">
        <v>1.0</v>
      </c>
      <c r="O85" s="30"/>
      <c r="P85" s="30"/>
      <c r="Q85" s="35">
        <v>38.0</v>
      </c>
      <c r="R85" s="32">
        <v>45853.0</v>
      </c>
      <c r="S85" s="32">
        <v>45825.0</v>
      </c>
      <c r="T85" s="29"/>
      <c r="U85" s="33"/>
      <c r="V85" s="1"/>
    </row>
    <row r="86" ht="24.0" customHeight="1">
      <c r="A86" s="1"/>
      <c r="B86" s="24" t="str">
        <f>HYPERLINK("https://www.compass.com/listing/120-east-86th-street-unit-3d-manhattan-ny-10028/1761111867472769969/view?agent_id=610d3f3370540700019b0833","120 E 86th St, Unit 3D")</f>
        <v>120 E 86th St, Unit 3D</v>
      </c>
      <c r="C86" s="25" t="s">
        <v>22</v>
      </c>
      <c r="D86" s="26" t="s">
        <v>23</v>
      </c>
      <c r="E86" s="27" t="str">
        <f>HYPERLINK("https://www.compass.com/building/120-e-86th-st-manhattan-ny-10028/281984103367152933/","120 E 86th St")</f>
        <v>120 E 86th St</v>
      </c>
      <c r="F86" s="25" t="s">
        <v>44</v>
      </c>
      <c r="G86" s="28">
        <v>835000.0</v>
      </c>
      <c r="H86" s="29"/>
      <c r="I86" s="28">
        <v>1477.0</v>
      </c>
      <c r="J86" s="28">
        <v>0.0</v>
      </c>
      <c r="K86" s="25" t="s">
        <v>25</v>
      </c>
      <c r="L86" s="26">
        <v>5.0</v>
      </c>
      <c r="M86" s="26">
        <v>2.0</v>
      </c>
      <c r="N86" s="26">
        <v>1.0</v>
      </c>
      <c r="O86" s="30"/>
      <c r="P86" s="30"/>
      <c r="Q86" s="35">
        <v>171.0</v>
      </c>
      <c r="R86" s="32">
        <v>45857.0</v>
      </c>
      <c r="S86" s="32">
        <v>45692.0</v>
      </c>
      <c r="T86" s="29"/>
      <c r="U86" s="33"/>
      <c r="V86" s="1"/>
    </row>
    <row r="87" ht="24.0" customHeight="1">
      <c r="A87" s="1"/>
      <c r="B87" s="24" t="str">
        <f>HYPERLINK("https://www.compass.com/listing/169-east-78th-street-unit-5d-manhattan-ny-10075/1808760638147202361/view?agent_id=610d3f3370540700019b0833","169 E 78th St, Unit 5D")</f>
        <v>169 E 78th St, Unit 5D</v>
      </c>
      <c r="C87" s="25" t="s">
        <v>22</v>
      </c>
      <c r="D87" s="26" t="s">
        <v>23</v>
      </c>
      <c r="E87" s="27" t="str">
        <f>HYPERLINK("https://www.compass.com/building/169-e-78th-st-manhattan-ny-10075/292827434946971013/","169 E 78th St")</f>
        <v>169 E 78th St</v>
      </c>
      <c r="F87" s="25" t="s">
        <v>44</v>
      </c>
      <c r="G87" s="28">
        <v>1750000.0</v>
      </c>
      <c r="H87" s="29"/>
      <c r="I87" s="28">
        <v>4269.0</v>
      </c>
      <c r="J87" s="28">
        <v>0.0</v>
      </c>
      <c r="K87" s="25" t="s">
        <v>25</v>
      </c>
      <c r="L87" s="26">
        <v>5.0</v>
      </c>
      <c r="M87" s="26">
        <v>2.0</v>
      </c>
      <c r="N87" s="26">
        <v>1.0</v>
      </c>
      <c r="O87" s="30"/>
      <c r="P87" s="30"/>
      <c r="Q87" s="35">
        <v>116.0</v>
      </c>
      <c r="R87" s="32">
        <v>45747.0</v>
      </c>
      <c r="S87" s="32">
        <v>45747.0</v>
      </c>
      <c r="T87" s="29"/>
      <c r="U87" s="33"/>
      <c r="V87" s="1"/>
    </row>
    <row r="88" ht="24.0" customHeight="1">
      <c r="A88" s="1"/>
      <c r="B88" s="24" t="str">
        <f>HYPERLINK("https://www.compass.com/listing/936-5th-avenue-unit-2-manhattan-ny-10021/1687924994829631937/view?agent_id=610d3f3370540700019b0833","936 5th Ave, Unit 2")</f>
        <v>936 5th Ave, Unit 2</v>
      </c>
      <c r="C88" s="25" t="s">
        <v>22</v>
      </c>
      <c r="D88" s="26" t="s">
        <v>23</v>
      </c>
      <c r="E88" s="27" t="str">
        <f>HYPERLINK("https://www.compass.com/building/936-5th-ave-manhattan-ny-10021/281952082842420293/","936 5th Ave")</f>
        <v>936 5th Ave</v>
      </c>
      <c r="F88" s="25" t="s">
        <v>64</v>
      </c>
      <c r="G88" s="28">
        <v>575000.0</v>
      </c>
      <c r="H88" s="28">
        <v>821.0</v>
      </c>
      <c r="I88" s="28">
        <v>2227.0</v>
      </c>
      <c r="J88" s="28">
        <v>26724.0</v>
      </c>
      <c r="K88" s="25" t="s">
        <v>25</v>
      </c>
      <c r="L88" s="26">
        <v>5.0</v>
      </c>
      <c r="M88" s="26">
        <v>2.0</v>
      </c>
      <c r="N88" s="26">
        <v>1.0</v>
      </c>
      <c r="O88" s="26">
        <v>0.0</v>
      </c>
      <c r="P88" s="26">
        <v>700.0</v>
      </c>
      <c r="Q88" s="35">
        <v>282.0</v>
      </c>
      <c r="R88" s="32">
        <v>45786.0</v>
      </c>
      <c r="S88" s="32">
        <v>45580.0</v>
      </c>
      <c r="T88" s="29"/>
      <c r="U88" s="33"/>
      <c r="V88" s="1"/>
    </row>
    <row r="89" ht="24.0" customHeight="1">
      <c r="A89" s="1"/>
      <c r="B89" s="24" t="str">
        <f>HYPERLINK("https://www.compass.com/listing/360-furman-street-unit-511-brooklyn-ny-11201/1804685877145845833/view?agent_id=610d3f3370540700019b0833","360 Furman St, Unit 511")</f>
        <v>360 Furman St, Unit 511</v>
      </c>
      <c r="C89" s="25" t="s">
        <v>22</v>
      </c>
      <c r="D89" s="26" t="s">
        <v>23</v>
      </c>
      <c r="E89" s="27" t="str">
        <f>HYPERLINK("https://www.compass.com/building/one-brooklyn-bridge-park-brooklyn-ny/282511476177068565/","One Brooklyn Bridge Park")</f>
        <v>One Brooklyn Bridge Park</v>
      </c>
      <c r="F89" s="25" t="s">
        <v>52</v>
      </c>
      <c r="G89" s="28">
        <v>1259000.0</v>
      </c>
      <c r="H89" s="28">
        <v>1141.0</v>
      </c>
      <c r="I89" s="28">
        <v>2519.0</v>
      </c>
      <c r="J89" s="28">
        <v>13079.0</v>
      </c>
      <c r="K89" s="25" t="s">
        <v>28</v>
      </c>
      <c r="L89" s="26">
        <v>4.0</v>
      </c>
      <c r="M89" s="26">
        <v>2.0</v>
      </c>
      <c r="N89" s="26">
        <v>1.0</v>
      </c>
      <c r="O89" s="26">
        <v>0.0</v>
      </c>
      <c r="P89" s="34">
        <v>1103.0</v>
      </c>
      <c r="Q89" s="35">
        <v>121.0</v>
      </c>
      <c r="R89" s="32">
        <v>45855.0</v>
      </c>
      <c r="S89" s="32">
        <v>45741.0</v>
      </c>
      <c r="T89" s="29"/>
      <c r="U89" s="33"/>
      <c r="V89" s="1"/>
    </row>
    <row r="90" ht="24.0" customHeight="1">
      <c r="A90" s="1"/>
      <c r="B90" s="24" t="str">
        <f>HYPERLINK("https://www.compass.com/listing/936-5th-avenue-unit-medical-manhattan-ny-10021/1652273860125843401/view?agent_id=610d3f3370540700019b0833","936 5th Ave, Unit MEDICAL")</f>
        <v>936 5th Ave, Unit MEDICAL</v>
      </c>
      <c r="C90" s="25" t="s">
        <v>22</v>
      </c>
      <c r="D90" s="26" t="s">
        <v>23</v>
      </c>
      <c r="E90" s="27" t="str">
        <f>HYPERLINK("https://www.compass.com/building/936-5th-ave-manhattan-ny-10021/281952082842420293/","936 5th Ave")</f>
        <v>936 5th Ave</v>
      </c>
      <c r="F90" s="25" t="s">
        <v>64</v>
      </c>
      <c r="G90" s="28">
        <v>575000.0</v>
      </c>
      <c r="H90" s="28">
        <v>821.0</v>
      </c>
      <c r="I90" s="28">
        <v>3349.0</v>
      </c>
      <c r="J90" s="28">
        <v>40188.0</v>
      </c>
      <c r="K90" s="25" t="s">
        <v>25</v>
      </c>
      <c r="L90" s="26">
        <v>5.0</v>
      </c>
      <c r="M90" s="26">
        <v>2.0</v>
      </c>
      <c r="N90" s="26">
        <v>1.0</v>
      </c>
      <c r="O90" s="30"/>
      <c r="P90" s="26">
        <v>700.0</v>
      </c>
      <c r="Q90" s="35">
        <v>332.0</v>
      </c>
      <c r="R90" s="32">
        <v>45836.0</v>
      </c>
      <c r="S90" s="32">
        <v>45531.0</v>
      </c>
      <c r="T90" s="29"/>
      <c r="U90" s="33"/>
      <c r="V90" s="1"/>
    </row>
    <row r="91" ht="24.0" customHeight="1">
      <c r="A91" s="1"/>
      <c r="B91" s="24" t="str">
        <f>HYPERLINK("https://www.compass.com/listing/79-clay-street-unit-1r-brooklyn-ny-11222/1831916012256089081/view?agent_id=610d3f3370540700019b0833","79 Clay St, Unit 1R")</f>
        <v>79 Clay St, Unit 1R</v>
      </c>
      <c r="C91" s="25" t="s">
        <v>22</v>
      </c>
      <c r="D91" s="26" t="s">
        <v>23</v>
      </c>
      <c r="E91" s="27" t="str">
        <f>HYPERLINK("https://www.compass.com/building/79-clay-st-brooklyn-ny-11222/282421015307454565/","79 Clay St")</f>
        <v>79 Clay St</v>
      </c>
      <c r="F91" s="25" t="s">
        <v>56</v>
      </c>
      <c r="G91" s="28">
        <v>1350000.0</v>
      </c>
      <c r="H91" s="28">
        <v>1098.0</v>
      </c>
      <c r="I91" s="28">
        <v>1662.0</v>
      </c>
      <c r="J91" s="28">
        <v>15852.0</v>
      </c>
      <c r="K91" s="25" t="s">
        <v>28</v>
      </c>
      <c r="L91" s="26">
        <v>5.0</v>
      </c>
      <c r="M91" s="26">
        <v>2.0</v>
      </c>
      <c r="N91" s="26">
        <v>1.0</v>
      </c>
      <c r="O91" s="26">
        <v>0.0</v>
      </c>
      <c r="P91" s="34">
        <v>1229.0</v>
      </c>
      <c r="Q91" s="35">
        <v>84.0</v>
      </c>
      <c r="R91" s="32">
        <v>45862.0</v>
      </c>
      <c r="S91" s="32">
        <v>45779.0</v>
      </c>
      <c r="T91" s="29"/>
      <c r="U91" s="33"/>
      <c r="V91" s="1"/>
    </row>
    <row r="92" ht="24.0" customHeight="1">
      <c r="A92" s="1"/>
      <c r="B92" s="24" t="str">
        <f>HYPERLINK("https://www.compass.com/listing/411-west-44th-street-unit-13-manhattan-ny-10036/1806931605839463169/view?agent_id=610d3f3370540700019b0833","411 W 44th St, Unit 13")</f>
        <v>411 W 44th St, Unit 13</v>
      </c>
      <c r="C92" s="25" t="s">
        <v>22</v>
      </c>
      <c r="D92" s="26" t="s">
        <v>23</v>
      </c>
      <c r="E92" s="27" t="str">
        <f>HYPERLINK("https://www.compass.com/building/411-w-44th-st-manhattan-ny-10036/282024742993536325/","411 W 44th St")</f>
        <v>411 W 44th St</v>
      </c>
      <c r="F92" s="25" t="s">
        <v>47</v>
      </c>
      <c r="G92" s="28">
        <v>635000.0</v>
      </c>
      <c r="H92" s="29"/>
      <c r="I92" s="28">
        <v>1176.0</v>
      </c>
      <c r="J92" s="28">
        <v>0.0</v>
      </c>
      <c r="K92" s="25" t="s">
        <v>25</v>
      </c>
      <c r="L92" s="26">
        <v>4.0</v>
      </c>
      <c r="M92" s="26">
        <v>2.0</v>
      </c>
      <c r="N92" s="26">
        <v>1.0</v>
      </c>
      <c r="O92" s="30"/>
      <c r="P92" s="30"/>
      <c r="Q92" s="35">
        <v>94.0</v>
      </c>
      <c r="R92" s="32">
        <v>45859.0</v>
      </c>
      <c r="S92" s="32">
        <v>45768.0</v>
      </c>
      <c r="T92" s="29"/>
      <c r="U92" s="33"/>
      <c r="V92" s="1"/>
    </row>
    <row r="93" ht="24.0" customHeight="1">
      <c r="A93" s="1"/>
      <c r="B93" s="24" t="str">
        <f>HYPERLINK("https://www.compass.com/listing/200-west-54th-street-unit-8g-manhattan-ny-10019/1882197539036578801/view?agent_id=610d3f3370540700019b0833","200 W 54th St, Unit 8G")</f>
        <v>200 W 54th St, Unit 8G</v>
      </c>
      <c r="C93" s="25" t="s">
        <v>22</v>
      </c>
      <c r="D93" s="26" t="s">
        <v>23</v>
      </c>
      <c r="E93" s="27" t="str">
        <f>HYPERLINK("https://www.compass.com/building/the-adlon-manhattan-ny/292848968814103589/","The Adlon")</f>
        <v>The Adlon</v>
      </c>
      <c r="F93" s="25" t="s">
        <v>67</v>
      </c>
      <c r="G93" s="28">
        <v>1170000.0</v>
      </c>
      <c r="H93" s="29"/>
      <c r="I93" s="28">
        <v>2927.0</v>
      </c>
      <c r="J93" s="28">
        <v>0.0</v>
      </c>
      <c r="K93" s="25" t="s">
        <v>25</v>
      </c>
      <c r="L93" s="26">
        <v>5.0</v>
      </c>
      <c r="M93" s="26">
        <v>2.0</v>
      </c>
      <c r="N93" s="26">
        <v>1.0</v>
      </c>
      <c r="O93" s="26">
        <v>0.0</v>
      </c>
      <c r="P93" s="30"/>
      <c r="Q93" s="35">
        <v>14.0</v>
      </c>
      <c r="R93" s="32">
        <v>45860.0</v>
      </c>
      <c r="S93" s="32">
        <v>45848.0</v>
      </c>
      <c r="T93" s="29"/>
      <c r="U93" s="33"/>
      <c r="V93" s="1"/>
    </row>
    <row r="94" ht="24.0" customHeight="1">
      <c r="A94" s="1"/>
      <c r="B94" s="24" t="str">
        <f>HYPERLINK("https://www.compass.com/listing/65-east-76th-street-unit-1c-manhattan-ny-10021/1418813458532719265/view?agent_id=610d3f3370540700019b0833","65 E 76th St, Unit 1C")</f>
        <v>65 E 76th St, Unit 1C</v>
      </c>
      <c r="C94" s="25" t="s">
        <v>22</v>
      </c>
      <c r="D94" s="26" t="s">
        <v>23</v>
      </c>
      <c r="E94" s="27" t="str">
        <f>HYPERLINK("https://www.compass.com/building/65-e-76th-st-manhattan-ny-10021/281951725210895077/","65 E 76th St")</f>
        <v>65 E 76th St</v>
      </c>
      <c r="F94" s="25" t="s">
        <v>64</v>
      </c>
      <c r="G94" s="28">
        <v>349000.0</v>
      </c>
      <c r="H94" s="28">
        <v>332.0</v>
      </c>
      <c r="I94" s="28">
        <v>5437.0</v>
      </c>
      <c r="J94" s="28">
        <v>0.0</v>
      </c>
      <c r="K94" s="25" t="s">
        <v>25</v>
      </c>
      <c r="L94" s="26">
        <v>5.0</v>
      </c>
      <c r="M94" s="26">
        <v>2.0</v>
      </c>
      <c r="N94" s="26">
        <v>1.0</v>
      </c>
      <c r="O94" s="30"/>
      <c r="P94" s="34">
        <v>1050.0</v>
      </c>
      <c r="Q94" s="35">
        <v>423.0</v>
      </c>
      <c r="R94" s="32">
        <v>45852.0</v>
      </c>
      <c r="S94" s="32">
        <v>45209.0</v>
      </c>
      <c r="T94" s="29"/>
      <c r="U94" s="33"/>
      <c r="V94" s="1"/>
    </row>
    <row r="95" ht="24.0" customHeight="1">
      <c r="A95" s="1"/>
      <c r="B95" s="24" t="str">
        <f>HYPERLINK("https://www.compass.com/listing/395-riverside-drive-unit-7f-manhattan-ny-10025/1832090022294351737/view?agent_id=610d3f3370540700019b0833","395 Riverside Dr, Unit 7F")</f>
        <v>395 Riverside Dr, Unit 7F</v>
      </c>
      <c r="C95" s="25" t="s">
        <v>22</v>
      </c>
      <c r="D95" s="26" t="s">
        <v>23</v>
      </c>
      <c r="E95" s="27" t="str">
        <f>HYPERLINK("https://www.compass.com/building/395-riverside-dr-manhattan-ny-10025/281971668321130357/","395 Riverside Dr")</f>
        <v>395 Riverside Dr</v>
      </c>
      <c r="F95" s="25" t="s">
        <v>41</v>
      </c>
      <c r="G95" s="28">
        <v>1125000.0</v>
      </c>
      <c r="H95" s="29"/>
      <c r="I95" s="28">
        <v>1954.0</v>
      </c>
      <c r="J95" s="28">
        <v>0.0</v>
      </c>
      <c r="K95" s="25" t="s">
        <v>25</v>
      </c>
      <c r="L95" s="26">
        <v>4.0</v>
      </c>
      <c r="M95" s="26">
        <v>2.0</v>
      </c>
      <c r="N95" s="26">
        <v>1.0</v>
      </c>
      <c r="O95" s="30"/>
      <c r="P95" s="30"/>
      <c r="Q95" s="35">
        <v>80.0</v>
      </c>
      <c r="R95" s="32">
        <v>45835.0</v>
      </c>
      <c r="S95" s="32">
        <v>45783.0</v>
      </c>
      <c r="T95" s="29"/>
      <c r="U95" s="33"/>
      <c r="V95" s="1"/>
    </row>
    <row r="96" ht="24.0" customHeight="1">
      <c r="A96" s="1"/>
      <c r="B96" s="24" t="str">
        <f>HYPERLINK("https://www.compass.com/listing/406-west-46th-street-unit-4c-manhattan-ny-10036/1773912271790406145/view?agent_id=610d3f3370540700019b0833","406 W 46th St, Unit 4C")</f>
        <v>406 W 46th St, Unit 4C</v>
      </c>
      <c r="C96" s="25" t="s">
        <v>22</v>
      </c>
      <c r="D96" s="26" t="s">
        <v>23</v>
      </c>
      <c r="E96" s="27" t="str">
        <f>HYPERLINK("https://www.compass.com/building/406-w-46th-st-manhattan-ny-10036/282024648974020117/","406 W 46th St")</f>
        <v>406 W 46th St</v>
      </c>
      <c r="F96" s="25" t="s">
        <v>47</v>
      </c>
      <c r="G96" s="28">
        <v>655000.0</v>
      </c>
      <c r="H96" s="29"/>
      <c r="I96" s="28">
        <v>1856.0</v>
      </c>
      <c r="J96" s="28">
        <v>0.0</v>
      </c>
      <c r="K96" s="25" t="s">
        <v>25</v>
      </c>
      <c r="L96" s="26">
        <v>3.0</v>
      </c>
      <c r="M96" s="26">
        <v>2.0</v>
      </c>
      <c r="N96" s="26">
        <v>1.0</v>
      </c>
      <c r="O96" s="30"/>
      <c r="P96" s="30"/>
      <c r="Q96" s="35">
        <v>108.0</v>
      </c>
      <c r="R96" s="32">
        <v>45863.0</v>
      </c>
      <c r="S96" s="32">
        <v>45755.0</v>
      </c>
      <c r="T96" s="29"/>
      <c r="U96" s="33"/>
      <c r="V96" s="1"/>
    </row>
    <row r="97" ht="24.0" customHeight="1">
      <c r="A97" s="1"/>
      <c r="B97" s="24" t="str">
        <f>HYPERLINK("https://www.compass.com/listing/21-37-33rd-street-unit-5b-queens-ny-11105/1880621054746537681/view?agent_id=610d3f3370540700019b0833","21-37 33rd St, Unit 5B")</f>
        <v>21-37 33rd St, Unit 5B</v>
      </c>
      <c r="C97" s="25" t="s">
        <v>22</v>
      </c>
      <c r="D97" s="26" t="s">
        <v>23</v>
      </c>
      <c r="E97" s="27" t="str">
        <f>HYPERLINK("https://www.compass.com/building/21-37-33rd-st-queens-ny-11105/307451530374097189/","21-37 33rd St")</f>
        <v>21-37 33rd St</v>
      </c>
      <c r="F97" s="25" t="s">
        <v>68</v>
      </c>
      <c r="G97" s="28">
        <v>260000.0</v>
      </c>
      <c r="H97" s="28">
        <v>347.0</v>
      </c>
      <c r="I97" s="28">
        <v>1200.0</v>
      </c>
      <c r="J97" s="28">
        <v>0.0</v>
      </c>
      <c r="K97" s="25" t="s">
        <v>25</v>
      </c>
      <c r="L97" s="26">
        <v>4.0</v>
      </c>
      <c r="M97" s="26">
        <v>2.0</v>
      </c>
      <c r="N97" s="26">
        <v>1.0</v>
      </c>
      <c r="O97" s="30"/>
      <c r="P97" s="26">
        <v>750.0</v>
      </c>
      <c r="Q97" s="35">
        <v>17.0</v>
      </c>
      <c r="R97" s="32">
        <v>45853.0</v>
      </c>
      <c r="S97" s="32">
        <v>45846.0</v>
      </c>
      <c r="T97" s="29"/>
      <c r="U97" s="33"/>
      <c r="V97" s="1"/>
    </row>
    <row r="98" ht="24.0" customHeight="1">
      <c r="A98" s="1"/>
      <c r="B98" s="24" t="str">
        <f>HYPERLINK("https://www.compass.com/listing/702-hancock-street-unit-3b-brooklyn-ny-11233/1805130462011885441/view?agent_id=610d3f3370540700019b0833","702 Hancock St, Unit 3B")</f>
        <v>702 Hancock St, Unit 3B</v>
      </c>
      <c r="C98" s="25" t="s">
        <v>22</v>
      </c>
      <c r="D98" s="26" t="s">
        <v>23</v>
      </c>
      <c r="E98" s="27" t="str">
        <f>HYPERLINK("https://www.compass.com/building/702-hancock-st-brooklyn-ny-11233/293533814049759589/","702 Hancock St")</f>
        <v>702 Hancock St</v>
      </c>
      <c r="F98" s="25" t="s">
        <v>51</v>
      </c>
      <c r="G98" s="28">
        <v>829000.0</v>
      </c>
      <c r="H98" s="28">
        <v>1067.0</v>
      </c>
      <c r="I98" s="28">
        <v>349.0</v>
      </c>
      <c r="J98" s="28">
        <v>813.0</v>
      </c>
      <c r="K98" s="25" t="s">
        <v>28</v>
      </c>
      <c r="L98" s="26">
        <v>5.0</v>
      </c>
      <c r="M98" s="26">
        <v>2.0</v>
      </c>
      <c r="N98" s="26">
        <v>1.0</v>
      </c>
      <c r="O98" s="26">
        <v>0.0</v>
      </c>
      <c r="P98" s="26">
        <v>777.0</v>
      </c>
      <c r="Q98" s="35">
        <v>84.0</v>
      </c>
      <c r="R98" s="32">
        <v>45860.0</v>
      </c>
      <c r="S98" s="32">
        <v>45779.0</v>
      </c>
      <c r="T98" s="29"/>
      <c r="U98" s="33"/>
      <c r="V98" s="1"/>
    </row>
    <row r="99" ht="24.0" customHeight="1">
      <c r="A99" s="1"/>
      <c r="B99" s="24" t="str">
        <f>HYPERLINK("https://www.compass.com/listing/235-east-87th-street-unit-10b-manhattan-ny-10128/1841531410362801553/view?agent_id=610d3f3370540700019b0833","235 E 87th St, Unit 10B")</f>
        <v>235 E 87th St, Unit 10B</v>
      </c>
      <c r="C99" s="25" t="s">
        <v>22</v>
      </c>
      <c r="D99" s="26" t="s">
        <v>23</v>
      </c>
      <c r="E99" s="27" t="str">
        <f>HYPERLINK("https://www.compass.com/building/the-plymouth-house-manhattan-ny/282050471919644629/","The Plymouth House")</f>
        <v>The Plymouth House</v>
      </c>
      <c r="F99" s="25" t="s">
        <v>44</v>
      </c>
      <c r="G99" s="28">
        <v>799000.0</v>
      </c>
      <c r="H99" s="29"/>
      <c r="I99" s="28">
        <v>2766.0</v>
      </c>
      <c r="J99" s="28">
        <v>0.0</v>
      </c>
      <c r="K99" s="25" t="s">
        <v>25</v>
      </c>
      <c r="L99" s="26">
        <v>4.0</v>
      </c>
      <c r="M99" s="26">
        <v>2.0</v>
      </c>
      <c r="N99" s="26">
        <v>1.0</v>
      </c>
      <c r="O99" s="30"/>
      <c r="P99" s="30"/>
      <c r="Q99" s="35">
        <v>71.0</v>
      </c>
      <c r="R99" s="32">
        <v>45853.0</v>
      </c>
      <c r="S99" s="32">
        <v>45792.0</v>
      </c>
      <c r="T99" s="29"/>
      <c r="U99" s="33"/>
      <c r="V99" s="1"/>
    </row>
    <row r="100" ht="24.0" customHeight="1">
      <c r="A100" s="1"/>
      <c r="B100" s="24" t="str">
        <f>HYPERLINK("https://www.compass.com/listing/1546-broadway-unit-2a-brooklyn-ny-11233/1795066904477254521/view?agent_id=610d3f3370540700019b0833","1546 Broadway, Unit 2A")</f>
        <v>1546 Broadway, Unit 2A</v>
      </c>
      <c r="C100" s="25" t="s">
        <v>22</v>
      </c>
      <c r="D100" s="26" t="s">
        <v>23</v>
      </c>
      <c r="E100" s="27" t="str">
        <f>HYPERLINK("https://www.compass.com/building/1546-broadway-brooklyn-ny-11233/293529815284264837/","1546 Broadway")</f>
        <v>1546 Broadway</v>
      </c>
      <c r="F100" s="25" t="s">
        <v>51</v>
      </c>
      <c r="G100" s="28">
        <v>603630.0</v>
      </c>
      <c r="H100" s="28">
        <v>855.0</v>
      </c>
      <c r="I100" s="28">
        <v>942.0</v>
      </c>
      <c r="J100" s="28">
        <v>8592.0</v>
      </c>
      <c r="K100" s="25" t="s">
        <v>28</v>
      </c>
      <c r="L100" s="26">
        <v>4.0</v>
      </c>
      <c r="M100" s="26">
        <v>2.0</v>
      </c>
      <c r="N100" s="26">
        <v>1.0</v>
      </c>
      <c r="O100" s="30"/>
      <c r="P100" s="26">
        <v>706.0</v>
      </c>
      <c r="Q100" s="35">
        <v>135.0</v>
      </c>
      <c r="R100" s="32">
        <v>45861.0</v>
      </c>
      <c r="S100" s="32">
        <v>45728.0</v>
      </c>
      <c r="T100" s="29"/>
      <c r="U100" s="33"/>
      <c r="V100" s="1"/>
    </row>
    <row r="101" ht="24.0" customHeight="1">
      <c r="A101" s="1"/>
      <c r="B101" s="24" t="str">
        <f>HYPERLINK("https://www.compass.com/listing/605-west-111th-street-unit-43-manhattan-ny-10025/1818433297636720561/view?agent_id=610d3f3370540700019b0833","605 W 111th St, Unit 43")</f>
        <v>605 W 111th St, Unit 43</v>
      </c>
      <c r="C101" s="25" t="s">
        <v>22</v>
      </c>
      <c r="D101" s="26" t="s">
        <v>23</v>
      </c>
      <c r="E101" s="27" t="str">
        <f>HYPERLINK("https://www.compass.com/building/605-w-111th-st-manhattan-ny-10025/294838270009651429/","605 W 111th St")</f>
        <v>605 W 111th St</v>
      </c>
      <c r="F101" s="25" t="s">
        <v>41</v>
      </c>
      <c r="G101" s="28">
        <v>975000.0</v>
      </c>
      <c r="H101" s="29"/>
      <c r="I101" s="28">
        <v>1549.0</v>
      </c>
      <c r="J101" s="28">
        <v>0.0</v>
      </c>
      <c r="K101" s="25" t="s">
        <v>25</v>
      </c>
      <c r="L101" s="26">
        <v>5.0</v>
      </c>
      <c r="M101" s="26">
        <v>2.0</v>
      </c>
      <c r="N101" s="26">
        <v>1.0</v>
      </c>
      <c r="O101" s="26">
        <v>0.0</v>
      </c>
      <c r="P101" s="30"/>
      <c r="Q101" s="35">
        <v>100.0</v>
      </c>
      <c r="R101" s="32">
        <v>45859.0</v>
      </c>
      <c r="S101" s="32">
        <v>45763.0</v>
      </c>
      <c r="T101" s="29"/>
      <c r="U101" s="33"/>
      <c r="V101" s="1"/>
    </row>
    <row r="102" ht="24.0" customHeight="1">
      <c r="A102" s="1"/>
      <c r="B102" s="24" t="str">
        <f>HYPERLINK("https://www.compass.com/listing/220-06-stronghurst-avenue-unit-uppr-queens-ny-11427/1874778937728620073/view?agent_id=610d3f3370540700019b0833","220-06 Stronghurst Ave, Unit UPPR")</f>
        <v>220-06 Stronghurst Ave, Unit UPPR</v>
      </c>
      <c r="C102" s="25" t="s">
        <v>22</v>
      </c>
      <c r="D102" s="26" t="s">
        <v>23</v>
      </c>
      <c r="E102" s="27" t="str">
        <f>HYPERLINK("https://www.compass.com/building/220-06-stronghurst-ave-queens-ny-11427/445798427298135149/","220-06 Stronghurst Ave")</f>
        <v>220-06 Stronghurst Ave</v>
      </c>
      <c r="F102" s="25" t="s">
        <v>69</v>
      </c>
      <c r="G102" s="28">
        <v>299999.0</v>
      </c>
      <c r="H102" s="28">
        <v>459.0</v>
      </c>
      <c r="I102" s="28">
        <v>945.0</v>
      </c>
      <c r="J102" s="29"/>
      <c r="K102" s="25" t="s">
        <v>25</v>
      </c>
      <c r="L102" s="26">
        <v>5.0</v>
      </c>
      <c r="M102" s="26">
        <v>2.0</v>
      </c>
      <c r="N102" s="26">
        <v>1.0</v>
      </c>
      <c r="O102" s="30"/>
      <c r="P102" s="26">
        <v>653.0</v>
      </c>
      <c r="Q102" s="35">
        <v>12.0</v>
      </c>
      <c r="R102" s="32">
        <v>45852.0</v>
      </c>
      <c r="S102" s="32">
        <v>45852.0</v>
      </c>
      <c r="T102" s="29"/>
      <c r="U102" s="33"/>
      <c r="V102" s="1"/>
    </row>
    <row r="103" ht="24.0" customHeight="1">
      <c r="A103" s="1"/>
      <c r="B103" s="24" t="str">
        <f>HYPERLINK("https://www.compass.com/listing/224-17-manor-road-unit-lowr-queens-ny-11427/1831332555964311809/view?agent_id=610d3f3370540700019b0833","224-17 Manor Rd, Unit LOWR")</f>
        <v>224-17 Manor Rd, Unit LOWR</v>
      </c>
      <c r="C103" s="25" t="s">
        <v>22</v>
      </c>
      <c r="D103" s="26" t="s">
        <v>23</v>
      </c>
      <c r="E103" s="27" t="str">
        <f>HYPERLINK("https://www.compass.com/building/224-17-manor-rd-queens-ny-11427/445083416267183117/","224-17 Manor Rd")</f>
        <v>224-17 Manor Rd</v>
      </c>
      <c r="F103" s="25" t="s">
        <v>69</v>
      </c>
      <c r="G103" s="28">
        <v>290000.0</v>
      </c>
      <c r="H103" s="28">
        <v>414.0</v>
      </c>
      <c r="I103" s="28">
        <v>941.0</v>
      </c>
      <c r="J103" s="29"/>
      <c r="K103" s="25" t="s">
        <v>25</v>
      </c>
      <c r="L103" s="26">
        <v>5.0</v>
      </c>
      <c r="M103" s="26">
        <v>2.0</v>
      </c>
      <c r="N103" s="26">
        <v>1.0</v>
      </c>
      <c r="O103" s="30"/>
      <c r="P103" s="26">
        <v>700.0</v>
      </c>
      <c r="Q103" s="35">
        <v>10.0</v>
      </c>
      <c r="R103" s="32">
        <v>45858.0</v>
      </c>
      <c r="S103" s="32">
        <v>45853.0</v>
      </c>
      <c r="T103" s="29"/>
      <c r="U103" s="33"/>
      <c r="V103" s="1"/>
    </row>
    <row r="104" ht="24.0" customHeight="1">
      <c r="A104" s="1"/>
      <c r="B104" s="24" t="str">
        <f>HYPERLINK("https://www.compass.com/listing/130-east-94th-street-unit-1a-manhattan-ny-10128/1831223316533107337/view?agent_id=610d3f3370540700019b0833","130 E 94th St, Unit 1A")</f>
        <v>130 E 94th St, Unit 1A</v>
      </c>
      <c r="C104" s="25" t="s">
        <v>22</v>
      </c>
      <c r="D104" s="26" t="s">
        <v>23</v>
      </c>
      <c r="E104" s="27" t="str">
        <f>HYPERLINK("https://www.compass.com/building/130-e-94th-st-manhattan-ny-10128/282046949064992373/","130 E 94th St")</f>
        <v>130 E 94th St</v>
      </c>
      <c r="F104" s="25" t="s">
        <v>44</v>
      </c>
      <c r="G104" s="28">
        <v>825000.0</v>
      </c>
      <c r="H104" s="29"/>
      <c r="I104" s="28">
        <v>3760.0</v>
      </c>
      <c r="J104" s="28">
        <v>0.0</v>
      </c>
      <c r="K104" s="25" t="s">
        <v>25</v>
      </c>
      <c r="L104" s="26">
        <v>4.0</v>
      </c>
      <c r="M104" s="26">
        <v>2.0</v>
      </c>
      <c r="N104" s="26">
        <v>1.0</v>
      </c>
      <c r="O104" s="26">
        <v>0.0</v>
      </c>
      <c r="P104" s="30"/>
      <c r="Q104" s="35">
        <v>85.0</v>
      </c>
      <c r="R104" s="32">
        <v>45861.0</v>
      </c>
      <c r="S104" s="32">
        <v>45778.0</v>
      </c>
      <c r="T104" s="29"/>
      <c r="U104" s="33"/>
      <c r="V104" s="1"/>
    </row>
    <row r="105" ht="24.0" customHeight="1">
      <c r="A105" s="1"/>
      <c r="B105" s="24" t="str">
        <f>HYPERLINK("https://www.compass.com/listing/600-west-115th-street-unit-1004-manhattan-ny-10025/1672571609887658121/view?agent_id=610d3f3370540700019b0833","600 W 115th St, Unit 1004")</f>
        <v>600 W 115th St, Unit 1004</v>
      </c>
      <c r="C105" s="25" t="s">
        <v>22</v>
      </c>
      <c r="D105" s="26" t="s">
        <v>23</v>
      </c>
      <c r="E105" s="27" t="str">
        <f>HYPERLINK("https://www.compass.com/building/the-luxor-manhattan-ny/292878070849825413/","The Luxor")</f>
        <v>The Luxor</v>
      </c>
      <c r="F105" s="25" t="s">
        <v>41</v>
      </c>
      <c r="G105" s="28">
        <v>1415000.0</v>
      </c>
      <c r="H105" s="28">
        <v>1110.0</v>
      </c>
      <c r="I105" s="28">
        <v>2141.0</v>
      </c>
      <c r="J105" s="28">
        <v>0.0</v>
      </c>
      <c r="K105" s="25" t="s">
        <v>49</v>
      </c>
      <c r="L105" s="26">
        <v>6.0</v>
      </c>
      <c r="M105" s="26">
        <v>2.0</v>
      </c>
      <c r="N105" s="26">
        <v>1.0</v>
      </c>
      <c r="O105" s="26">
        <v>0.0</v>
      </c>
      <c r="P105" s="34">
        <v>1275.0</v>
      </c>
      <c r="Q105" s="35">
        <v>291.0</v>
      </c>
      <c r="R105" s="32">
        <v>45859.0</v>
      </c>
      <c r="S105" s="32">
        <v>45572.0</v>
      </c>
      <c r="T105" s="29"/>
      <c r="U105" s="33"/>
      <c r="V105" s="1"/>
    </row>
    <row r="106" ht="24.0" customHeight="1">
      <c r="A106" s="1"/>
      <c r="B106" s="24" t="str">
        <f>HYPERLINK("https://www.compass.com/listing/2461-east-29th-street-unit-5g-brooklyn-ny-11235/1891251170496522633/view?agent_id=610d3f3370540700019b0833","2461 E 29th St, Unit 5G")</f>
        <v>2461 E 29th St, Unit 5G</v>
      </c>
      <c r="C106" s="25" t="s">
        <v>22</v>
      </c>
      <c r="D106" s="26" t="s">
        <v>23</v>
      </c>
      <c r="E106" s="27" t="str">
        <f>HYPERLINK("https://www.compass.com/building/2461-e-29th-st-brooklyn-ny-11235/294845675480831701/","2461 E 29th St")</f>
        <v>2461 E 29th St</v>
      </c>
      <c r="F106" s="25" t="s">
        <v>70</v>
      </c>
      <c r="G106" s="28">
        <v>299000.0</v>
      </c>
      <c r="H106" s="29"/>
      <c r="I106" s="28">
        <v>1010.0</v>
      </c>
      <c r="J106" s="28">
        <v>0.0</v>
      </c>
      <c r="K106" s="25" t="s">
        <v>25</v>
      </c>
      <c r="L106" s="26">
        <v>5.0</v>
      </c>
      <c r="M106" s="26">
        <v>2.0</v>
      </c>
      <c r="N106" s="26">
        <v>1.0</v>
      </c>
      <c r="O106" s="30"/>
      <c r="P106" s="30"/>
      <c r="Q106" s="35">
        <v>2.0</v>
      </c>
      <c r="R106" s="32">
        <v>45861.0</v>
      </c>
      <c r="S106" s="32">
        <v>45861.0</v>
      </c>
      <c r="T106" s="29"/>
      <c r="U106" s="33"/>
      <c r="V106" s="1"/>
    </row>
    <row r="107" ht="24.0" customHeight="1">
      <c r="A107" s="1"/>
      <c r="B107" s="24" t="str">
        <f>HYPERLINK("https://www.compass.com/listing/350-east-62nd-street-unit-4l-manhattan-ny-10065/1689932775850526081/view?agent_id=610d3f3370540700019b0833","350 E 62nd St, Unit 4L")</f>
        <v>350 E 62nd St, Unit 4L</v>
      </c>
      <c r="C107" s="25" t="s">
        <v>22</v>
      </c>
      <c r="D107" s="26" t="s">
        <v>23</v>
      </c>
      <c r="E107" s="27" t="str">
        <f>HYPERLINK("https://www.compass.com/building/350-e-62nd-st-manhattan-ny-10065/282039234506806085/","350 E 62nd St")</f>
        <v>350 E 62nd St</v>
      </c>
      <c r="F107" s="25" t="s">
        <v>64</v>
      </c>
      <c r="G107" s="28">
        <v>1050000.0</v>
      </c>
      <c r="H107" s="28">
        <v>1050.0</v>
      </c>
      <c r="I107" s="28">
        <v>2295.0</v>
      </c>
      <c r="J107" s="28">
        <v>14172.0</v>
      </c>
      <c r="K107" s="25" t="s">
        <v>28</v>
      </c>
      <c r="L107" s="26">
        <v>4.0</v>
      </c>
      <c r="M107" s="26">
        <v>2.0</v>
      </c>
      <c r="N107" s="26">
        <v>1.0</v>
      </c>
      <c r="O107" s="30"/>
      <c r="P107" s="34">
        <v>1000.0</v>
      </c>
      <c r="Q107" s="35">
        <v>280.0</v>
      </c>
      <c r="R107" s="32">
        <v>45862.0</v>
      </c>
      <c r="S107" s="32">
        <v>45583.0</v>
      </c>
      <c r="T107" s="29"/>
      <c r="U107" s="33"/>
      <c r="V107" s="1"/>
    </row>
    <row r="108" ht="24.0" customHeight="1">
      <c r="A108" s="1"/>
      <c r="B108" s="24" t="str">
        <f>HYPERLINK("https://www.compass.com/listing/525-east-89th-street-unit-2l-manhattan-ny-10128/1694307483251547001/view?agent_id=610d3f3370540700019b0833","525 E 89th St, Unit 2L")</f>
        <v>525 E 89th St, Unit 2L</v>
      </c>
      <c r="C108" s="25" t="s">
        <v>22</v>
      </c>
      <c r="D108" s="26" t="s">
        <v>23</v>
      </c>
      <c r="E108" s="27" t="str">
        <f>HYPERLINK("https://www.compass.com/building/gracie-gardens-manhattan-ny/282053097646223109/","Gracie Gardens")</f>
        <v>Gracie Gardens</v>
      </c>
      <c r="F108" s="25" t="s">
        <v>44</v>
      </c>
      <c r="G108" s="28">
        <v>775000.0</v>
      </c>
      <c r="H108" s="29"/>
      <c r="I108" s="28">
        <v>2478.0</v>
      </c>
      <c r="J108" s="28">
        <v>0.0</v>
      </c>
      <c r="K108" s="25" t="s">
        <v>25</v>
      </c>
      <c r="L108" s="26">
        <v>4.0</v>
      </c>
      <c r="M108" s="26">
        <v>2.0</v>
      </c>
      <c r="N108" s="26">
        <v>1.0</v>
      </c>
      <c r="O108" s="26">
        <v>0.0</v>
      </c>
      <c r="P108" s="30"/>
      <c r="Q108" s="35">
        <v>274.0</v>
      </c>
      <c r="R108" s="32">
        <v>45855.0</v>
      </c>
      <c r="S108" s="32">
        <v>45589.0</v>
      </c>
      <c r="T108" s="29"/>
      <c r="U108" s="33"/>
      <c r="V108" s="1"/>
    </row>
    <row r="109" ht="24.0" customHeight="1">
      <c r="A109" s="1"/>
      <c r="B109" s="24" t="str">
        <f>HYPERLINK("https://www.compass.com/listing/115-east-90th-street-unit-4e-manhattan-ny-10128/1774735914305744889/view?agent_id=610d3f3370540700019b0833","115 E 90th St, Unit 4E")</f>
        <v>115 E 90th St, Unit 4E</v>
      </c>
      <c r="C109" s="25" t="s">
        <v>22</v>
      </c>
      <c r="D109" s="26" t="s">
        <v>23</v>
      </c>
      <c r="E109" s="27" t="str">
        <f>HYPERLINK("https://www.compass.com/building/115-e-90th-st-manhattan-ny-10128/282046082488230949/","115 E 90th St")</f>
        <v>115 E 90th St</v>
      </c>
      <c r="F109" s="25" t="s">
        <v>44</v>
      </c>
      <c r="G109" s="28">
        <v>899000.0</v>
      </c>
      <c r="H109" s="29"/>
      <c r="I109" s="28">
        <v>2854.0</v>
      </c>
      <c r="J109" s="28">
        <v>0.0</v>
      </c>
      <c r="K109" s="25" t="s">
        <v>25</v>
      </c>
      <c r="L109" s="26">
        <v>4.0</v>
      </c>
      <c r="M109" s="26">
        <v>2.0</v>
      </c>
      <c r="N109" s="26">
        <v>1.0</v>
      </c>
      <c r="O109" s="30"/>
      <c r="P109" s="30"/>
      <c r="Q109" s="35">
        <v>136.0</v>
      </c>
      <c r="R109" s="32">
        <v>45859.0</v>
      </c>
      <c r="S109" s="32">
        <v>45727.0</v>
      </c>
      <c r="T109" s="29"/>
      <c r="U109" s="33"/>
      <c r="V109" s="1"/>
    </row>
    <row r="110" ht="24.0" customHeight="1">
      <c r="A110" s="1"/>
      <c r="B110" s="24" t="str">
        <f>HYPERLINK("https://www.compass.com/listing/315-east-88th-street-unit-5e-manhattan-ny-10128/1800756093829957665/view?agent_id=610d3f3370540700019b0833","315 E 88th St, Unit 5E")</f>
        <v>315 E 88th St, Unit 5E</v>
      </c>
      <c r="C110" s="25" t="s">
        <v>22</v>
      </c>
      <c r="D110" s="26" t="s">
        <v>23</v>
      </c>
      <c r="E110" s="27" t="str">
        <f>HYPERLINK("https://www.compass.com/building/315-e-88th-st-manhattan-ny-10128/282064165634348229/","315 E 88th St")</f>
        <v>315 E 88th St</v>
      </c>
      <c r="F110" s="25" t="s">
        <v>44</v>
      </c>
      <c r="G110" s="28">
        <v>749000.0</v>
      </c>
      <c r="H110" s="29"/>
      <c r="I110" s="28">
        <v>1849.0</v>
      </c>
      <c r="J110" s="28">
        <v>0.0</v>
      </c>
      <c r="K110" s="25" t="s">
        <v>25</v>
      </c>
      <c r="L110" s="26">
        <v>4.0</v>
      </c>
      <c r="M110" s="26">
        <v>2.0</v>
      </c>
      <c r="N110" s="26">
        <v>1.0</v>
      </c>
      <c r="O110" s="30"/>
      <c r="P110" s="30"/>
      <c r="Q110" s="35">
        <v>125.0</v>
      </c>
      <c r="R110" s="32">
        <v>45854.0</v>
      </c>
      <c r="S110" s="32">
        <v>45738.0</v>
      </c>
      <c r="T110" s="29"/>
      <c r="U110" s="33"/>
      <c r="V110" s="1"/>
    </row>
    <row r="111" ht="24.0" customHeight="1">
      <c r="A111" s="1"/>
      <c r="B111" s="24" t="str">
        <f>HYPERLINK("https://www.compass.com/listing/130-lenox-avenue-unit-522-manhattan-ny-10026/1863181195885337289/view?agent_id=610d3f3370540700019b0833","130 Lenox Ave, Unit 522")</f>
        <v>130 Lenox Ave, Unit 522</v>
      </c>
      <c r="C111" s="25" t="s">
        <v>22</v>
      </c>
      <c r="D111" s="26" t="s">
        <v>23</v>
      </c>
      <c r="E111" s="27" t="str">
        <f>HYPERLINK("https://www.compass.com/building/the-renaissance-manhattan-ny/281974458774807237/","The Renaissance")</f>
        <v>The Renaissance</v>
      </c>
      <c r="F111" s="25" t="s">
        <v>45</v>
      </c>
      <c r="G111" s="28">
        <v>475500.0</v>
      </c>
      <c r="H111" s="29"/>
      <c r="I111" s="28">
        <v>1393.0</v>
      </c>
      <c r="J111" s="28">
        <v>0.0</v>
      </c>
      <c r="K111" s="25" t="s">
        <v>25</v>
      </c>
      <c r="L111" s="26">
        <v>4.0</v>
      </c>
      <c r="M111" s="26">
        <v>2.0</v>
      </c>
      <c r="N111" s="26">
        <v>1.0</v>
      </c>
      <c r="O111" s="30"/>
      <c r="P111" s="30"/>
      <c r="Q111" s="35">
        <v>36.0</v>
      </c>
      <c r="R111" s="32">
        <v>45859.0</v>
      </c>
      <c r="S111" s="32">
        <v>45827.0</v>
      </c>
      <c r="T111" s="29"/>
      <c r="U111" s="33"/>
      <c r="V111" s="1"/>
    </row>
    <row r="112" ht="24.0" customHeight="1">
      <c r="A112" s="1"/>
      <c r="B112" s="24" t="str">
        <f>HYPERLINK("https://www.compass.com/listing/345-west-145th-street-unit-8c3-manhattan-ny-10031/1840730266673555329/view?agent_id=610d3f3370540700019b0833","345 W 145th St, Unit 8C3")</f>
        <v>345 W 145th St, Unit 8C3</v>
      </c>
      <c r="C112" s="25" t="s">
        <v>22</v>
      </c>
      <c r="D112" s="26" t="s">
        <v>23</v>
      </c>
      <c r="E112" s="27" t="str">
        <f>HYPERLINK("https://www.compass.com/building/hillview-towers-manhattan-ny/282066461822849397/","Hillview Towers")</f>
        <v>Hillview Towers</v>
      </c>
      <c r="F112" s="25" t="s">
        <v>71</v>
      </c>
      <c r="G112" s="28">
        <v>750000.0</v>
      </c>
      <c r="H112" s="29"/>
      <c r="I112" s="28">
        <v>1469.0</v>
      </c>
      <c r="J112" s="28">
        <v>0.0</v>
      </c>
      <c r="K112" s="25" t="s">
        <v>25</v>
      </c>
      <c r="L112" s="26">
        <v>5.0</v>
      </c>
      <c r="M112" s="26">
        <v>2.0</v>
      </c>
      <c r="N112" s="26">
        <v>1.0</v>
      </c>
      <c r="O112" s="26">
        <v>0.0</v>
      </c>
      <c r="P112" s="30"/>
      <c r="Q112" s="35">
        <v>59.0</v>
      </c>
      <c r="R112" s="32">
        <v>45804.0</v>
      </c>
      <c r="S112" s="32">
        <v>45804.0</v>
      </c>
      <c r="T112" s="29"/>
      <c r="U112" s="33"/>
      <c r="V112" s="1"/>
    </row>
    <row r="113" ht="24.0" customHeight="1">
      <c r="A113" s="1"/>
      <c r="B113" s="24" t="str">
        <f>HYPERLINK("https://www.compass.com/listing/55-park-avenue-unit-4e-manhattan-ny-10016/1784369134226234801/view?agent_id=610d3f3370540700019b0833","55 Park Ave, Unit 4E")</f>
        <v>55 Park Ave, Unit 4E</v>
      </c>
      <c r="C113" s="25" t="s">
        <v>22</v>
      </c>
      <c r="D113" s="26" t="s">
        <v>23</v>
      </c>
      <c r="E113" s="27" t="str">
        <f>HYPERLINK("https://www.compass.com/building/55-park-ave-manhattan-ny-10016/281922918319952533/","55 Park Ave")</f>
        <v>55 Park Ave</v>
      </c>
      <c r="F113" s="25" t="s">
        <v>72</v>
      </c>
      <c r="G113" s="28">
        <v>825000.0</v>
      </c>
      <c r="H113" s="29"/>
      <c r="I113" s="28">
        <v>3252.0</v>
      </c>
      <c r="J113" s="28">
        <v>0.0</v>
      </c>
      <c r="K113" s="25" t="s">
        <v>25</v>
      </c>
      <c r="L113" s="26">
        <v>5.0</v>
      </c>
      <c r="M113" s="26">
        <v>2.0</v>
      </c>
      <c r="N113" s="26">
        <v>1.0</v>
      </c>
      <c r="O113" s="30"/>
      <c r="P113" s="30"/>
      <c r="Q113" s="35">
        <v>102.0</v>
      </c>
      <c r="R113" s="32">
        <v>45783.0</v>
      </c>
      <c r="S113" s="32">
        <v>45761.0</v>
      </c>
      <c r="T113" s="29"/>
      <c r="U113" s="33"/>
      <c r="V113" s="1"/>
    </row>
    <row r="114" ht="24.0" customHeight="1">
      <c r="A114" s="1"/>
      <c r="B114" s="24" t="str">
        <f>HYPERLINK("https://www.compass.com/listing/155-east-38th-street-unit-18e-manhattan-ny-10016/1748079839918016897/view?agent_id=610d3f3370540700019b0833","155 E 38th St, Unit 18E")</f>
        <v>155 E 38th St, Unit 18E</v>
      </c>
      <c r="C114" s="25" t="s">
        <v>22</v>
      </c>
      <c r="D114" s="26" t="s">
        <v>23</v>
      </c>
      <c r="E114" s="27" t="str">
        <f>HYPERLINK("https://www.compass.com/building/155-e-38th-st-manhattan-ny-10016/281937774804783573/","155 E 38th St")</f>
        <v>155 E 38th St</v>
      </c>
      <c r="F114" s="25" t="s">
        <v>72</v>
      </c>
      <c r="G114" s="28">
        <v>1250000.0</v>
      </c>
      <c r="H114" s="28">
        <v>1187.0</v>
      </c>
      <c r="I114" s="28">
        <v>2574.0</v>
      </c>
      <c r="J114" s="28">
        <v>15051.0</v>
      </c>
      <c r="K114" s="25" t="s">
        <v>28</v>
      </c>
      <c r="L114" s="26">
        <v>4.0</v>
      </c>
      <c r="M114" s="26">
        <v>2.0</v>
      </c>
      <c r="N114" s="26">
        <v>1.0</v>
      </c>
      <c r="O114" s="30"/>
      <c r="P114" s="34">
        <v>1053.0</v>
      </c>
      <c r="Q114" s="35">
        <v>199.0</v>
      </c>
      <c r="R114" s="32">
        <v>45855.0</v>
      </c>
      <c r="S114" s="32">
        <v>45663.0</v>
      </c>
      <c r="T114" s="29"/>
      <c r="U114" s="33"/>
      <c r="V114" s="1"/>
    </row>
    <row r="115" ht="24.0" customHeight="1">
      <c r="A115" s="1"/>
      <c r="B115" s="24" t="str">
        <f>HYPERLINK("https://www.compass.com/listing/347-east-53rd-street-unit-9c-manhattan-ny-10022/1836233792045514225/view?agent_id=610d3f3370540700019b0833","347 E 53rd St, Unit 9C")</f>
        <v>347 E 53rd St, Unit 9C</v>
      </c>
      <c r="C115" s="25" t="s">
        <v>22</v>
      </c>
      <c r="D115" s="26" t="s">
        <v>23</v>
      </c>
      <c r="E115" s="27" t="str">
        <f>HYPERLINK("https://www.compass.com/building/347-e-53rd-st-manhattan-ny-10022/281954586212766869/","347 E 53rd St")</f>
        <v>347 E 53rd St</v>
      </c>
      <c r="F115" s="25" t="s">
        <v>73</v>
      </c>
      <c r="G115" s="28">
        <v>650000.0</v>
      </c>
      <c r="H115" s="29"/>
      <c r="I115" s="28">
        <v>1583.0</v>
      </c>
      <c r="J115" s="28">
        <v>0.0</v>
      </c>
      <c r="K115" s="25" t="s">
        <v>25</v>
      </c>
      <c r="L115" s="26">
        <v>4.0</v>
      </c>
      <c r="M115" s="26">
        <v>2.0</v>
      </c>
      <c r="N115" s="26">
        <v>1.0</v>
      </c>
      <c r="O115" s="26">
        <v>0.0</v>
      </c>
      <c r="P115" s="30"/>
      <c r="Q115" s="35">
        <v>78.0</v>
      </c>
      <c r="R115" s="32">
        <v>45862.0</v>
      </c>
      <c r="S115" s="32">
        <v>45785.0</v>
      </c>
      <c r="T115" s="29"/>
      <c r="U115" s="33"/>
      <c r="V115" s="1"/>
    </row>
    <row r="116" ht="24.0" customHeight="1">
      <c r="A116" s="1"/>
      <c r="B116" s="24" t="str">
        <f>HYPERLINK("https://www.compass.com/listing/264-lexington-avenue-unit-4b-manhattan-ny-10016/1795050494808186561/view?agent_id=610d3f3370540700019b0833","264 Lexington Ave, Unit 4B")</f>
        <v>264 Lexington Ave, Unit 4B</v>
      </c>
      <c r="C116" s="25" t="s">
        <v>22</v>
      </c>
      <c r="D116" s="26" t="s">
        <v>23</v>
      </c>
      <c r="E116" s="27" t="str">
        <f>HYPERLINK("https://www.compass.com/building/264-lexington-ave-manhattan-ny-10016/281939217293040005/","264 Lexington Ave")</f>
        <v>264 Lexington Ave</v>
      </c>
      <c r="F116" s="25" t="s">
        <v>72</v>
      </c>
      <c r="G116" s="28">
        <v>795000.0</v>
      </c>
      <c r="H116" s="29"/>
      <c r="I116" s="28">
        <v>1980.0</v>
      </c>
      <c r="J116" s="28">
        <v>0.0</v>
      </c>
      <c r="K116" s="25" t="s">
        <v>25</v>
      </c>
      <c r="L116" s="26">
        <v>4.0</v>
      </c>
      <c r="M116" s="26">
        <v>2.0</v>
      </c>
      <c r="N116" s="26">
        <v>1.0</v>
      </c>
      <c r="O116" s="30"/>
      <c r="P116" s="30"/>
      <c r="Q116" s="35">
        <v>77.0</v>
      </c>
      <c r="R116" s="32">
        <v>45863.0</v>
      </c>
      <c r="S116" s="32">
        <v>45728.0</v>
      </c>
      <c r="T116" s="29"/>
      <c r="U116" s="33"/>
      <c r="V116" s="1"/>
    </row>
    <row r="117" ht="24.0" customHeight="1">
      <c r="A117" s="1"/>
      <c r="B117" s="24" t="str">
        <f>HYPERLINK("https://www.compass.com/listing/345-west-55th-street-unit-6b-manhattan-ny-10019/1479754039589825593/view?agent_id=610d3f3370540700019b0833","345 W 55th St, Unit 6B")</f>
        <v>345 W 55th St, Unit 6B</v>
      </c>
      <c r="C117" s="25" t="s">
        <v>22</v>
      </c>
      <c r="D117" s="26" t="s">
        <v>23</v>
      </c>
      <c r="E117" s="27" t="str">
        <f>HYPERLINK("https://www.compass.com/building/345-west-55th-street-tenants-corporation-manhattan-ny/292846340487054293/","345 West 55th Street Tenants Corporation")</f>
        <v>345 West 55th Street Tenants Corporation</v>
      </c>
      <c r="F117" s="25" t="s">
        <v>47</v>
      </c>
      <c r="G117" s="28">
        <v>729000.0</v>
      </c>
      <c r="H117" s="29"/>
      <c r="I117" s="28">
        <v>2386.0</v>
      </c>
      <c r="J117" s="28">
        <v>0.0</v>
      </c>
      <c r="K117" s="25" t="s">
        <v>25</v>
      </c>
      <c r="L117" s="26">
        <v>4.0</v>
      </c>
      <c r="M117" s="26">
        <v>2.0</v>
      </c>
      <c r="N117" s="26">
        <v>1.0</v>
      </c>
      <c r="O117" s="26">
        <v>0.0</v>
      </c>
      <c r="P117" s="30"/>
      <c r="Q117" s="35">
        <v>559.0</v>
      </c>
      <c r="R117" s="32">
        <v>45860.0</v>
      </c>
      <c r="S117" s="32">
        <v>45293.0</v>
      </c>
      <c r="T117" s="29"/>
      <c r="U117" s="33"/>
      <c r="V117" s="1"/>
    </row>
    <row r="118" ht="24.0" customHeight="1">
      <c r="A118" s="1"/>
      <c r="B118" s="24" t="str">
        <f>HYPERLINK("https://www.compass.com/listing/286-corbin-place-unit-1d-brooklyn-ny-11235/1890653035348143945/view?agent_id=610d3f3370540700019b0833","286 Corbin Pl, Unit 1D")</f>
        <v>286 Corbin Pl, Unit 1D</v>
      </c>
      <c r="C118" s="25" t="s">
        <v>22</v>
      </c>
      <c r="D118" s="26" t="s">
        <v>23</v>
      </c>
      <c r="E118" s="27" t="str">
        <f>HYPERLINK("https://www.compass.com/building/286-corbin-pl-brooklyn-ny-11235/293526426202766341/","286 Corbin Pl")</f>
        <v>286 Corbin Pl</v>
      </c>
      <c r="F118" s="25" t="s">
        <v>74</v>
      </c>
      <c r="G118" s="28">
        <v>650000.0</v>
      </c>
      <c r="H118" s="29"/>
      <c r="I118" s="28">
        <v>1970.0</v>
      </c>
      <c r="J118" s="28">
        <v>0.0</v>
      </c>
      <c r="K118" s="25" t="s">
        <v>25</v>
      </c>
      <c r="L118" s="26">
        <v>4.0</v>
      </c>
      <c r="M118" s="26">
        <v>2.0</v>
      </c>
      <c r="N118" s="26">
        <v>1.0</v>
      </c>
      <c r="O118" s="30"/>
      <c r="P118" s="30"/>
      <c r="Q118" s="35">
        <v>3.0</v>
      </c>
      <c r="R118" s="32">
        <v>45860.0</v>
      </c>
      <c r="S118" s="32">
        <v>45860.0</v>
      </c>
      <c r="T118" s="29"/>
      <c r="U118" s="33"/>
      <c r="V118" s="1"/>
    </row>
    <row r="119" ht="24.0" customHeight="1">
      <c r="A119" s="1"/>
      <c r="B119" s="24" t="str">
        <f>HYPERLINK("https://www.compass.com/listing/137-east-36th-street-unit-24c-manhattan-ny-10016/1811702080210125137/view?agent_id=610d3f3370540700019b0833","137 E 36th St, Unit 24C")</f>
        <v>137 E 36th St, Unit 24C</v>
      </c>
      <c r="C119" s="25" t="s">
        <v>22</v>
      </c>
      <c r="D119" s="26" t="s">
        <v>23</v>
      </c>
      <c r="E119" s="27" t="str">
        <f>HYPERLINK("https://www.compass.com/building/the-carlton-regency-manhattan-ny/281937346574733269/","The Carlton Regency")</f>
        <v>The Carlton Regency</v>
      </c>
      <c r="F119" s="25" t="s">
        <v>72</v>
      </c>
      <c r="G119" s="28">
        <v>795000.0</v>
      </c>
      <c r="H119" s="29"/>
      <c r="I119" s="28">
        <v>2565.0</v>
      </c>
      <c r="J119" s="28">
        <v>0.0</v>
      </c>
      <c r="K119" s="25" t="s">
        <v>25</v>
      </c>
      <c r="L119" s="26">
        <v>4.0</v>
      </c>
      <c r="M119" s="26">
        <v>2.0</v>
      </c>
      <c r="N119" s="26">
        <v>1.0</v>
      </c>
      <c r="O119" s="30"/>
      <c r="P119" s="30"/>
      <c r="Q119" s="35">
        <v>112.0</v>
      </c>
      <c r="R119" s="32">
        <v>45847.0</v>
      </c>
      <c r="S119" s="32">
        <v>45751.0</v>
      </c>
      <c r="T119" s="29"/>
      <c r="U119" s="33"/>
      <c r="V119" s="1"/>
    </row>
    <row r="120" ht="24.0" customHeight="1">
      <c r="A120" s="1"/>
      <c r="B120" s="24" t="str">
        <f>HYPERLINK("https://www.compass.com/listing/310-west-56th-street-unit-5a-manhattan-ny-10019/1755264413731492929/view?agent_id=610d3f3370540700019b0833","310 W 56th St, Unit 5A")</f>
        <v>310 W 56th St, Unit 5A</v>
      </c>
      <c r="C120" s="25" t="s">
        <v>22</v>
      </c>
      <c r="D120" s="26" t="s">
        <v>23</v>
      </c>
      <c r="E120" s="27" t="str">
        <f>HYPERLINK("https://www.compass.com/building/310-w-56th-st-manhattan-ny-10019/292845883282752133/","310 W 56th St")</f>
        <v>310 W 56th St</v>
      </c>
      <c r="F120" s="25" t="s">
        <v>47</v>
      </c>
      <c r="G120" s="28">
        <v>895000.0</v>
      </c>
      <c r="H120" s="29"/>
      <c r="I120" s="28">
        <v>2297.0</v>
      </c>
      <c r="J120" s="28">
        <v>0.0</v>
      </c>
      <c r="K120" s="25" t="s">
        <v>25</v>
      </c>
      <c r="L120" s="26">
        <v>5.0</v>
      </c>
      <c r="M120" s="26">
        <v>2.0</v>
      </c>
      <c r="N120" s="26">
        <v>1.0</v>
      </c>
      <c r="O120" s="30"/>
      <c r="P120" s="30"/>
      <c r="Q120" s="35">
        <v>185.0</v>
      </c>
      <c r="R120" s="32">
        <v>45861.0</v>
      </c>
      <c r="S120" s="32">
        <v>45677.0</v>
      </c>
      <c r="T120" s="29"/>
      <c r="U120" s="33"/>
      <c r="V120" s="1"/>
    </row>
    <row r="121" ht="24.0" customHeight="1">
      <c r="A121" s="1"/>
      <c r="B121" s="24" t="str">
        <f>HYPERLINK("https://www.compass.com/listing/502-west-141st-street-unit-6a-manhattan-ny-10031/1819842560076383313/view?agent_id=610d3f3370540700019b0833","502 W 141st St, Unit 6A")</f>
        <v>502 W 141st St, Unit 6A</v>
      </c>
      <c r="C121" s="25" t="s">
        <v>22</v>
      </c>
      <c r="D121" s="26" t="s">
        <v>23</v>
      </c>
      <c r="E121" s="27" t="str">
        <f>HYPERLINK("https://www.compass.com/building/502-w-141st-st-manhattan-ny-10031/281998324800806133/","502 W 141st St")</f>
        <v>502 W 141st St</v>
      </c>
      <c r="F121" s="25" t="s">
        <v>71</v>
      </c>
      <c r="G121" s="28">
        <v>499999.0</v>
      </c>
      <c r="H121" s="29"/>
      <c r="I121" s="28">
        <v>1265.0</v>
      </c>
      <c r="J121" s="28">
        <v>0.0</v>
      </c>
      <c r="K121" s="25" t="s">
        <v>25</v>
      </c>
      <c r="L121" s="26">
        <v>4.0</v>
      </c>
      <c r="M121" s="26">
        <v>2.0</v>
      </c>
      <c r="N121" s="26">
        <v>1.0</v>
      </c>
      <c r="O121" s="30"/>
      <c r="P121" s="30"/>
      <c r="Q121" s="35">
        <v>100.0</v>
      </c>
      <c r="R121" s="32">
        <v>45792.0</v>
      </c>
      <c r="S121" s="32">
        <v>45762.0</v>
      </c>
      <c r="T121" s="29"/>
      <c r="U121" s="33"/>
      <c r="V121" s="1"/>
    </row>
    <row r="122" ht="24.0" customHeight="1">
      <c r="A122" s="1"/>
      <c r="B122" s="24" t="str">
        <f>HYPERLINK("https://www.compass.com/listing/303-west-149th-street-unit-2f-manhattan-ny-10039/1716210059330211289/view?agent_id=610d3f3370540700019b0833","303 W 149th St, Unit 2F")</f>
        <v>303 W 149th St, Unit 2F</v>
      </c>
      <c r="C122" s="25" t="s">
        <v>22</v>
      </c>
      <c r="D122" s="26" t="s">
        <v>23</v>
      </c>
      <c r="E122" s="27" t="str">
        <f>HYPERLINK("https://www.compass.com/building/303-w-149th-st-manhattan-ny-10039/282032174260042261/","303 W 149th St")</f>
        <v>303 W 149th St</v>
      </c>
      <c r="F122" s="25" t="s">
        <v>32</v>
      </c>
      <c r="G122" s="28">
        <v>595000.0</v>
      </c>
      <c r="H122" s="28">
        <v>850.0</v>
      </c>
      <c r="I122" s="28">
        <v>656.0</v>
      </c>
      <c r="J122" s="28">
        <v>0.0</v>
      </c>
      <c r="K122" s="25" t="s">
        <v>28</v>
      </c>
      <c r="L122" s="26">
        <v>3.0</v>
      </c>
      <c r="M122" s="26">
        <v>2.0</v>
      </c>
      <c r="N122" s="26">
        <v>1.0</v>
      </c>
      <c r="O122" s="30"/>
      <c r="P122" s="26">
        <v>700.0</v>
      </c>
      <c r="Q122" s="35">
        <v>122.0</v>
      </c>
      <c r="R122" s="32">
        <v>45861.0</v>
      </c>
      <c r="S122" s="32">
        <v>45741.0</v>
      </c>
      <c r="T122" s="29"/>
      <c r="U122" s="33"/>
      <c r="V122" s="1"/>
    </row>
    <row r="123" ht="24.0" customHeight="1">
      <c r="A123" s="1"/>
      <c r="B123" s="24" t="str">
        <f>HYPERLINK("https://www.compass.com/listing/345-east-56th-street-unit-5c-manhattan-ny-10022/1824805916692706497/view?agent_id=610d3f3370540700019b0833","345 E 56th St, Unit 5C")</f>
        <v>345 E 56th St, Unit 5C</v>
      </c>
      <c r="C123" s="25" t="s">
        <v>22</v>
      </c>
      <c r="D123" s="26" t="s">
        <v>23</v>
      </c>
      <c r="E123" s="27" t="str">
        <f>HYPERLINK("https://www.compass.com/building/sutton-east-manhattan-ny/281954565367075957/","Sutton East")</f>
        <v>Sutton East</v>
      </c>
      <c r="F123" s="25" t="s">
        <v>73</v>
      </c>
      <c r="G123" s="28">
        <v>650000.0</v>
      </c>
      <c r="H123" s="29"/>
      <c r="I123" s="28">
        <v>2272.0</v>
      </c>
      <c r="J123" s="28">
        <v>0.0</v>
      </c>
      <c r="K123" s="25" t="s">
        <v>25</v>
      </c>
      <c r="L123" s="26">
        <v>4.0</v>
      </c>
      <c r="M123" s="26">
        <v>2.0</v>
      </c>
      <c r="N123" s="26">
        <v>1.0</v>
      </c>
      <c r="O123" s="26">
        <v>0.0</v>
      </c>
      <c r="P123" s="30"/>
      <c r="Q123" s="35">
        <v>93.0</v>
      </c>
      <c r="R123" s="32">
        <v>45863.0</v>
      </c>
      <c r="S123" s="32">
        <v>45770.0</v>
      </c>
      <c r="T123" s="29"/>
      <c r="U123" s="33"/>
      <c r="V123" s="1"/>
    </row>
    <row r="124" ht="24.0" customHeight="1">
      <c r="A124" s="1"/>
      <c r="B124" s="24" t="str">
        <f>HYPERLINK("https://www.compass.com/listing/270-convent-avenue-unit-8b-manhattan-ny-10031/1785065427378257505/view?agent_id=610d3f3370540700019b0833","270 Convent Ave, Unit 8B")</f>
        <v>270 Convent Ave, Unit 8B</v>
      </c>
      <c r="C124" s="25" t="s">
        <v>22</v>
      </c>
      <c r="D124" s="26" t="s">
        <v>23</v>
      </c>
      <c r="E124" s="27" t="str">
        <f>HYPERLINK("https://www.compass.com/building/270-convent-ave-manhattan-ny-10031/281996325803906005/","270 Convent Ave")</f>
        <v>270 Convent Ave</v>
      </c>
      <c r="F124" s="25" t="s">
        <v>71</v>
      </c>
      <c r="G124" s="28">
        <v>575000.0</v>
      </c>
      <c r="H124" s="29"/>
      <c r="I124" s="28">
        <v>946.0</v>
      </c>
      <c r="J124" s="28">
        <v>0.0</v>
      </c>
      <c r="K124" s="25" t="s">
        <v>25</v>
      </c>
      <c r="L124" s="26">
        <v>4.0</v>
      </c>
      <c r="M124" s="26">
        <v>2.0</v>
      </c>
      <c r="N124" s="26">
        <v>1.0</v>
      </c>
      <c r="O124" s="30"/>
      <c r="P124" s="30"/>
      <c r="Q124" s="35">
        <v>148.0</v>
      </c>
      <c r="R124" s="32">
        <v>45826.0</v>
      </c>
      <c r="S124" s="32">
        <v>45714.0</v>
      </c>
      <c r="T124" s="29"/>
      <c r="U124" s="33"/>
      <c r="V124" s="1"/>
    </row>
    <row r="125" ht="24.0" customHeight="1">
      <c r="A125" s="1"/>
      <c r="B125" s="24" t="str">
        <f>HYPERLINK("https://www.compass.com/listing/29-west-138th-street-unit-5a-manhattan-ny-10037/1854721388585989817/view?agent_id=610d3f3370540700019b0833","29 W 138th St, Unit 5A")</f>
        <v>29 W 138th St, Unit 5A</v>
      </c>
      <c r="C125" s="25" t="s">
        <v>22</v>
      </c>
      <c r="D125" s="26" t="s">
        <v>23</v>
      </c>
      <c r="E125" s="27" t="str">
        <f>HYPERLINK("https://www.compass.com/building/beacon-towers-manhattan-ny/282028098378018309/","Beacon Towers")</f>
        <v>Beacon Towers</v>
      </c>
      <c r="F125" s="25" t="s">
        <v>32</v>
      </c>
      <c r="G125" s="28">
        <v>550000.0</v>
      </c>
      <c r="H125" s="29"/>
      <c r="I125" s="28">
        <v>1045.0</v>
      </c>
      <c r="J125" s="28">
        <v>0.0</v>
      </c>
      <c r="K125" s="25" t="s">
        <v>25</v>
      </c>
      <c r="L125" s="26">
        <v>4.0</v>
      </c>
      <c r="M125" s="26">
        <v>2.0</v>
      </c>
      <c r="N125" s="26">
        <v>1.0</v>
      </c>
      <c r="O125" s="30"/>
      <c r="P125" s="30"/>
      <c r="Q125" s="35">
        <v>52.0</v>
      </c>
      <c r="R125" s="32">
        <v>45863.0</v>
      </c>
      <c r="S125" s="32">
        <v>45810.0</v>
      </c>
      <c r="T125" s="29"/>
      <c r="U125" s="33"/>
      <c r="V125" s="1"/>
    </row>
    <row r="126" ht="24.0" customHeight="1">
      <c r="A126" s="1"/>
      <c r="B126" s="24" t="str">
        <f>HYPERLINK("https://www.compass.com/listing/5425-valles-avenue-unit-1l-bronx-ny-10471/1869970274648401057/view?agent_id=610d3f3370540700019b0833","5425 Valles Ave, Unit 1L")</f>
        <v>5425 Valles Ave, Unit 1L</v>
      </c>
      <c r="C126" s="25" t="s">
        <v>22</v>
      </c>
      <c r="D126" s="26" t="s">
        <v>23</v>
      </c>
      <c r="E126" s="27" t="str">
        <f>HYPERLINK("https://www.compass.com/building/5425-valles-ave-bronx-ny-10471/293531666465481045/","5425 Valles Ave")</f>
        <v>5425 Valles Ave</v>
      </c>
      <c r="F126" s="25" t="s">
        <v>75</v>
      </c>
      <c r="G126" s="28">
        <v>249999.0</v>
      </c>
      <c r="H126" s="28">
        <v>250.0</v>
      </c>
      <c r="I126" s="28">
        <v>1032.0</v>
      </c>
      <c r="J126" s="29"/>
      <c r="K126" s="25" t="s">
        <v>25</v>
      </c>
      <c r="L126" s="26">
        <v>4.0</v>
      </c>
      <c r="M126" s="26">
        <v>2.0</v>
      </c>
      <c r="N126" s="26">
        <v>1.0</v>
      </c>
      <c r="O126" s="30"/>
      <c r="P126" s="34">
        <v>1000.0</v>
      </c>
      <c r="Q126" s="35">
        <v>32.0</v>
      </c>
      <c r="R126" s="32">
        <v>45862.0</v>
      </c>
      <c r="S126" s="32">
        <v>45831.0</v>
      </c>
      <c r="T126" s="29"/>
      <c r="U126" s="33"/>
      <c r="V126" s="1"/>
    </row>
    <row r="127" ht="24.0" customHeight="1">
      <c r="A127" s="1"/>
      <c r="B127" s="24" t="str">
        <f>HYPERLINK("https://www.compass.com/listing/100-hamilton-place-unit-2f-manhattan-ny-10031/1806637109318960129/view?agent_id=610d3f3370540700019b0833","100 Hamilton Pl, Unit 2F")</f>
        <v>100 Hamilton Pl, Unit 2F</v>
      </c>
      <c r="C127" s="25" t="s">
        <v>22</v>
      </c>
      <c r="D127" s="26" t="s">
        <v>23</v>
      </c>
      <c r="E127" s="27" t="str">
        <f>HYPERLINK("https://www.compass.com/building/100-hamilton-pl-manhattan-ny-10031/294841463023969173/","100 Hamilton Pl")</f>
        <v>100 Hamilton Pl</v>
      </c>
      <c r="F127" s="25" t="s">
        <v>71</v>
      </c>
      <c r="G127" s="28">
        <v>513500.0</v>
      </c>
      <c r="H127" s="29"/>
      <c r="I127" s="28">
        <v>1189.0</v>
      </c>
      <c r="J127" s="28">
        <v>0.0</v>
      </c>
      <c r="K127" s="25" t="s">
        <v>25</v>
      </c>
      <c r="L127" s="26">
        <v>4.0</v>
      </c>
      <c r="M127" s="26">
        <v>2.0</v>
      </c>
      <c r="N127" s="26">
        <v>1.0</v>
      </c>
      <c r="O127" s="30"/>
      <c r="P127" s="30"/>
      <c r="Q127" s="35">
        <v>119.0</v>
      </c>
      <c r="R127" s="32">
        <v>45863.0</v>
      </c>
      <c r="S127" s="32">
        <v>45744.0</v>
      </c>
      <c r="T127" s="29"/>
      <c r="U127" s="33"/>
      <c r="V127" s="1"/>
    </row>
    <row r="128" ht="24.0" customHeight="1">
      <c r="A128" s="1"/>
      <c r="B128" s="24" t="str">
        <f>HYPERLINK("https://www.compass.com/listing/501-west-122nd-street-unit-a2-manhattan-ny-10027/1702186317864055313/view?agent_id=610d3f3370540700019b0833","501 W 122nd St, Unit A2")</f>
        <v>501 W 122nd St, Unit A2</v>
      </c>
      <c r="C128" s="25" t="s">
        <v>22</v>
      </c>
      <c r="D128" s="26" t="s">
        <v>23</v>
      </c>
      <c r="E128" s="27" t="str">
        <f>HYPERLINK("https://www.compass.com/building/501-w-122nd-st-manhattan-ny-10027/292885361540042613/","501 W 122nd St")</f>
        <v>501 W 122nd St</v>
      </c>
      <c r="F128" s="25" t="s">
        <v>41</v>
      </c>
      <c r="G128" s="28">
        <v>550000.0</v>
      </c>
      <c r="H128" s="29"/>
      <c r="I128" s="28">
        <v>984.0</v>
      </c>
      <c r="J128" s="28">
        <v>0.0</v>
      </c>
      <c r="K128" s="25" t="s">
        <v>25</v>
      </c>
      <c r="L128" s="26">
        <v>4.0</v>
      </c>
      <c r="M128" s="26">
        <v>2.0</v>
      </c>
      <c r="N128" s="26">
        <v>1.0</v>
      </c>
      <c r="O128" s="26">
        <v>0.0</v>
      </c>
      <c r="P128" s="30"/>
      <c r="Q128" s="35">
        <v>263.0</v>
      </c>
      <c r="R128" s="32">
        <v>45862.0</v>
      </c>
      <c r="S128" s="32">
        <v>45600.0</v>
      </c>
      <c r="T128" s="29"/>
      <c r="U128" s="33"/>
      <c r="V128" s="1"/>
    </row>
    <row r="129" ht="24.0" customHeight="1">
      <c r="A129" s="1"/>
      <c r="B129" s="24" t="str">
        <f>HYPERLINK("https://www.compass.com/listing/301-west-53rd-street-unit-16d-manhattan-ny-10019/1774229055409072577/view?agent_id=610d3f3370540700019b0833","301 W 53rd St, Unit 16D")</f>
        <v>301 W 53rd St, Unit 16D</v>
      </c>
      <c r="C129" s="25" t="s">
        <v>22</v>
      </c>
      <c r="D129" s="26" t="s">
        <v>23</v>
      </c>
      <c r="E129" s="27" t="str">
        <f>HYPERLINK("https://www.compass.com/building/fifty-third-and-eighth-manhattan-ny/281944545158031557/","Fifty Third and Eighth")</f>
        <v>Fifty Third and Eighth</v>
      </c>
      <c r="F129" s="25" t="s">
        <v>47</v>
      </c>
      <c r="G129" s="28">
        <v>1395000.0</v>
      </c>
      <c r="H129" s="28">
        <v>1768.0</v>
      </c>
      <c r="I129" s="28">
        <v>2243.0</v>
      </c>
      <c r="J129" s="28">
        <v>15405.0</v>
      </c>
      <c r="K129" s="25" t="s">
        <v>28</v>
      </c>
      <c r="L129" s="26">
        <v>4.0</v>
      </c>
      <c r="M129" s="26">
        <v>2.0</v>
      </c>
      <c r="N129" s="26">
        <v>1.0</v>
      </c>
      <c r="O129" s="30"/>
      <c r="P129" s="26">
        <v>789.0</v>
      </c>
      <c r="Q129" s="35">
        <v>157.0</v>
      </c>
      <c r="R129" s="32">
        <v>45849.0</v>
      </c>
      <c r="S129" s="32">
        <v>45705.0</v>
      </c>
      <c r="T129" s="29"/>
      <c r="U129" s="33"/>
      <c r="V129" s="1"/>
    </row>
    <row r="130" ht="24.0" customHeight="1">
      <c r="A130" s="1"/>
      <c r="B130" s="24" t="str">
        <f>HYPERLINK("https://www.compass.com/listing/3333-henry-hudson-parkway-unit-4m-bronx-ny-10463/1881544980478765817/view?agent_id=610d3f3370540700019b0833","3333 Henry Hudson Pkwy, Unit 4M")</f>
        <v>3333 Henry Hudson Pkwy, Unit 4M</v>
      </c>
      <c r="C130" s="25" t="s">
        <v>22</v>
      </c>
      <c r="D130" s="26" t="s">
        <v>23</v>
      </c>
      <c r="E130" s="27" t="str">
        <f>HYPERLINK("https://www.compass.com/building/the-whitehall-bronx-ny/294837813753110597/","The Whitehall")</f>
        <v>The Whitehall</v>
      </c>
      <c r="F130" s="25" t="s">
        <v>76</v>
      </c>
      <c r="G130" s="28">
        <v>355000.0</v>
      </c>
      <c r="H130" s="28">
        <v>345.0</v>
      </c>
      <c r="I130" s="28">
        <v>1813.0</v>
      </c>
      <c r="J130" s="28">
        <v>0.0</v>
      </c>
      <c r="K130" s="25" t="s">
        <v>25</v>
      </c>
      <c r="L130" s="26">
        <v>4.0</v>
      </c>
      <c r="M130" s="26">
        <v>2.0</v>
      </c>
      <c r="N130" s="26">
        <v>1.0</v>
      </c>
      <c r="O130" s="26">
        <v>0.0</v>
      </c>
      <c r="P130" s="34">
        <v>1030.0</v>
      </c>
      <c r="Q130" s="35">
        <v>15.0</v>
      </c>
      <c r="R130" s="32">
        <v>45858.0</v>
      </c>
      <c r="S130" s="32">
        <v>45848.0</v>
      </c>
      <c r="T130" s="29"/>
      <c r="U130" s="33"/>
      <c r="V130" s="1"/>
    </row>
    <row r="131" ht="24.0" customHeight="1">
      <c r="A131" s="1"/>
      <c r="B131" s="24" t="str">
        <f>HYPERLINK("https://www.compass.com/listing/801-riverside-drive-unit-4b-manhattan-ny-10032/1769722709198948057/view?agent_id=610d3f3370540700019b0833","801 Riverside Dr, Unit 4B")</f>
        <v>801 Riverside Dr, Unit 4B</v>
      </c>
      <c r="C131" s="25" t="s">
        <v>22</v>
      </c>
      <c r="D131" s="26" t="s">
        <v>23</v>
      </c>
      <c r="E131" s="27" t="str">
        <f>HYPERLINK("https://www.compass.com/building/801-riverside-dr-manhattan-ny-10032/282009348731831205/","801 Riverside Dr")</f>
        <v>801 Riverside Dr</v>
      </c>
      <c r="F131" s="25" t="s">
        <v>77</v>
      </c>
      <c r="G131" s="28">
        <v>719000.0</v>
      </c>
      <c r="H131" s="28">
        <v>782.0</v>
      </c>
      <c r="I131" s="28">
        <v>1321.0</v>
      </c>
      <c r="J131" s="28">
        <v>6000.0</v>
      </c>
      <c r="K131" s="25" t="s">
        <v>28</v>
      </c>
      <c r="L131" s="26">
        <v>4.0</v>
      </c>
      <c r="M131" s="26">
        <v>2.0</v>
      </c>
      <c r="N131" s="26">
        <v>1.0</v>
      </c>
      <c r="O131" s="30"/>
      <c r="P131" s="26">
        <v>920.0</v>
      </c>
      <c r="Q131" s="35">
        <v>94.0</v>
      </c>
      <c r="R131" s="32">
        <v>45810.0</v>
      </c>
      <c r="S131" s="32">
        <v>45769.0</v>
      </c>
      <c r="T131" s="29"/>
      <c r="U131" s="33"/>
      <c r="V131" s="1"/>
    </row>
    <row r="132" ht="24.0" customHeight="1">
      <c r="A132" s="1"/>
      <c r="B132" s="24" t="str">
        <f>HYPERLINK("https://www.compass.com/listing/1264-amsterdam-avenue-unit-3d-manhattan-ny-10027/1756143144839447481/view?agent_id=610d3f3370540700019b0833","1264 Amsterdam Ave, Unit 3D")</f>
        <v>1264 Amsterdam Ave, Unit 3D</v>
      </c>
      <c r="C132" s="25" t="s">
        <v>22</v>
      </c>
      <c r="D132" s="26" t="s">
        <v>23</v>
      </c>
      <c r="E132" s="27" t="str">
        <f>HYPERLINK("https://www.compass.com/building/1264-amsterdam-ave-manhattan-ny-10027/281978213926796725/","1264 Amsterdam Ave")</f>
        <v>1264 Amsterdam Ave</v>
      </c>
      <c r="F132" s="25" t="s">
        <v>41</v>
      </c>
      <c r="G132" s="28">
        <v>580000.0</v>
      </c>
      <c r="H132" s="29"/>
      <c r="I132" s="28">
        <v>931.0</v>
      </c>
      <c r="J132" s="28">
        <v>0.0</v>
      </c>
      <c r="K132" s="25" t="s">
        <v>25</v>
      </c>
      <c r="L132" s="26">
        <v>4.0</v>
      </c>
      <c r="M132" s="26">
        <v>2.0</v>
      </c>
      <c r="N132" s="26">
        <v>1.0</v>
      </c>
      <c r="O132" s="30"/>
      <c r="P132" s="30"/>
      <c r="Q132" s="35">
        <v>188.0</v>
      </c>
      <c r="R132" s="32">
        <v>45862.0</v>
      </c>
      <c r="S132" s="32">
        <v>45674.0</v>
      </c>
      <c r="T132" s="29"/>
      <c r="U132" s="33"/>
      <c r="V132" s="1"/>
    </row>
    <row r="133" ht="24.0" customHeight="1">
      <c r="A133" s="1"/>
      <c r="B133" s="24" t="str">
        <f>HYPERLINK("https://www.compass.com/listing/116-pinehurst-avenue-unit-h32-manhattan-ny-10033/1838509937257474873/view?agent_id=610d3f3370540700019b0833","116 Pinehurst Ave, Unit H32")</f>
        <v>116 Pinehurst Ave, Unit H32</v>
      </c>
      <c r="C133" s="25" t="s">
        <v>22</v>
      </c>
      <c r="D133" s="26" t="s">
        <v>23</v>
      </c>
      <c r="E133" s="27" t="str">
        <f>HYPERLINK("https://www.compass.com/building/116-pinehurst-ave-manhattan-ny-10033/282010085335629477/","116 Pinehurst Ave")</f>
        <v>116 Pinehurst Ave</v>
      </c>
      <c r="F133" s="25" t="s">
        <v>58</v>
      </c>
      <c r="G133" s="28">
        <v>750000.0</v>
      </c>
      <c r="H133" s="29"/>
      <c r="I133" s="28">
        <v>2036.0</v>
      </c>
      <c r="J133" s="28">
        <v>0.0</v>
      </c>
      <c r="K133" s="25" t="s">
        <v>25</v>
      </c>
      <c r="L133" s="26">
        <v>4.0</v>
      </c>
      <c r="M133" s="26">
        <v>2.0</v>
      </c>
      <c r="N133" s="26">
        <v>1.0</v>
      </c>
      <c r="O133" s="26">
        <v>0.0</v>
      </c>
      <c r="P133" s="30"/>
      <c r="Q133" s="35">
        <v>66.0</v>
      </c>
      <c r="R133" s="32">
        <v>45857.0</v>
      </c>
      <c r="S133" s="32">
        <v>45797.0</v>
      </c>
      <c r="T133" s="29"/>
      <c r="U133" s="33"/>
      <c r="V133" s="1"/>
    </row>
    <row r="134" ht="24.0" customHeight="1">
      <c r="A134" s="1"/>
      <c r="B134" s="24" t="str">
        <f>HYPERLINK("https://www.compass.com/listing/345-east-56th-street-unit-11c-manhattan-ny-10022/1738441246210465297/view?agent_id=610d3f3370540700019b0833","345 E 56th St, Unit 11C")</f>
        <v>345 E 56th St, Unit 11C</v>
      </c>
      <c r="C134" s="25" t="s">
        <v>22</v>
      </c>
      <c r="D134" s="26" t="s">
        <v>23</v>
      </c>
      <c r="E134" s="27" t="str">
        <f>HYPERLINK("https://www.compass.com/building/sutton-east-manhattan-ny/281954565367075957/","Sutton East")</f>
        <v>Sutton East</v>
      </c>
      <c r="F134" s="25" t="s">
        <v>73</v>
      </c>
      <c r="G134" s="28">
        <v>795000.0</v>
      </c>
      <c r="H134" s="29"/>
      <c r="I134" s="28">
        <v>2293.0</v>
      </c>
      <c r="J134" s="28">
        <v>0.0</v>
      </c>
      <c r="K134" s="25" t="s">
        <v>25</v>
      </c>
      <c r="L134" s="26">
        <v>4.0</v>
      </c>
      <c r="M134" s="26">
        <v>2.0</v>
      </c>
      <c r="N134" s="26">
        <v>1.0</v>
      </c>
      <c r="O134" s="26">
        <v>0.0</v>
      </c>
      <c r="P134" s="30"/>
      <c r="Q134" s="35">
        <v>213.0</v>
      </c>
      <c r="R134" s="32">
        <v>45863.0</v>
      </c>
      <c r="S134" s="32">
        <v>45650.0</v>
      </c>
      <c r="T134" s="29"/>
      <c r="U134" s="33"/>
      <c r="V134" s="1"/>
    </row>
    <row r="135" ht="24.0" customHeight="1">
      <c r="A135" s="1"/>
      <c r="B135" s="24" t="str">
        <f>HYPERLINK("https://www.compass.com/listing/211-21-18th-avenue-unit-177-queens-ny-11360/1875625821410074073/view?agent_id=610d3f3370540700019b0833","211- 21 18th Ave, Unit 177")</f>
        <v>211- 21 18th Ave, Unit 177</v>
      </c>
      <c r="C135" s="25" t="s">
        <v>22</v>
      </c>
      <c r="D135" s="26" t="s">
        <v>23</v>
      </c>
      <c r="E135" s="26" t="s">
        <v>78</v>
      </c>
      <c r="F135" s="25" t="s">
        <v>79</v>
      </c>
      <c r="G135" s="28">
        <v>349000.0</v>
      </c>
      <c r="H135" s="28">
        <v>383.0</v>
      </c>
      <c r="I135" s="28">
        <v>966.0</v>
      </c>
      <c r="J135" s="29"/>
      <c r="K135" s="25" t="s">
        <v>25</v>
      </c>
      <c r="L135" s="26">
        <v>5.0</v>
      </c>
      <c r="M135" s="26">
        <v>2.0</v>
      </c>
      <c r="N135" s="26">
        <v>1.0</v>
      </c>
      <c r="O135" s="30"/>
      <c r="P135" s="26">
        <v>912.0</v>
      </c>
      <c r="Q135" s="35">
        <v>24.0</v>
      </c>
      <c r="R135" s="32">
        <v>45840.0</v>
      </c>
      <c r="S135" s="32">
        <v>45839.0</v>
      </c>
      <c r="T135" s="29"/>
      <c r="U135" s="33"/>
      <c r="V135" s="1"/>
    </row>
    <row r="136" ht="24.0" customHeight="1">
      <c r="A136" s="1"/>
      <c r="B136" s="24" t="str">
        <f>HYPERLINK("https://www.compass.com/listing/371-fort-washington-avenue-unit-4b-manhattan-ny-10033/1805238747624683993/view?agent_id=610d3f3370540700019b0833","371 Fort Washington Ave, Unit 4B")</f>
        <v>371 Fort Washington Ave, Unit 4B</v>
      </c>
      <c r="C136" s="25" t="s">
        <v>22</v>
      </c>
      <c r="D136" s="26" t="s">
        <v>23</v>
      </c>
      <c r="E136" s="27" t="str">
        <f>HYPERLINK("https://www.compass.com/building/371-fort-washington-ave-manhattan-ny-10033/294836989874201893/","371 Fort Washington Ave")</f>
        <v>371 Fort Washington Ave</v>
      </c>
      <c r="F136" s="25" t="s">
        <v>58</v>
      </c>
      <c r="G136" s="28">
        <v>529000.0</v>
      </c>
      <c r="H136" s="29"/>
      <c r="I136" s="28">
        <v>1405.0</v>
      </c>
      <c r="J136" s="28">
        <v>0.0</v>
      </c>
      <c r="K136" s="25" t="s">
        <v>25</v>
      </c>
      <c r="L136" s="26">
        <v>4.0</v>
      </c>
      <c r="M136" s="26">
        <v>2.0</v>
      </c>
      <c r="N136" s="26">
        <v>1.0</v>
      </c>
      <c r="O136" s="30"/>
      <c r="P136" s="30"/>
      <c r="Q136" s="35">
        <v>120.0</v>
      </c>
      <c r="R136" s="32">
        <v>45848.0</v>
      </c>
      <c r="S136" s="32">
        <v>45743.0</v>
      </c>
      <c r="T136" s="29"/>
      <c r="U136" s="33"/>
      <c r="V136" s="1"/>
    </row>
    <row r="137" ht="24.0" customHeight="1">
      <c r="A137" s="1"/>
      <c r="B137" s="24" t="str">
        <f>HYPERLINK("https://www.compass.com/listing/29-west-138th-street-unit-2d-manhattan-ny-10037/1785063454419780601/view?agent_id=610d3f3370540700019b0833","29 W 138th St, Unit 2D")</f>
        <v>29 W 138th St, Unit 2D</v>
      </c>
      <c r="C137" s="25" t="s">
        <v>22</v>
      </c>
      <c r="D137" s="26" t="s">
        <v>23</v>
      </c>
      <c r="E137" s="27" t="str">
        <f>HYPERLINK("https://www.compass.com/building/beacon-towers-manhattan-ny/282028098378018309/","Beacon Towers")</f>
        <v>Beacon Towers</v>
      </c>
      <c r="F137" s="25" t="s">
        <v>32</v>
      </c>
      <c r="G137" s="28">
        <v>499999.0</v>
      </c>
      <c r="H137" s="29"/>
      <c r="I137" s="28">
        <v>898.0</v>
      </c>
      <c r="J137" s="28">
        <v>0.0</v>
      </c>
      <c r="K137" s="25" t="s">
        <v>25</v>
      </c>
      <c r="L137" s="26">
        <v>4.0</v>
      </c>
      <c r="M137" s="26">
        <v>2.0</v>
      </c>
      <c r="N137" s="26">
        <v>1.0</v>
      </c>
      <c r="O137" s="30"/>
      <c r="P137" s="30"/>
      <c r="Q137" s="35">
        <v>147.0</v>
      </c>
      <c r="R137" s="32">
        <v>45863.0</v>
      </c>
      <c r="S137" s="32">
        <v>45715.0</v>
      </c>
      <c r="T137" s="29"/>
      <c r="U137" s="33"/>
      <c r="V137" s="1"/>
    </row>
    <row r="138" ht="24.0" customHeight="1">
      <c r="A138" s="1"/>
      <c r="B138" s="24" t="str">
        <f>HYPERLINK("https://www.compass.com/listing/250-cabrini-boulevard-unit-5c-manhattan-ny-10033/1687153387597568145/view?agent_id=610d3f3370540700019b0833","250 Cabrini Blvd, Unit 5C")</f>
        <v>250 Cabrini Blvd, Unit 5C</v>
      </c>
      <c r="C138" s="25" t="s">
        <v>22</v>
      </c>
      <c r="D138" s="26" t="s">
        <v>23</v>
      </c>
      <c r="E138" s="27" t="str">
        <f>HYPERLINK("https://www.compass.com/building/250-cabrini-blvd-manhattan-ny-10033/282011187128828293/","250 Cabrini Blvd")</f>
        <v>250 Cabrini Blvd</v>
      </c>
      <c r="F138" s="25" t="s">
        <v>58</v>
      </c>
      <c r="G138" s="28">
        <v>560000.0</v>
      </c>
      <c r="H138" s="29"/>
      <c r="I138" s="28">
        <v>1315.0</v>
      </c>
      <c r="J138" s="28">
        <v>0.0</v>
      </c>
      <c r="K138" s="25" t="s">
        <v>25</v>
      </c>
      <c r="L138" s="26">
        <v>5.0</v>
      </c>
      <c r="M138" s="26">
        <v>2.0</v>
      </c>
      <c r="N138" s="26">
        <v>1.0</v>
      </c>
      <c r="O138" s="30"/>
      <c r="P138" s="30"/>
      <c r="Q138" s="35">
        <v>284.0</v>
      </c>
      <c r="R138" s="32">
        <v>45855.0</v>
      </c>
      <c r="S138" s="32">
        <v>45579.0</v>
      </c>
      <c r="T138" s="29"/>
      <c r="U138" s="33"/>
      <c r="V138" s="1"/>
    </row>
    <row r="139" ht="24.0" customHeight="1">
      <c r="A139" s="1"/>
      <c r="B139" s="24" t="str">
        <f>HYPERLINK("https://www.compass.com/listing/371-fort-washington-avenue-unit-2f-manhattan-ny-10033/1650732315991298865/view?agent_id=610d3f3370540700019b0833","371 Fort Washington Ave, Unit 2F")</f>
        <v>371 Fort Washington Ave, Unit 2F</v>
      </c>
      <c r="C139" s="25" t="s">
        <v>22</v>
      </c>
      <c r="D139" s="26" t="s">
        <v>23</v>
      </c>
      <c r="E139" s="27" t="str">
        <f>HYPERLINK("https://www.compass.com/building/371-fort-washington-ave-manhattan-ny-10033/294836989874201893/","371 Fort Washington Ave")</f>
        <v>371 Fort Washington Ave</v>
      </c>
      <c r="F139" s="25" t="s">
        <v>58</v>
      </c>
      <c r="G139" s="28">
        <v>499000.0</v>
      </c>
      <c r="H139" s="29"/>
      <c r="I139" s="28">
        <v>1145.0</v>
      </c>
      <c r="J139" s="28">
        <v>0.0</v>
      </c>
      <c r="K139" s="25" t="s">
        <v>25</v>
      </c>
      <c r="L139" s="26">
        <v>4.0</v>
      </c>
      <c r="M139" s="26">
        <v>2.0</v>
      </c>
      <c r="N139" s="26">
        <v>1.0</v>
      </c>
      <c r="O139" s="26">
        <v>0.0</v>
      </c>
      <c r="P139" s="30"/>
      <c r="Q139" s="35">
        <v>334.0</v>
      </c>
      <c r="R139" s="32">
        <v>45799.0</v>
      </c>
      <c r="S139" s="32">
        <v>45529.0</v>
      </c>
      <c r="T139" s="29"/>
      <c r="U139" s="33"/>
      <c r="V139" s="1"/>
    </row>
    <row r="140" ht="24.0" customHeight="1">
      <c r="A140" s="1"/>
      <c r="B140" s="24" t="str">
        <f>HYPERLINK("https://www.compass.com/listing/204-west-140th-street-unit-4d-manhattan-ny-10030/1851609307837456817/view?agent_id=610d3f3370540700019b0833","204 W 140th St, Unit 4D")</f>
        <v>204 W 140th St, Unit 4D</v>
      </c>
      <c r="C140" s="25" t="s">
        <v>22</v>
      </c>
      <c r="D140" s="26" t="s">
        <v>23</v>
      </c>
      <c r="E140" s="27" t="str">
        <f>HYPERLINK("https://www.compass.com/building/204-west-140th-street-manhattan-ny/282060508536799269/","204 West 140th Street")</f>
        <v>204 West 140th Street</v>
      </c>
      <c r="F140" s="25" t="s">
        <v>32</v>
      </c>
      <c r="G140" s="28">
        <v>750000.0</v>
      </c>
      <c r="H140" s="28">
        <v>850.0</v>
      </c>
      <c r="I140" s="28">
        <v>1352.0</v>
      </c>
      <c r="J140" s="28">
        <v>7824.0</v>
      </c>
      <c r="K140" s="25" t="s">
        <v>28</v>
      </c>
      <c r="L140" s="26">
        <v>4.0</v>
      </c>
      <c r="M140" s="26">
        <v>2.0</v>
      </c>
      <c r="N140" s="26">
        <v>1.0</v>
      </c>
      <c r="O140" s="30"/>
      <c r="P140" s="26">
        <v>882.0</v>
      </c>
      <c r="Q140" s="35">
        <v>57.0</v>
      </c>
      <c r="R140" s="32">
        <v>45848.0</v>
      </c>
      <c r="S140" s="32">
        <v>45806.0</v>
      </c>
      <c r="T140" s="29"/>
      <c r="U140" s="33"/>
      <c r="V140" s="1"/>
    </row>
    <row r="141" ht="24.0" customHeight="1">
      <c r="A141" s="1"/>
      <c r="B141" s="24" t="str">
        <f>HYPERLINK("https://www.compass.com/listing/5500-fieldston-road-unit-77-bronx-ny-10471/1834385555335816889/view?agent_id=610d3f3370540700019b0833","5500 Fieldston Rd, Unit 77")</f>
        <v>5500 Fieldston Rd, Unit 77</v>
      </c>
      <c r="C141" s="25" t="s">
        <v>22</v>
      </c>
      <c r="D141" s="26" t="s">
        <v>23</v>
      </c>
      <c r="E141" s="27" t="str">
        <f>HYPERLINK("https://www.compass.com/building/5500-fieldston-rd-bronx-ny-10471/293532030354930197/","5500 Fieldston Rd")</f>
        <v>5500 Fieldston Rd</v>
      </c>
      <c r="F141" s="25" t="s">
        <v>75</v>
      </c>
      <c r="G141" s="28">
        <v>285000.0</v>
      </c>
      <c r="H141" s="28">
        <v>317.0</v>
      </c>
      <c r="I141" s="28">
        <v>1273.0</v>
      </c>
      <c r="J141" s="28">
        <v>0.0</v>
      </c>
      <c r="K141" s="25" t="s">
        <v>25</v>
      </c>
      <c r="L141" s="26">
        <v>4.0</v>
      </c>
      <c r="M141" s="26">
        <v>2.0</v>
      </c>
      <c r="N141" s="26">
        <v>1.0</v>
      </c>
      <c r="O141" s="26">
        <v>0.0</v>
      </c>
      <c r="P141" s="26">
        <v>900.0</v>
      </c>
      <c r="Q141" s="35">
        <v>77.0</v>
      </c>
      <c r="R141" s="32">
        <v>45819.0</v>
      </c>
      <c r="S141" s="32">
        <v>45786.0</v>
      </c>
      <c r="T141" s="29"/>
      <c r="U141" s="33"/>
      <c r="V141" s="1"/>
    </row>
    <row r="142" ht="24.0" customHeight="1">
      <c r="A142" s="1"/>
      <c r="B142" s="24" t="str">
        <f>HYPERLINK("https://www.compass.com/listing/15-broad-street-unit-1100-manhattan-ny-10005/1814172803717957521/view?agent_id=610d3f3370540700019b0833","15 Broad St, Unit 1100")</f>
        <v>15 Broad St, Unit 1100</v>
      </c>
      <c r="C142" s="25" t="s">
        <v>22</v>
      </c>
      <c r="D142" s="26" t="s">
        <v>23</v>
      </c>
      <c r="E142" s="27" t="str">
        <f>HYPERLINK("https://www.compass.com/building/downtown-by-philippe-starck-manhattan-ny/281895799065944725/","Downtown by Philippe Starck")</f>
        <v>Downtown by Philippe Starck</v>
      </c>
      <c r="F142" s="25" t="s">
        <v>80</v>
      </c>
      <c r="G142" s="28">
        <v>1399000.0</v>
      </c>
      <c r="H142" s="28">
        <v>888.0</v>
      </c>
      <c r="I142" s="28">
        <v>4087.0</v>
      </c>
      <c r="J142" s="28">
        <v>27696.0</v>
      </c>
      <c r="K142" s="25" t="s">
        <v>28</v>
      </c>
      <c r="L142" s="26">
        <v>4.0</v>
      </c>
      <c r="M142" s="26">
        <v>2.0</v>
      </c>
      <c r="N142" s="26">
        <v>1.0</v>
      </c>
      <c r="O142" s="30"/>
      <c r="P142" s="34">
        <v>1576.0</v>
      </c>
      <c r="Q142" s="35">
        <v>108.0</v>
      </c>
      <c r="R142" s="32">
        <v>45772.0</v>
      </c>
      <c r="S142" s="32">
        <v>45754.0</v>
      </c>
      <c r="T142" s="29"/>
      <c r="U142" s="33"/>
      <c r="V142" s="1"/>
    </row>
    <row r="143" ht="24.0" customHeight="1">
      <c r="A143" s="1"/>
      <c r="B143" s="24" t="str">
        <f>HYPERLINK("https://www.compass.com/listing/50-east-129th-street-unit-2c-manhattan-ny-10035/1669657774621040137/view?agent_id=610d3f3370540700019b0833","50 E 129th St, Unit 2C")</f>
        <v>50 E 129th St, Unit 2C</v>
      </c>
      <c r="C143" s="25" t="s">
        <v>22</v>
      </c>
      <c r="D143" s="26" t="s">
        <v>23</v>
      </c>
      <c r="E143" s="27" t="str">
        <f>HYPERLINK("https://www.compass.com/building/the-tatum-manhattan-ny/281927862448074325/","The Tatum")</f>
        <v>The Tatum</v>
      </c>
      <c r="F143" s="25" t="s">
        <v>32</v>
      </c>
      <c r="G143" s="28">
        <v>649000.0</v>
      </c>
      <c r="H143" s="28">
        <v>692.0</v>
      </c>
      <c r="I143" s="28">
        <v>781.0</v>
      </c>
      <c r="J143" s="28">
        <v>36.0</v>
      </c>
      <c r="K143" s="25" t="s">
        <v>28</v>
      </c>
      <c r="L143" s="26">
        <v>5.0</v>
      </c>
      <c r="M143" s="26">
        <v>2.0</v>
      </c>
      <c r="N143" s="26">
        <v>1.0</v>
      </c>
      <c r="O143" s="30"/>
      <c r="P143" s="26">
        <v>938.0</v>
      </c>
      <c r="Q143" s="35">
        <v>100.0</v>
      </c>
      <c r="R143" s="32">
        <v>45863.0</v>
      </c>
      <c r="S143" s="32">
        <v>45763.0</v>
      </c>
      <c r="T143" s="29"/>
      <c r="U143" s="33"/>
      <c r="V143" s="1"/>
    </row>
    <row r="144" ht="24.0" customHeight="1">
      <c r="A144" s="1"/>
      <c r="B144" s="24" t="str">
        <f>HYPERLINK("https://www.compass.com/listing/34-35-82nd-street-unit-52-queens-ny-11372/1870318096493486833/view?agent_id=610d3f3370540700019b0833","34-35 82nd St, Unit 52")</f>
        <v>34-35 82nd St, Unit 52</v>
      </c>
      <c r="C144" s="25" t="s">
        <v>22</v>
      </c>
      <c r="D144" s="26" t="s">
        <v>23</v>
      </c>
      <c r="E144" s="27" t="str">
        <f>HYPERLINK("https://www.compass.com/building/34-35-82nd-st-queens-ny-11372/293417747281359413/","34-35 82nd St")</f>
        <v>34-35 82nd St</v>
      </c>
      <c r="F144" s="25" t="s">
        <v>33</v>
      </c>
      <c r="G144" s="28">
        <v>630000.0</v>
      </c>
      <c r="H144" s="29"/>
      <c r="I144" s="28">
        <v>979.0</v>
      </c>
      <c r="J144" s="28">
        <v>0.0</v>
      </c>
      <c r="K144" s="25" t="s">
        <v>25</v>
      </c>
      <c r="L144" s="26">
        <v>5.0</v>
      </c>
      <c r="M144" s="26">
        <v>2.0</v>
      </c>
      <c r="N144" s="26">
        <v>1.0</v>
      </c>
      <c r="O144" s="30"/>
      <c r="P144" s="30"/>
      <c r="Q144" s="35">
        <v>28.0</v>
      </c>
      <c r="R144" s="32">
        <v>45855.0</v>
      </c>
      <c r="S144" s="32">
        <v>45834.0</v>
      </c>
      <c r="T144" s="29"/>
      <c r="U144" s="33"/>
      <c r="V144" s="1"/>
    </row>
    <row r="145" ht="24.0" customHeight="1">
      <c r="A145" s="1"/>
      <c r="B145" s="24" t="str">
        <f>HYPERLINK("https://www.compass.com/listing/57-park-terrace-east-unit-b75-manhattan-ny-10034/1828504213915983777/view?agent_id=610d3f3370540700019b0833","57 Park Ter E, Unit B75")</f>
        <v>57 Park Ter E, Unit B75</v>
      </c>
      <c r="C145" s="25" t="s">
        <v>22</v>
      </c>
      <c r="D145" s="26" t="s">
        <v>23</v>
      </c>
      <c r="E145" s="27" t="str">
        <f>HYPERLINK("https://www.compass.com/building/park-terrace-gardens-manhattan-ny/294837798015950245/","Park Terrace Gardens")</f>
        <v>Park Terrace Gardens</v>
      </c>
      <c r="F145" s="25" t="s">
        <v>81</v>
      </c>
      <c r="G145" s="28">
        <v>599000.0</v>
      </c>
      <c r="H145" s="29"/>
      <c r="I145" s="28">
        <v>1649.0</v>
      </c>
      <c r="J145" s="28">
        <v>0.0</v>
      </c>
      <c r="K145" s="25" t="s">
        <v>25</v>
      </c>
      <c r="L145" s="26">
        <v>5.0</v>
      </c>
      <c r="M145" s="26">
        <v>2.0</v>
      </c>
      <c r="N145" s="26">
        <v>1.0</v>
      </c>
      <c r="O145" s="26">
        <v>0.0</v>
      </c>
      <c r="P145" s="30"/>
      <c r="Q145" s="35">
        <v>84.0</v>
      </c>
      <c r="R145" s="32">
        <v>45859.0</v>
      </c>
      <c r="S145" s="32">
        <v>45779.0</v>
      </c>
      <c r="T145" s="29"/>
      <c r="U145" s="33"/>
      <c r="V145" s="1"/>
    </row>
    <row r="146" ht="24.0" customHeight="1">
      <c r="A146" s="1"/>
      <c r="B146" s="24" t="str">
        <f>HYPERLINK("https://www.compass.com/listing/200-west-54th-street-unit-6j-manhattan-ny-10019/1810277176746536713/view?agent_id=610d3f3370540700019b0833","200 W 54th St, Unit 6J")</f>
        <v>200 W 54th St, Unit 6J</v>
      </c>
      <c r="C146" s="25" t="s">
        <v>22</v>
      </c>
      <c r="D146" s="26" t="s">
        <v>23</v>
      </c>
      <c r="E146" s="27" t="str">
        <f>HYPERLINK("https://www.compass.com/building/the-adlon-manhattan-ny/292848968814103589/","The Adlon")</f>
        <v>The Adlon</v>
      </c>
      <c r="F146" s="25" t="s">
        <v>67</v>
      </c>
      <c r="G146" s="28">
        <v>799000.0</v>
      </c>
      <c r="H146" s="29"/>
      <c r="I146" s="28">
        <v>2091.0</v>
      </c>
      <c r="J146" s="28">
        <v>0.0</v>
      </c>
      <c r="K146" s="25" t="s">
        <v>25</v>
      </c>
      <c r="L146" s="26">
        <v>4.0</v>
      </c>
      <c r="M146" s="26">
        <v>2.0</v>
      </c>
      <c r="N146" s="26">
        <v>1.0</v>
      </c>
      <c r="O146" s="30"/>
      <c r="P146" s="30"/>
      <c r="Q146" s="35">
        <v>114.0</v>
      </c>
      <c r="R146" s="32">
        <v>45749.0</v>
      </c>
      <c r="S146" s="32">
        <v>45749.0</v>
      </c>
      <c r="T146" s="29"/>
      <c r="U146" s="33"/>
      <c r="V146" s="1"/>
    </row>
    <row r="147" ht="24.0" customHeight="1">
      <c r="A147" s="1"/>
      <c r="B147" s="24" t="str">
        <f>HYPERLINK("https://www.compass.com/listing/101-linden-street-unit-2d-brooklyn-ny-11221/1817579978525834921/view?agent_id=610d3f3370540700019b0833","101 Linden St, Unit 2D")</f>
        <v>101 Linden St, Unit 2D</v>
      </c>
      <c r="C147" s="25" t="s">
        <v>22</v>
      </c>
      <c r="D147" s="26" t="s">
        <v>23</v>
      </c>
      <c r="E147" s="27" t="str">
        <f>HYPERLINK("https://www.compass.com/building/101-linden-st-brooklyn-ny-11221/293418474171043253/","101 Linden St")</f>
        <v>101 Linden St</v>
      </c>
      <c r="F147" s="25" t="s">
        <v>82</v>
      </c>
      <c r="G147" s="28">
        <v>499000.0</v>
      </c>
      <c r="H147" s="29"/>
      <c r="I147" s="28">
        <v>793.0</v>
      </c>
      <c r="J147" s="28">
        <v>0.0</v>
      </c>
      <c r="K147" s="25" t="s">
        <v>25</v>
      </c>
      <c r="L147" s="26">
        <v>4.0</v>
      </c>
      <c r="M147" s="26">
        <v>2.0</v>
      </c>
      <c r="N147" s="26">
        <v>1.0</v>
      </c>
      <c r="O147" s="26">
        <v>0.0</v>
      </c>
      <c r="P147" s="30"/>
      <c r="Q147" s="35">
        <v>98.0</v>
      </c>
      <c r="R147" s="32">
        <v>45854.0</v>
      </c>
      <c r="S147" s="32">
        <v>45765.0</v>
      </c>
      <c r="T147" s="29"/>
      <c r="U147" s="33"/>
      <c r="V147" s="1"/>
    </row>
    <row r="148" ht="24.0" customHeight="1">
      <c r="A148" s="1"/>
      <c r="B148" s="24" t="str">
        <f>HYPERLINK("https://www.compass.com/listing/1825-riverside-drive-unit-1f-manhattan-ny-10034/1826878177415410785/view?agent_id=610d3f3370540700019b0833","1825 Riverside Dr, Unit 1F")</f>
        <v>1825 Riverside Dr, Unit 1F</v>
      </c>
      <c r="C148" s="25" t="s">
        <v>22</v>
      </c>
      <c r="D148" s="26" t="s">
        <v>23</v>
      </c>
      <c r="E148" s="27" t="str">
        <f>HYPERLINK("https://www.compass.com/building/1825-riverside-dr-manhattan-ny-10034/282014591376953989/","1825 Riverside Dr")</f>
        <v>1825 Riverside Dr</v>
      </c>
      <c r="F148" s="25" t="s">
        <v>77</v>
      </c>
      <c r="G148" s="28">
        <v>519000.0</v>
      </c>
      <c r="H148" s="28">
        <v>451.0</v>
      </c>
      <c r="I148" s="28">
        <v>1114.0</v>
      </c>
      <c r="J148" s="29"/>
      <c r="K148" s="25" t="s">
        <v>25</v>
      </c>
      <c r="L148" s="26">
        <v>6.0</v>
      </c>
      <c r="M148" s="26">
        <v>2.0</v>
      </c>
      <c r="N148" s="26">
        <v>1.0</v>
      </c>
      <c r="O148" s="30"/>
      <c r="P148" s="34">
        <v>1150.0</v>
      </c>
      <c r="Q148" s="35">
        <v>90.0</v>
      </c>
      <c r="R148" s="32">
        <v>45849.0</v>
      </c>
      <c r="S148" s="32">
        <v>45772.0</v>
      </c>
      <c r="T148" s="29"/>
      <c r="U148" s="33"/>
      <c r="V148" s="1"/>
    </row>
    <row r="149" ht="24.0" customHeight="1">
      <c r="A149" s="1"/>
      <c r="B149" s="24" t="str">
        <f>HYPERLINK("https://www.compass.com/listing/680-west-204th-street-unit-5e-manhattan-ny-10034/1787176292488742601/view?agent_id=610d3f3370540700019b0833","680 W 204th St, Unit 5E")</f>
        <v>680 W 204th St, Unit 5E</v>
      </c>
      <c r="C149" s="25" t="s">
        <v>22</v>
      </c>
      <c r="D149" s="26" t="s">
        <v>23</v>
      </c>
      <c r="E149" s="27" t="str">
        <f>HYPERLINK("https://www.compass.com/building/680-w-204th-st-manhattan-ny-10034/282060364311462373/","680 W 204th St")</f>
        <v>680 W 204th St</v>
      </c>
      <c r="F149" s="25" t="s">
        <v>81</v>
      </c>
      <c r="G149" s="28">
        <v>550000.0</v>
      </c>
      <c r="H149" s="29"/>
      <c r="I149" s="28">
        <v>1579.0</v>
      </c>
      <c r="J149" s="28">
        <v>0.0</v>
      </c>
      <c r="K149" s="25" t="s">
        <v>25</v>
      </c>
      <c r="L149" s="26">
        <v>5.0</v>
      </c>
      <c r="M149" s="26">
        <v>2.0</v>
      </c>
      <c r="N149" s="26">
        <v>1.0</v>
      </c>
      <c r="O149" s="26">
        <v>0.0</v>
      </c>
      <c r="P149" s="30"/>
      <c r="Q149" s="35">
        <v>136.0</v>
      </c>
      <c r="R149" s="32">
        <v>45798.0</v>
      </c>
      <c r="S149" s="32">
        <v>45727.0</v>
      </c>
      <c r="T149" s="29"/>
      <c r="U149" s="33"/>
      <c r="V149" s="1"/>
    </row>
    <row r="150" ht="24.0" customHeight="1">
      <c r="A150" s="1"/>
      <c r="B150" s="24" t="str">
        <f>HYPERLINK("https://www.compass.com/listing/544-west-157th-street-unit-1-manhattan-ny-10032/1778451924264013497/view?agent_id=610d3f3370540700019b0833","544 W 157th St, Unit 1")</f>
        <v>544 W 157th St, Unit 1</v>
      </c>
      <c r="C150" s="25" t="s">
        <v>22</v>
      </c>
      <c r="D150" s="26" t="s">
        <v>23</v>
      </c>
      <c r="E150" s="27" t="str">
        <f>HYPERLINK("https://www.compass.com/building/544-w-157th-st-manhattan-ny-10032/282007547597158373/","544 W 157th St")</f>
        <v>544 W 157th St</v>
      </c>
      <c r="F150" s="25" t="s">
        <v>77</v>
      </c>
      <c r="G150" s="28">
        <v>399000.0</v>
      </c>
      <c r="H150" s="29"/>
      <c r="I150" s="28">
        <v>845.0</v>
      </c>
      <c r="J150" s="28">
        <v>0.0</v>
      </c>
      <c r="K150" s="25" t="s">
        <v>25</v>
      </c>
      <c r="L150" s="26">
        <v>4.0</v>
      </c>
      <c r="M150" s="26">
        <v>2.0</v>
      </c>
      <c r="N150" s="26">
        <v>1.0</v>
      </c>
      <c r="O150" s="30"/>
      <c r="P150" s="30"/>
      <c r="Q150" s="35">
        <v>144.0</v>
      </c>
      <c r="R150" s="32">
        <v>45863.0</v>
      </c>
      <c r="S150" s="32">
        <v>45719.0</v>
      </c>
      <c r="T150" s="29"/>
      <c r="U150" s="33"/>
      <c r="V150" s="1"/>
    </row>
    <row r="151" ht="24.0" customHeight="1">
      <c r="A151" s="1"/>
      <c r="B151" s="24" t="str">
        <f>HYPERLINK("https://www.compass.com/listing/5700-arlington-avenue-unit-7g-bronx-ny-10471/1799452695795221049/view?agent_id=610d3f3370540700019b0833","5700 Arlington Ave, Unit 7G")</f>
        <v>5700 Arlington Ave, Unit 7G</v>
      </c>
      <c r="C151" s="25" t="s">
        <v>22</v>
      </c>
      <c r="D151" s="26" t="s">
        <v>23</v>
      </c>
      <c r="E151" s="27" t="str">
        <f>HYPERLINK("https://www.compass.com/building/skyview-on-the-hudson-bronx-ny/293529087136258053/","Skyview on the Hudson ")</f>
        <v>Skyview on the Hudson </v>
      </c>
      <c r="F151" s="25" t="s">
        <v>75</v>
      </c>
      <c r="G151" s="28">
        <v>445000.0</v>
      </c>
      <c r="H151" s="29"/>
      <c r="I151" s="28">
        <v>1399.0</v>
      </c>
      <c r="J151" s="28">
        <v>0.0</v>
      </c>
      <c r="K151" s="25" t="s">
        <v>25</v>
      </c>
      <c r="L151" s="26">
        <v>4.0</v>
      </c>
      <c r="M151" s="26">
        <v>2.0</v>
      </c>
      <c r="N151" s="26">
        <v>1.0</v>
      </c>
      <c r="O151" s="30"/>
      <c r="P151" s="30"/>
      <c r="Q151" s="35">
        <v>129.0</v>
      </c>
      <c r="R151" s="32">
        <v>45862.0</v>
      </c>
      <c r="S151" s="32">
        <v>45734.0</v>
      </c>
      <c r="T151" s="29"/>
      <c r="U151" s="33"/>
      <c r="V151" s="1"/>
    </row>
    <row r="152" ht="24.0" customHeight="1">
      <c r="A152" s="1"/>
      <c r="B152" s="24" t="str">
        <f>HYPERLINK("https://www.compass.com/listing/68-61-yellowstone-boulevard-unit-618-queens-ny-11375/1883373208202064785/view?agent_id=610d3f3370540700019b0833","68-61 Yellowstone Blvd, Unit 618")</f>
        <v>68-61 Yellowstone Blvd, Unit 618</v>
      </c>
      <c r="C152" s="25" t="s">
        <v>22</v>
      </c>
      <c r="D152" s="26" t="s">
        <v>23</v>
      </c>
      <c r="E152" s="27" t="str">
        <f>HYPERLINK("https://www.compass.com/building/68-61-yellowstone-blvd-queens-ny-11375/293526950926935765/","68-61 Yellowstone Blvd")</f>
        <v>68-61 Yellowstone Blvd</v>
      </c>
      <c r="F152" s="25" t="s">
        <v>83</v>
      </c>
      <c r="G152" s="28">
        <v>455000.0</v>
      </c>
      <c r="H152" s="28">
        <v>428.0</v>
      </c>
      <c r="I152" s="28">
        <v>1585.0</v>
      </c>
      <c r="J152" s="28">
        <v>0.0</v>
      </c>
      <c r="K152" s="25" t="s">
        <v>25</v>
      </c>
      <c r="L152" s="26">
        <v>4.0</v>
      </c>
      <c r="M152" s="26">
        <v>2.0</v>
      </c>
      <c r="N152" s="26">
        <v>1.0</v>
      </c>
      <c r="O152" s="26">
        <v>0.0</v>
      </c>
      <c r="P152" s="34">
        <v>1062.0</v>
      </c>
      <c r="Q152" s="35">
        <v>13.0</v>
      </c>
      <c r="R152" s="32">
        <v>45862.0</v>
      </c>
      <c r="S152" s="32">
        <v>45850.0</v>
      </c>
      <c r="T152" s="29"/>
      <c r="U152" s="33"/>
      <c r="V152" s="1"/>
    </row>
    <row r="153" ht="24.0" customHeight="1">
      <c r="A153" s="1"/>
      <c r="B153" s="24" t="str">
        <f>HYPERLINK("https://www.compass.com/listing/229-17-87th-avenue-unit-lowr-queens-ny-11427/1859654047606506217/view?agent_id=610d3f3370540700019b0833","229-17 87th Ave, Unit LOWR")</f>
        <v>229-17 87th Ave, Unit LOWR</v>
      </c>
      <c r="C153" s="25" t="s">
        <v>22</v>
      </c>
      <c r="D153" s="26" t="s">
        <v>23</v>
      </c>
      <c r="E153" s="27" t="str">
        <f>HYPERLINK("https://www.compass.com/building/229-17-87th-ave-queens-ny-11427/381301455687734421/","229-17 87th Ave")</f>
        <v>229-17 87th Ave</v>
      </c>
      <c r="F153" s="25" t="s">
        <v>69</v>
      </c>
      <c r="G153" s="28">
        <v>267000.0</v>
      </c>
      <c r="H153" s="28">
        <v>411.0</v>
      </c>
      <c r="I153" s="28">
        <v>867.0</v>
      </c>
      <c r="J153" s="29"/>
      <c r="K153" s="25" t="s">
        <v>25</v>
      </c>
      <c r="L153" s="26">
        <v>5.0</v>
      </c>
      <c r="M153" s="26">
        <v>2.0</v>
      </c>
      <c r="N153" s="26">
        <v>1.0</v>
      </c>
      <c r="O153" s="30"/>
      <c r="P153" s="26">
        <v>650.0</v>
      </c>
      <c r="Q153" s="35">
        <v>45.0</v>
      </c>
      <c r="R153" s="32">
        <v>45854.0</v>
      </c>
      <c r="S153" s="32">
        <v>45818.0</v>
      </c>
      <c r="T153" s="29"/>
      <c r="U153" s="33"/>
      <c r="V153" s="1"/>
    </row>
    <row r="154" ht="24.0" customHeight="1">
      <c r="A154" s="1"/>
      <c r="B154" s="24" t="str">
        <f>HYPERLINK("https://www.compass.com/listing/333-pearl-street-unit-6k-manhattan-ny-10038/1798109599441433873/view?agent_id=610d3f3370540700019b0833","333 Pearl St, Unit 6K")</f>
        <v>333 Pearl St, Unit 6K</v>
      </c>
      <c r="C154" s="25" t="s">
        <v>22</v>
      </c>
      <c r="D154" s="26" t="s">
        <v>23</v>
      </c>
      <c r="E154" s="27" t="str">
        <f>HYPERLINK("https://www.compass.com/building/southbridge-towers-manhattan-ny/282059656732376485/","Southbridge Towers")</f>
        <v>Southbridge Towers</v>
      </c>
      <c r="F154" s="25" t="s">
        <v>80</v>
      </c>
      <c r="G154" s="28">
        <v>855000.0</v>
      </c>
      <c r="H154" s="29"/>
      <c r="I154" s="28">
        <v>1124.0</v>
      </c>
      <c r="J154" s="28">
        <v>0.0</v>
      </c>
      <c r="K154" s="25" t="s">
        <v>25</v>
      </c>
      <c r="L154" s="26">
        <v>3.0</v>
      </c>
      <c r="M154" s="26">
        <v>2.0</v>
      </c>
      <c r="N154" s="26">
        <v>1.0</v>
      </c>
      <c r="O154" s="30"/>
      <c r="P154" s="30"/>
      <c r="Q154" s="35">
        <v>130.0</v>
      </c>
      <c r="R154" s="32">
        <v>45849.0</v>
      </c>
      <c r="S154" s="32">
        <v>45732.0</v>
      </c>
      <c r="T154" s="29"/>
      <c r="U154" s="33"/>
      <c r="V154" s="1"/>
    </row>
    <row r="155" ht="24.0" customHeight="1">
      <c r="A155" s="1"/>
      <c r="B155" s="24" t="str">
        <f>HYPERLINK("https://www.compass.com/listing/3512-oxford-avenue-unit-2f-bronx-ny-10463/1749721786914551529/view?agent_id=610d3f3370540700019b0833","3512 Oxford Ave, Unit 2F")</f>
        <v>3512 Oxford Ave, Unit 2F</v>
      </c>
      <c r="C155" s="25" t="s">
        <v>22</v>
      </c>
      <c r="D155" s="26" t="s">
        <v>23</v>
      </c>
      <c r="E155" s="27" t="str">
        <f>HYPERLINK("https://www.compass.com/building/oxford-arms-bronx-ny/293533752225695045/","Oxford Arms")</f>
        <v>Oxford Arms</v>
      </c>
      <c r="F155" s="25" t="s">
        <v>84</v>
      </c>
      <c r="G155" s="28">
        <v>299000.0</v>
      </c>
      <c r="H155" s="28">
        <v>323.0</v>
      </c>
      <c r="I155" s="28">
        <v>1067.0</v>
      </c>
      <c r="J155" s="28">
        <v>0.0</v>
      </c>
      <c r="K155" s="25" t="s">
        <v>25</v>
      </c>
      <c r="L155" s="26">
        <v>4.0</v>
      </c>
      <c r="M155" s="26">
        <v>2.0</v>
      </c>
      <c r="N155" s="26">
        <v>1.0</v>
      </c>
      <c r="O155" s="30"/>
      <c r="P155" s="26">
        <v>925.0</v>
      </c>
      <c r="Q155" s="35">
        <v>171.0</v>
      </c>
      <c r="R155" s="32">
        <v>45846.0</v>
      </c>
      <c r="S155" s="32">
        <v>45692.0</v>
      </c>
      <c r="T155" s="29"/>
      <c r="U155" s="33"/>
      <c r="V155" s="1"/>
    </row>
    <row r="156" ht="24.0" customHeight="1">
      <c r="A156" s="1"/>
      <c r="B156" s="24" t="str">
        <f>HYPERLINK("https://www.compass.com/listing/1065-vermont-street-unit-4l-brooklyn-ny-11207/1808921015660797449/view?agent_id=610d3f3370540700019b0833","1065 Vermont St, Unit 4L")</f>
        <v>1065 Vermont St, Unit 4L</v>
      </c>
      <c r="C156" s="25" t="s">
        <v>22</v>
      </c>
      <c r="D156" s="26" t="s">
        <v>23</v>
      </c>
      <c r="E156" s="27" t="str">
        <f>HYPERLINK("https://www.compass.com/building/1065-vermont-st-brooklyn-ny-11207/293527935615294037/","1065 Vermont St")</f>
        <v>1065 Vermont St</v>
      </c>
      <c r="F156" s="25" t="s">
        <v>85</v>
      </c>
      <c r="G156" s="28">
        <v>390000.0</v>
      </c>
      <c r="H156" s="28">
        <v>483.0</v>
      </c>
      <c r="I156" s="28">
        <v>858.0</v>
      </c>
      <c r="J156" s="28">
        <v>2892.0</v>
      </c>
      <c r="K156" s="25" t="s">
        <v>28</v>
      </c>
      <c r="L156" s="26">
        <v>5.0</v>
      </c>
      <c r="M156" s="26">
        <v>2.0</v>
      </c>
      <c r="N156" s="26">
        <v>1.0</v>
      </c>
      <c r="O156" s="30"/>
      <c r="P156" s="26">
        <v>808.0</v>
      </c>
      <c r="Q156" s="35">
        <v>78.0</v>
      </c>
      <c r="R156" s="32">
        <v>45862.0</v>
      </c>
      <c r="S156" s="32">
        <v>45785.0</v>
      </c>
      <c r="T156" s="29"/>
      <c r="U156" s="33"/>
      <c r="V156" s="1"/>
    </row>
    <row r="157" ht="24.0" customHeight="1">
      <c r="A157" s="1"/>
      <c r="B157" s="24" t="str">
        <f>HYPERLINK("https://www.compass.com/listing/218-02-73rd-avenue-unit-uppr-queens-ny-11364/1870450330844188529/view?agent_id=610d3f3370540700019b0833","218-02 73rd Avenue, Unit UPPR")</f>
        <v>218-02 73rd Avenue, Unit UPPR</v>
      </c>
      <c r="C157" s="25" t="s">
        <v>22</v>
      </c>
      <c r="D157" s="26" t="s">
        <v>23</v>
      </c>
      <c r="E157" s="26" t="s">
        <v>86</v>
      </c>
      <c r="F157" s="25" t="s">
        <v>37</v>
      </c>
      <c r="G157" s="28">
        <v>349000.0</v>
      </c>
      <c r="H157" s="28">
        <v>521.0</v>
      </c>
      <c r="I157" s="28">
        <v>1216.0</v>
      </c>
      <c r="J157" s="29"/>
      <c r="K157" s="25" t="s">
        <v>25</v>
      </c>
      <c r="L157" s="26">
        <v>5.0</v>
      </c>
      <c r="M157" s="26">
        <v>2.0</v>
      </c>
      <c r="N157" s="26">
        <v>1.0</v>
      </c>
      <c r="O157" s="30"/>
      <c r="P157" s="26">
        <v>670.0</v>
      </c>
      <c r="Q157" s="35">
        <v>31.0</v>
      </c>
      <c r="R157" s="32">
        <v>45851.0</v>
      </c>
      <c r="S157" s="32">
        <v>45832.0</v>
      </c>
      <c r="T157" s="29"/>
      <c r="U157" s="33"/>
      <c r="V157" s="1"/>
    </row>
    <row r="158" ht="24.0" customHeight="1">
      <c r="A158" s="1"/>
      <c r="B158" s="24" t="str">
        <f>HYPERLINK("https://www.compass.com/listing/221-15-manor-road-unit-uppr-queens-ny-11427/1809585442940773153/view?agent_id=610d3f3370540700019b0833","221-15 Manor Road, Unit UPPR")</f>
        <v>221-15 Manor Road, Unit UPPR</v>
      </c>
      <c r="C158" s="25" t="s">
        <v>22</v>
      </c>
      <c r="D158" s="26" t="s">
        <v>23</v>
      </c>
      <c r="E158" s="27" t="str">
        <f>HYPERLINK("https://www.compass.com/building/221-15-manor-rd-queens-ny-11427/381301998768322501/","221-15 Manor Rd")</f>
        <v>221-15 Manor Rd</v>
      </c>
      <c r="F158" s="25" t="s">
        <v>69</v>
      </c>
      <c r="G158" s="28">
        <v>265000.0</v>
      </c>
      <c r="H158" s="28">
        <v>406.0</v>
      </c>
      <c r="I158" s="28">
        <v>867.0</v>
      </c>
      <c r="J158" s="29"/>
      <c r="K158" s="25" t="s">
        <v>25</v>
      </c>
      <c r="L158" s="26">
        <v>5.0</v>
      </c>
      <c r="M158" s="26">
        <v>2.0</v>
      </c>
      <c r="N158" s="26">
        <v>1.0</v>
      </c>
      <c r="O158" s="30"/>
      <c r="P158" s="26">
        <v>652.0</v>
      </c>
      <c r="Q158" s="35">
        <v>115.0</v>
      </c>
      <c r="R158" s="32">
        <v>45758.0</v>
      </c>
      <c r="S158" s="32">
        <v>45748.0</v>
      </c>
      <c r="T158" s="29"/>
      <c r="U158" s="33"/>
      <c r="V158" s="1"/>
    </row>
    <row r="159" ht="24.0" customHeight="1">
      <c r="A159" s="1"/>
      <c r="B159" s="24" t="str">
        <f>HYPERLINK("https://www.compass.com/listing/3840-greystone-avenue-unit-1k-bronx-ny-10463/1654439767132673241/view?agent_id=610d3f3370540700019b0833","3840 Greystone Avenue, Unit 1K")</f>
        <v>3840 Greystone Avenue, Unit 1K</v>
      </c>
      <c r="C159" s="25" t="s">
        <v>22</v>
      </c>
      <c r="D159" s="26" t="s">
        <v>23</v>
      </c>
      <c r="E159" s="27" t="str">
        <f>HYPERLINK("https://www.compass.com/building/greystone-park-bronx-ny/293528215064978117/","Greystone Park")</f>
        <v>Greystone Park</v>
      </c>
      <c r="F159" s="25" t="s">
        <v>87</v>
      </c>
      <c r="G159" s="28">
        <v>320000.0</v>
      </c>
      <c r="H159" s="28">
        <v>356.0</v>
      </c>
      <c r="I159" s="28">
        <v>1257.0</v>
      </c>
      <c r="J159" s="28">
        <v>0.0</v>
      </c>
      <c r="K159" s="25" t="s">
        <v>25</v>
      </c>
      <c r="L159" s="26">
        <v>4.0</v>
      </c>
      <c r="M159" s="26">
        <v>2.0</v>
      </c>
      <c r="N159" s="26">
        <v>1.0</v>
      </c>
      <c r="O159" s="30"/>
      <c r="P159" s="26">
        <v>900.0</v>
      </c>
      <c r="Q159" s="35">
        <v>271.0</v>
      </c>
      <c r="R159" s="32">
        <v>45846.0</v>
      </c>
      <c r="S159" s="32">
        <v>45534.0</v>
      </c>
      <c r="T159" s="29"/>
      <c r="U159" s="33"/>
      <c r="V159" s="1"/>
    </row>
    <row r="160" ht="24.0" customHeight="1">
      <c r="A160" s="1"/>
      <c r="B160" s="24" t="str">
        <f>HYPERLINK("https://www.compass.com/listing/72-17-34th-avenue-unit-1p-queens-ny-11372/1844983838252349937/view?agent_id=610d3f3370540700019b0833","72-17 34th Avenue, Unit 1P")</f>
        <v>72-17 34th Avenue, Unit 1P</v>
      </c>
      <c r="C160" s="25" t="s">
        <v>22</v>
      </c>
      <c r="D160" s="26" t="s">
        <v>23</v>
      </c>
      <c r="E160" s="27" t="str">
        <f>HYPERLINK("https://www.compass.com/building/windsor-coop-queens-ny/293527260307177349/","Windsor Coop")</f>
        <v>Windsor Coop</v>
      </c>
      <c r="F160" s="25" t="s">
        <v>33</v>
      </c>
      <c r="G160" s="28">
        <v>499000.0</v>
      </c>
      <c r="H160" s="28">
        <v>535.0</v>
      </c>
      <c r="I160" s="28">
        <v>982.0</v>
      </c>
      <c r="J160" s="28">
        <v>0.0</v>
      </c>
      <c r="K160" s="25" t="s">
        <v>25</v>
      </c>
      <c r="L160" s="26">
        <v>5.0</v>
      </c>
      <c r="M160" s="26">
        <v>2.0</v>
      </c>
      <c r="N160" s="26">
        <v>1.0</v>
      </c>
      <c r="O160" s="30"/>
      <c r="P160" s="26">
        <v>933.0</v>
      </c>
      <c r="Q160" s="35">
        <v>65.0</v>
      </c>
      <c r="R160" s="32">
        <v>45855.0</v>
      </c>
      <c r="S160" s="32">
        <v>45798.0</v>
      </c>
      <c r="T160" s="29"/>
      <c r="U160" s="33"/>
      <c r="V160" s="1"/>
    </row>
    <row r="161" ht="24.0" customHeight="1">
      <c r="A161" s="1"/>
      <c r="B161" s="24" t="str">
        <f>HYPERLINK("https://www.compass.com/listing/43-10-48th-avenue-unit-2p-queens-ny-11377/1804574152816185209/view?agent_id=610d3f3370540700019b0833","43-10 48th Avenue, Unit 2P")</f>
        <v>43-10 48th Avenue, Unit 2P</v>
      </c>
      <c r="C161" s="25" t="s">
        <v>22</v>
      </c>
      <c r="D161" s="26" t="s">
        <v>23</v>
      </c>
      <c r="E161" s="27" t="str">
        <f>HYPERLINK("https://www.compass.com/building/43-10-48th-ave-queens-ny-11377/307455527688654101/","43-10 48th Ave")</f>
        <v>43-10 48th Ave</v>
      </c>
      <c r="F161" s="25" t="s">
        <v>88</v>
      </c>
      <c r="G161" s="28">
        <v>475000.0</v>
      </c>
      <c r="H161" s="29"/>
      <c r="I161" s="28">
        <v>1208.0</v>
      </c>
      <c r="J161" s="28">
        <v>0.0</v>
      </c>
      <c r="K161" s="25" t="s">
        <v>25</v>
      </c>
      <c r="L161" s="26">
        <v>5.0</v>
      </c>
      <c r="M161" s="26">
        <v>2.0</v>
      </c>
      <c r="N161" s="26">
        <v>1.0</v>
      </c>
      <c r="O161" s="30"/>
      <c r="P161" s="30"/>
      <c r="Q161" s="35">
        <v>122.0</v>
      </c>
      <c r="R161" s="32">
        <v>45862.0</v>
      </c>
      <c r="S161" s="32">
        <v>45741.0</v>
      </c>
      <c r="T161" s="29"/>
      <c r="U161" s="33"/>
      <c r="V161" s="1"/>
    </row>
    <row r="162" ht="24.0" customHeight="1">
      <c r="A162" s="1"/>
      <c r="B162" s="24" t="str">
        <f>HYPERLINK("https://www.compass.com/listing/20-89th-street-unit-5c-brooklyn-ny-11209/1827038511908153761/view?agent_id=610d3f3370540700019b0833","20 89th Street, Unit 5C")</f>
        <v>20 89th Street, Unit 5C</v>
      </c>
      <c r="C162" s="25" t="s">
        <v>22</v>
      </c>
      <c r="D162" s="26" t="s">
        <v>23</v>
      </c>
      <c r="E162" s="27" t="str">
        <f>HYPERLINK("https://www.compass.com/building/20-89th-st-brooklyn-ny-11209/307448670806925685/","20 89th St")</f>
        <v>20 89th St</v>
      </c>
      <c r="F162" s="25" t="s">
        <v>55</v>
      </c>
      <c r="G162" s="28">
        <v>689000.0</v>
      </c>
      <c r="H162" s="28">
        <v>697.0</v>
      </c>
      <c r="I162" s="28">
        <v>1222.0</v>
      </c>
      <c r="J162" s="28">
        <v>0.0</v>
      </c>
      <c r="K162" s="25" t="s">
        <v>25</v>
      </c>
      <c r="L162" s="26">
        <v>5.0</v>
      </c>
      <c r="M162" s="26">
        <v>2.0</v>
      </c>
      <c r="N162" s="26">
        <v>1.0</v>
      </c>
      <c r="O162" s="30"/>
      <c r="P162" s="26">
        <v>989.0</v>
      </c>
      <c r="Q162" s="35">
        <v>77.0</v>
      </c>
      <c r="R162" s="32">
        <v>45862.0</v>
      </c>
      <c r="S162" s="32">
        <v>45785.0</v>
      </c>
      <c r="T162" s="29"/>
      <c r="U162" s="33"/>
      <c r="V162" s="1"/>
    </row>
    <row r="163" ht="24.0" customHeight="1">
      <c r="A163" s="1"/>
      <c r="B163" s="24" t="str">
        <f>HYPERLINK("https://www.compass.com/listing/37-28-80th-street-unit-32-queens-ny-11372/1844401603375948481/view?agent_id=610d3f3370540700019b0833","37-28 80th Street, Unit 32")</f>
        <v>37-28 80th Street, Unit 32</v>
      </c>
      <c r="C163" s="25" t="s">
        <v>22</v>
      </c>
      <c r="D163" s="26" t="s">
        <v>23</v>
      </c>
      <c r="E163" s="27" t="str">
        <f>HYPERLINK("https://www.compass.com/building/37-28-80th-st-queens-ny-11372/307432244310118853/","37-28 80th St")</f>
        <v>37-28 80th St</v>
      </c>
      <c r="F163" s="25" t="s">
        <v>33</v>
      </c>
      <c r="G163" s="28">
        <v>785000.0</v>
      </c>
      <c r="H163" s="29"/>
      <c r="I163" s="28">
        <v>1266.0</v>
      </c>
      <c r="J163" s="28">
        <v>0.0</v>
      </c>
      <c r="K163" s="25" t="s">
        <v>25</v>
      </c>
      <c r="L163" s="26">
        <v>6.0</v>
      </c>
      <c r="M163" s="26">
        <v>2.0</v>
      </c>
      <c r="N163" s="26">
        <v>1.0</v>
      </c>
      <c r="O163" s="30"/>
      <c r="P163" s="30"/>
      <c r="Q163" s="35">
        <v>64.0</v>
      </c>
      <c r="R163" s="32">
        <v>45846.0</v>
      </c>
      <c r="S163" s="32">
        <v>45799.0</v>
      </c>
      <c r="T163" s="29"/>
      <c r="U163" s="33"/>
      <c r="V163" s="1"/>
    </row>
    <row r="164" ht="24.0" customHeight="1">
      <c r="A164" s="1"/>
      <c r="B164" s="24" t="str">
        <f>HYPERLINK("https://www.compass.com/listing/35-50-75th-street-unit-5g-queens-ny-11372/1676483836190871297/view?agent_id=610d3f3370540700019b0833","35-50 75th Street, Unit 5G")</f>
        <v>35-50 75th Street, Unit 5G</v>
      </c>
      <c r="C164" s="25" t="s">
        <v>22</v>
      </c>
      <c r="D164" s="26" t="s">
        <v>23</v>
      </c>
      <c r="E164" s="27" t="str">
        <f>HYPERLINK("https://www.compass.com/building/35-50-75th-st-queens-ny-11372/294840157018578773/","35-50 75th St")</f>
        <v>35-50 75th St</v>
      </c>
      <c r="F164" s="25" t="s">
        <v>33</v>
      </c>
      <c r="G164" s="28">
        <v>455000.0</v>
      </c>
      <c r="H164" s="29"/>
      <c r="I164" s="28">
        <v>1095.0</v>
      </c>
      <c r="J164" s="28">
        <v>0.0</v>
      </c>
      <c r="K164" s="25" t="s">
        <v>25</v>
      </c>
      <c r="L164" s="26">
        <v>4.0</v>
      </c>
      <c r="M164" s="26">
        <v>2.0</v>
      </c>
      <c r="N164" s="26">
        <v>1.0</v>
      </c>
      <c r="O164" s="30"/>
      <c r="P164" s="30"/>
      <c r="Q164" s="35">
        <v>286.0</v>
      </c>
      <c r="R164" s="32">
        <v>45842.0</v>
      </c>
      <c r="S164" s="32">
        <v>45576.0</v>
      </c>
      <c r="T164" s="29"/>
      <c r="U164" s="33"/>
      <c r="V164" s="1"/>
    </row>
    <row r="165" ht="24.0" customHeight="1">
      <c r="A165" s="1"/>
      <c r="B165" s="24" t="str">
        <f>HYPERLINK("https://www.compass.com/listing/79-10-34th-avenue-unit-2g-queens-ny-11372/1825687598219478985/view?agent_id=610d3f3370540700019b0833","79-10 34th Avenue, Unit 2G")</f>
        <v>79-10 34th Avenue, Unit 2G</v>
      </c>
      <c r="C165" s="25" t="s">
        <v>22</v>
      </c>
      <c r="D165" s="26" t="s">
        <v>23</v>
      </c>
      <c r="E165" s="27" t="str">
        <f>HYPERLINK("https://www.compass.com/building/79-10-34th-ave-queens-ny-11372/293533402840292037/","79-10 34th Ave")</f>
        <v>79-10 34th Ave</v>
      </c>
      <c r="F165" s="25" t="s">
        <v>33</v>
      </c>
      <c r="G165" s="28">
        <v>550000.0</v>
      </c>
      <c r="H165" s="29"/>
      <c r="I165" s="28">
        <v>899.0</v>
      </c>
      <c r="J165" s="28">
        <v>0.0</v>
      </c>
      <c r="K165" s="25" t="s">
        <v>25</v>
      </c>
      <c r="L165" s="26">
        <v>4.0</v>
      </c>
      <c r="M165" s="26">
        <v>2.0</v>
      </c>
      <c r="N165" s="26">
        <v>1.0</v>
      </c>
      <c r="O165" s="30"/>
      <c r="P165" s="30"/>
      <c r="Q165" s="35">
        <v>92.0</v>
      </c>
      <c r="R165" s="32">
        <v>45861.0</v>
      </c>
      <c r="S165" s="32">
        <v>45770.0</v>
      </c>
      <c r="T165" s="29"/>
      <c r="U165" s="33"/>
      <c r="V165" s="1"/>
    </row>
    <row r="166" ht="24.0" customHeight="1">
      <c r="A166" s="1"/>
      <c r="B166" s="24" t="str">
        <f>HYPERLINK("https://www.compass.com/listing/34-43-82nd-street-unit-22-queens-ny-11372/1826094668215816433/view?agent_id=610d3f3370540700019b0833","34-43 82nd Street, Unit 22")</f>
        <v>34-43 82nd Street, Unit 22</v>
      </c>
      <c r="C166" s="25" t="s">
        <v>22</v>
      </c>
      <c r="D166" s="26" t="s">
        <v>23</v>
      </c>
      <c r="E166" s="27" t="str">
        <f>HYPERLINK("https://www.compass.com/building/34-43-82nd-st-queens-ny-11372/293527682203866037/","34-43 82nd St")</f>
        <v>34-43 82nd St</v>
      </c>
      <c r="F166" s="25" t="s">
        <v>33</v>
      </c>
      <c r="G166" s="28">
        <v>555000.0</v>
      </c>
      <c r="H166" s="29"/>
      <c r="I166" s="28">
        <v>1175.0</v>
      </c>
      <c r="J166" s="28">
        <v>0.0</v>
      </c>
      <c r="K166" s="25" t="s">
        <v>25</v>
      </c>
      <c r="L166" s="26">
        <v>5.0</v>
      </c>
      <c r="M166" s="26">
        <v>2.0</v>
      </c>
      <c r="N166" s="26">
        <v>1.0</v>
      </c>
      <c r="O166" s="30"/>
      <c r="P166" s="30"/>
      <c r="Q166" s="35">
        <v>92.0</v>
      </c>
      <c r="R166" s="32">
        <v>45861.0</v>
      </c>
      <c r="S166" s="32">
        <v>45771.0</v>
      </c>
      <c r="T166" s="29"/>
      <c r="U166" s="33"/>
      <c r="V166" s="1"/>
    </row>
    <row r="167" ht="24.0" customHeight="1">
      <c r="A167" s="1"/>
      <c r="B167" s="24" t="str">
        <f>HYPERLINK("https://www.compass.com/listing/2736-independence-avenue-unit-4c-bronx-ny-10463/1830675336377849545/view?agent_id=610d3f3370540700019b0833","2736 Independence Avenue, Unit 4C")</f>
        <v>2736 Independence Avenue, Unit 4C</v>
      </c>
      <c r="C167" s="25" t="s">
        <v>22</v>
      </c>
      <c r="D167" s="26" t="s">
        <v>23</v>
      </c>
      <c r="E167" s="27" t="str">
        <f>HYPERLINK("https://www.compass.com/building/the-markchester-bronx-ny/307453423615933061/","The Markchester")</f>
        <v>The Markchester</v>
      </c>
      <c r="F167" s="25" t="s">
        <v>89</v>
      </c>
      <c r="G167" s="28">
        <v>249999.0</v>
      </c>
      <c r="H167" s="28">
        <v>294.0</v>
      </c>
      <c r="I167" s="28">
        <v>1290.0</v>
      </c>
      <c r="J167" s="29"/>
      <c r="K167" s="25" t="s">
        <v>25</v>
      </c>
      <c r="L167" s="26">
        <v>4.0</v>
      </c>
      <c r="M167" s="26">
        <v>2.0</v>
      </c>
      <c r="N167" s="26">
        <v>1.0</v>
      </c>
      <c r="O167" s="30"/>
      <c r="P167" s="26">
        <v>850.0</v>
      </c>
      <c r="Q167" s="35">
        <v>66.0</v>
      </c>
      <c r="R167" s="32">
        <v>45862.0</v>
      </c>
      <c r="S167" s="32">
        <v>45777.0</v>
      </c>
      <c r="T167" s="29"/>
      <c r="U167" s="33"/>
      <c r="V167" s="1"/>
    </row>
    <row r="168" ht="24.0" customHeight="1">
      <c r="A168" s="1"/>
      <c r="B168" s="24" t="str">
        <f>HYPERLINK("https://www.compass.com/listing/12-16-30th-avenue-unit-402-queens-ny-11102/1850754744788561969/view?agent_id=610d3f3370540700019b0833","12-16 30th Avenue, Unit 402")</f>
        <v>12-16 30th Avenue, Unit 402</v>
      </c>
      <c r="C168" s="25" t="s">
        <v>22</v>
      </c>
      <c r="D168" s="26" t="s">
        <v>23</v>
      </c>
      <c r="E168" s="27" t="str">
        <f>HYPERLINK("https://www.compass.com/building/the-bennett-queens-ny/293531060170458117/","The Bennett")</f>
        <v>The Bennett</v>
      </c>
      <c r="F168" s="25" t="s">
        <v>68</v>
      </c>
      <c r="G168" s="28">
        <v>915000.0</v>
      </c>
      <c r="H168" s="28">
        <v>1190.0</v>
      </c>
      <c r="I168" s="28">
        <v>1261.0</v>
      </c>
      <c r="J168" s="28">
        <v>8640.0</v>
      </c>
      <c r="K168" s="25" t="s">
        <v>28</v>
      </c>
      <c r="L168" s="26">
        <v>4.0</v>
      </c>
      <c r="M168" s="26">
        <v>2.0</v>
      </c>
      <c r="N168" s="26">
        <v>1.0</v>
      </c>
      <c r="O168" s="30"/>
      <c r="P168" s="26">
        <v>769.0</v>
      </c>
      <c r="Q168" s="35">
        <v>58.0</v>
      </c>
      <c r="R168" s="32">
        <v>45861.0</v>
      </c>
      <c r="S168" s="32">
        <v>45805.0</v>
      </c>
      <c r="T168" s="29"/>
      <c r="U168" s="33"/>
      <c r="V168" s="1"/>
    </row>
    <row r="169" ht="24.0" customHeight="1">
      <c r="A169" s="1"/>
      <c r="B169" s="24" t="str">
        <f>HYPERLINK("https://www.compass.com/listing/22-60-79th-street-unit-1a-queens-ny-11370/1804585002985239913/view?agent_id=610d3f3370540700019b0833","22-60 79th Street, Unit 1A")</f>
        <v>22-60 79th Street, Unit 1A</v>
      </c>
      <c r="C169" s="25" t="s">
        <v>22</v>
      </c>
      <c r="D169" s="26" t="s">
        <v>23</v>
      </c>
      <c r="E169" s="27" t="str">
        <f>HYPERLINK("https://www.compass.com/building/22-60-79th-st-queens-ny-11370/307432611814953893/","22-60 79th St")</f>
        <v>22-60 79th St</v>
      </c>
      <c r="F169" s="25" t="s">
        <v>68</v>
      </c>
      <c r="G169" s="28">
        <v>469000.0</v>
      </c>
      <c r="H169" s="28">
        <v>634.0</v>
      </c>
      <c r="I169" s="28">
        <v>970.0</v>
      </c>
      <c r="J169" s="28">
        <v>5021.0</v>
      </c>
      <c r="K169" s="25" t="s">
        <v>28</v>
      </c>
      <c r="L169" s="26">
        <v>4.0</v>
      </c>
      <c r="M169" s="26">
        <v>2.0</v>
      </c>
      <c r="N169" s="26">
        <v>1.0</v>
      </c>
      <c r="O169" s="26">
        <v>0.0</v>
      </c>
      <c r="P169" s="26">
        <v>740.0</v>
      </c>
      <c r="Q169" s="35">
        <v>112.0</v>
      </c>
      <c r="R169" s="32">
        <v>45845.0</v>
      </c>
      <c r="S169" s="32">
        <v>45741.0</v>
      </c>
      <c r="T169" s="29"/>
      <c r="U169" s="33"/>
      <c r="V169" s="1"/>
    </row>
    <row r="170" ht="24.0" customHeight="1">
      <c r="A170" s="1"/>
      <c r="B170" s="24" t="str">
        <f>HYPERLINK("https://www.compass.com/listing/34-13-80th-street-unit-2-queens-ny-11372/1839300662756961433/view?agent_id=610d3f3370540700019b0833","34-13 80th Street, Unit 2")</f>
        <v>34-13 80th Street, Unit 2</v>
      </c>
      <c r="C170" s="25" t="s">
        <v>22</v>
      </c>
      <c r="D170" s="26" t="s">
        <v>23</v>
      </c>
      <c r="E170" s="27" t="str">
        <f>HYPERLINK("https://www.compass.com/building/34-13-80th-st-queens-ny-11372/293418126270296565/","34-13 80th St")</f>
        <v>34-13 80th St</v>
      </c>
      <c r="F170" s="25" t="s">
        <v>33</v>
      </c>
      <c r="G170" s="28">
        <v>775000.0</v>
      </c>
      <c r="H170" s="29"/>
      <c r="I170" s="28">
        <v>1028.0</v>
      </c>
      <c r="J170" s="28">
        <v>0.0</v>
      </c>
      <c r="K170" s="25" t="s">
        <v>25</v>
      </c>
      <c r="L170" s="26">
        <v>5.0</v>
      </c>
      <c r="M170" s="26">
        <v>2.0</v>
      </c>
      <c r="N170" s="26">
        <v>1.0</v>
      </c>
      <c r="O170" s="30"/>
      <c r="P170" s="30"/>
      <c r="Q170" s="35">
        <v>74.0</v>
      </c>
      <c r="R170" s="32">
        <v>45859.0</v>
      </c>
      <c r="S170" s="32">
        <v>45789.0</v>
      </c>
      <c r="T170" s="29"/>
      <c r="U170" s="33"/>
      <c r="V170" s="1"/>
    </row>
    <row r="171" ht="24.0" customHeight="1">
      <c r="A171" s="1"/>
      <c r="B171" s="24" t="str">
        <f>HYPERLINK("https://www.compass.com/listing/221-31-braddock-avenue-unit-uppr-queens-ny-11427/1763222472593894233/view?agent_id=610d3f3370540700019b0833","221-31 Braddock Avenue, Unit UPPR")</f>
        <v>221-31 Braddock Avenue, Unit UPPR</v>
      </c>
      <c r="C171" s="25" t="s">
        <v>22</v>
      </c>
      <c r="D171" s="26" t="s">
        <v>23</v>
      </c>
      <c r="E171" s="26" t="s">
        <v>90</v>
      </c>
      <c r="F171" s="25" t="s">
        <v>69</v>
      </c>
      <c r="G171" s="28">
        <v>250000.0</v>
      </c>
      <c r="H171" s="28">
        <v>357.0</v>
      </c>
      <c r="I171" s="28">
        <v>866.0</v>
      </c>
      <c r="J171" s="29"/>
      <c r="K171" s="25" t="s">
        <v>25</v>
      </c>
      <c r="L171" s="26">
        <v>5.0</v>
      </c>
      <c r="M171" s="26">
        <v>2.0</v>
      </c>
      <c r="N171" s="26">
        <v>1.0</v>
      </c>
      <c r="O171" s="30"/>
      <c r="P171" s="26">
        <v>700.0</v>
      </c>
      <c r="Q171" s="35">
        <v>166.0</v>
      </c>
      <c r="R171" s="32">
        <v>45824.0</v>
      </c>
      <c r="S171" s="32">
        <v>45684.0</v>
      </c>
      <c r="T171" s="29"/>
      <c r="U171" s="33"/>
      <c r="V171" s="1"/>
    </row>
    <row r="172" ht="24.0" customHeight="1">
      <c r="A172" s="1"/>
      <c r="B172" s="24" t="str">
        <f>HYPERLINK("https://www.compass.com/listing/7825-4th-avenue-unit-e10-brooklyn-ny-11209/1805974309273053761/view?agent_id=610d3f3370540700019b0833","7825 4th Avenue, Unit E10")</f>
        <v>7825 4th Avenue, Unit E10</v>
      </c>
      <c r="C172" s="25" t="s">
        <v>22</v>
      </c>
      <c r="D172" s="26" t="s">
        <v>23</v>
      </c>
      <c r="E172" s="27" t="str">
        <f>HYPERLINK("https://www.compass.com/building/the-royal-poinciana-brooklyn-ny/293534020023723653/","The Royal Poinciana")</f>
        <v>The Royal Poinciana</v>
      </c>
      <c r="F172" s="25" t="s">
        <v>55</v>
      </c>
      <c r="G172" s="28">
        <v>575000.0</v>
      </c>
      <c r="H172" s="28">
        <v>575.0</v>
      </c>
      <c r="I172" s="28">
        <v>985.0</v>
      </c>
      <c r="J172" s="28">
        <v>0.0</v>
      </c>
      <c r="K172" s="25" t="s">
        <v>25</v>
      </c>
      <c r="L172" s="26">
        <v>5.0</v>
      </c>
      <c r="M172" s="26">
        <v>2.0</v>
      </c>
      <c r="N172" s="26">
        <v>1.0</v>
      </c>
      <c r="O172" s="30"/>
      <c r="P172" s="34">
        <v>1000.0</v>
      </c>
      <c r="Q172" s="35">
        <v>120.0</v>
      </c>
      <c r="R172" s="32">
        <v>45845.0</v>
      </c>
      <c r="S172" s="32">
        <v>45743.0</v>
      </c>
      <c r="T172" s="29"/>
      <c r="U172" s="33"/>
      <c r="V172" s="1"/>
    </row>
    <row r="173" ht="24.0" customHeight="1">
      <c r="A173" s="1"/>
      <c r="B173" s="24" t="str">
        <f>HYPERLINK("https://www.compass.com/listing/73-10-springfield-boulevard-unit-b-queens-ny-11364/1861756406954837729/view?agent_id=610d3f3370540700019b0833","73-10 Springfield Boulevard, Unit B")</f>
        <v>73-10 Springfield Boulevard, Unit B</v>
      </c>
      <c r="C173" s="25" t="s">
        <v>22</v>
      </c>
      <c r="D173" s="26" t="s">
        <v>23</v>
      </c>
      <c r="E173" s="27" t="str">
        <f>HYPERLINK("https://www.compass.com/building/73-10-springfield-blvd-queens-ny-11364/381308520918984389/","73-10 Springfield Blvd")</f>
        <v>73-10 Springfield Blvd</v>
      </c>
      <c r="F173" s="25" t="s">
        <v>37</v>
      </c>
      <c r="G173" s="28">
        <v>349999.0</v>
      </c>
      <c r="H173" s="28">
        <v>437.0</v>
      </c>
      <c r="I173" s="28">
        <v>1139.0</v>
      </c>
      <c r="J173" s="29"/>
      <c r="K173" s="25" t="s">
        <v>25</v>
      </c>
      <c r="L173" s="26">
        <v>5.0</v>
      </c>
      <c r="M173" s="26">
        <v>2.0</v>
      </c>
      <c r="N173" s="26">
        <v>1.0</v>
      </c>
      <c r="O173" s="30"/>
      <c r="P173" s="26">
        <v>800.0</v>
      </c>
      <c r="Q173" s="35">
        <v>43.0</v>
      </c>
      <c r="R173" s="32">
        <v>45861.0</v>
      </c>
      <c r="S173" s="32">
        <v>45820.0</v>
      </c>
      <c r="T173" s="29"/>
      <c r="U173" s="33"/>
      <c r="V173" s="1"/>
    </row>
    <row r="174" ht="24.0" customHeight="1">
      <c r="A174" s="1"/>
      <c r="B174" s="24" t="str">
        <f>HYPERLINK("https://www.compass.com/listing/118-11-84th-avenue-unit-601-queens-ny-11415/1748667421408267729/view?agent_id=610d3f3370540700019b0833","118-11 84th Avenue, Unit 601")</f>
        <v>118-11 84th Avenue, Unit 601</v>
      </c>
      <c r="C174" s="25" t="s">
        <v>22</v>
      </c>
      <c r="D174" s="26" t="s">
        <v>23</v>
      </c>
      <c r="E174" s="27" t="str">
        <f>HYPERLINK("https://www.compass.com/building/118-11-84th-ave-queens-ny-11415/293529116731277877/","118-11 84th Ave")</f>
        <v>118-11 84th Ave</v>
      </c>
      <c r="F174" s="25" t="s">
        <v>91</v>
      </c>
      <c r="G174" s="28">
        <v>429000.0</v>
      </c>
      <c r="H174" s="28">
        <v>330.0</v>
      </c>
      <c r="I174" s="28">
        <v>1305.0</v>
      </c>
      <c r="J174" s="29"/>
      <c r="K174" s="25" t="s">
        <v>25</v>
      </c>
      <c r="L174" s="26">
        <v>6.0</v>
      </c>
      <c r="M174" s="26">
        <v>2.0</v>
      </c>
      <c r="N174" s="26">
        <v>1.0</v>
      </c>
      <c r="O174" s="30"/>
      <c r="P174" s="34">
        <v>1300.0</v>
      </c>
      <c r="Q174" s="35">
        <v>127.0</v>
      </c>
      <c r="R174" s="32">
        <v>45827.0</v>
      </c>
      <c r="S174" s="32">
        <v>45664.0</v>
      </c>
      <c r="T174" s="29"/>
      <c r="U174" s="33"/>
      <c r="V174" s="1"/>
    </row>
    <row r="175" ht="24.0" customHeight="1">
      <c r="A175" s="1"/>
      <c r="B175" s="24" t="str">
        <f>HYPERLINK("https://www.compass.com/listing/18-35-corporal-kennedy-street-unit-5c-queens-ny-11360/1784359017145560537/view?agent_id=610d3f3370540700019b0833","18-35 Corporal Kennedy Street, Unit 5C")</f>
        <v>18-35 Corporal Kennedy Street, Unit 5C</v>
      </c>
      <c r="C175" s="25" t="s">
        <v>22</v>
      </c>
      <c r="D175" s="26" t="s">
        <v>23</v>
      </c>
      <c r="E175" s="27" t="str">
        <f>HYPERLINK("https://www.compass.com/building/18-35-corporal-kennedy-st-queens-ny-11360/294845535055658437/","18-35 Corporal Kennedy St")</f>
        <v>18-35 Corporal Kennedy St</v>
      </c>
      <c r="F175" s="25" t="s">
        <v>79</v>
      </c>
      <c r="G175" s="28">
        <v>309000.0</v>
      </c>
      <c r="H175" s="28">
        <v>325.0</v>
      </c>
      <c r="I175" s="28">
        <v>1360.0</v>
      </c>
      <c r="J175" s="29"/>
      <c r="K175" s="25" t="s">
        <v>25</v>
      </c>
      <c r="L175" s="26">
        <v>5.0</v>
      </c>
      <c r="M175" s="26">
        <v>2.0</v>
      </c>
      <c r="N175" s="26">
        <v>1.0</v>
      </c>
      <c r="O175" s="30"/>
      <c r="P175" s="26">
        <v>950.0</v>
      </c>
      <c r="Q175" s="35">
        <v>137.0</v>
      </c>
      <c r="R175" s="32">
        <v>45836.0</v>
      </c>
      <c r="S175" s="32">
        <v>45726.0</v>
      </c>
      <c r="T175" s="29"/>
      <c r="U175" s="33"/>
      <c r="V175" s="1"/>
    </row>
    <row r="176" ht="24.0" customHeight="1">
      <c r="A176" s="1"/>
      <c r="B176" s="24" t="str">
        <f>HYPERLINK("https://www.compass.com/listing/251-47-71st-road-unit-57a-queens-ny-11426/1761146842423714865/view?agent_id=610d3f3370540700019b0833","251-47 71st Road, Unit 57A")</f>
        <v>251-47 71st Road, Unit 57A</v>
      </c>
      <c r="C176" s="25" t="s">
        <v>22</v>
      </c>
      <c r="D176" s="26" t="s">
        <v>23</v>
      </c>
      <c r="E176" s="27" t="str">
        <f>HYPERLINK("https://www.compass.com/building/251-47-71st-rd-queens-ny-11426/344163476302742149/","251-47 71st Rd")</f>
        <v>251-47 71st Rd</v>
      </c>
      <c r="F176" s="25" t="s">
        <v>92</v>
      </c>
      <c r="G176" s="28">
        <v>360000.0</v>
      </c>
      <c r="H176" s="28">
        <v>400.0</v>
      </c>
      <c r="I176" s="28">
        <v>117.0</v>
      </c>
      <c r="J176" s="28">
        <v>1407.0</v>
      </c>
      <c r="K176" s="25" t="s">
        <v>93</v>
      </c>
      <c r="L176" s="26">
        <v>4.0</v>
      </c>
      <c r="M176" s="26">
        <v>2.0</v>
      </c>
      <c r="N176" s="26">
        <v>1.0</v>
      </c>
      <c r="O176" s="30"/>
      <c r="P176" s="26">
        <v>900.0</v>
      </c>
      <c r="Q176" s="35">
        <v>74.0</v>
      </c>
      <c r="R176" s="32">
        <v>45862.0</v>
      </c>
      <c r="S176" s="32">
        <v>45681.0</v>
      </c>
      <c r="T176" s="29"/>
      <c r="U176" s="33"/>
      <c r="V176" s="1"/>
    </row>
    <row r="177" ht="24.0" customHeight="1">
      <c r="A177" s="1"/>
      <c r="B177" s="24" t="str">
        <f>HYPERLINK("https://www.compass.com/listing/11-01-162nd-street-unit-3d-queens-ny-11357/1816746646463539185/view?agent_id=610d3f3370540700019b0833","11-01 162nd Street, Unit 3D")</f>
        <v>11-01 162nd Street, Unit 3D</v>
      </c>
      <c r="C177" s="25" t="s">
        <v>22</v>
      </c>
      <c r="D177" s="26" t="s">
        <v>23</v>
      </c>
      <c r="E177" s="27" t="str">
        <f>HYPERLINK("https://www.compass.com/building/11-01-162nd-st-queens-ny-11357/293530658364490037/","11-01 162nd St")</f>
        <v>11-01 162nd St</v>
      </c>
      <c r="F177" s="25" t="s">
        <v>94</v>
      </c>
      <c r="G177" s="28">
        <v>399000.0</v>
      </c>
      <c r="H177" s="28">
        <v>399.0</v>
      </c>
      <c r="I177" s="28">
        <v>1396.0</v>
      </c>
      <c r="J177" s="28">
        <v>0.0</v>
      </c>
      <c r="K177" s="25" t="s">
        <v>25</v>
      </c>
      <c r="L177" s="26">
        <v>4.0</v>
      </c>
      <c r="M177" s="26">
        <v>2.0</v>
      </c>
      <c r="N177" s="26">
        <v>1.0</v>
      </c>
      <c r="O177" s="26">
        <v>0.0</v>
      </c>
      <c r="P177" s="34">
        <v>1000.0</v>
      </c>
      <c r="Q177" s="35">
        <v>87.0</v>
      </c>
      <c r="R177" s="32">
        <v>45859.0</v>
      </c>
      <c r="S177" s="32">
        <v>45776.0</v>
      </c>
      <c r="T177" s="29"/>
      <c r="U177" s="33"/>
      <c r="V177" s="1"/>
    </row>
    <row r="178" ht="24.0" customHeight="1">
      <c r="A178" s="1"/>
      <c r="B178" s="24" t="str">
        <f>HYPERLINK("https://www.compass.com/listing/75-50-bell-boulevard-unit-3f-queens-ny-11364/1653754147247058601/view?agent_id=610d3f3370540700019b0833","75-50 Bell Boulevard, Unit 3F")</f>
        <v>75-50 Bell Boulevard, Unit 3F</v>
      </c>
      <c r="C178" s="25" t="s">
        <v>22</v>
      </c>
      <c r="D178" s="26" t="s">
        <v>23</v>
      </c>
      <c r="E178" s="27" t="str">
        <f>HYPERLINK("https://www.compass.com/building/75-50-bell-blvd-queens-ny-11364/307453467043757573/","75-50 Bell Blvd")</f>
        <v>75-50 Bell Blvd</v>
      </c>
      <c r="F178" s="25" t="s">
        <v>37</v>
      </c>
      <c r="G178" s="28">
        <v>375000.0</v>
      </c>
      <c r="H178" s="29"/>
      <c r="I178" s="28">
        <v>800.0</v>
      </c>
      <c r="J178" s="28">
        <v>0.0</v>
      </c>
      <c r="K178" s="25" t="s">
        <v>25</v>
      </c>
      <c r="L178" s="26">
        <v>5.0</v>
      </c>
      <c r="M178" s="26">
        <v>2.0</v>
      </c>
      <c r="N178" s="26">
        <v>1.0</v>
      </c>
      <c r="O178" s="30"/>
      <c r="P178" s="30"/>
      <c r="Q178" s="35">
        <v>330.0</v>
      </c>
      <c r="R178" s="32">
        <v>45791.0</v>
      </c>
      <c r="S178" s="32">
        <v>45533.0</v>
      </c>
      <c r="T178" s="29"/>
      <c r="U178" s="33"/>
      <c r="V178" s="1"/>
    </row>
    <row r="179" ht="24.0" customHeight="1">
      <c r="A179" s="1"/>
      <c r="B179" s="24" t="str">
        <f>HYPERLINK("https://www.compass.com/listing/70-25-yellowstone-boulevard-unit-2t-queens-ny-11375/1628989362963597737/view?agent_id=610d3f3370540700019b0833","70-25 Yellowstone Boulevard, Unit 2T")</f>
        <v>70-25 Yellowstone Boulevard, Unit 2T</v>
      </c>
      <c r="C179" s="25" t="s">
        <v>22</v>
      </c>
      <c r="D179" s="26" t="s">
        <v>23</v>
      </c>
      <c r="E179" s="27" t="str">
        <f>HYPERLINK("https://www.compass.com/building/gerard-towers-queens-ny/293527034418783141/","Gerard Towers")</f>
        <v>Gerard Towers</v>
      </c>
      <c r="F179" s="25" t="s">
        <v>83</v>
      </c>
      <c r="G179" s="28">
        <v>548000.0</v>
      </c>
      <c r="H179" s="28">
        <v>548.0</v>
      </c>
      <c r="I179" s="28">
        <v>1550.0</v>
      </c>
      <c r="J179" s="28">
        <v>0.0</v>
      </c>
      <c r="K179" s="25" t="s">
        <v>25</v>
      </c>
      <c r="L179" s="26">
        <v>4.0</v>
      </c>
      <c r="M179" s="26">
        <v>2.0</v>
      </c>
      <c r="N179" s="26">
        <v>1.0</v>
      </c>
      <c r="O179" s="30"/>
      <c r="P179" s="34">
        <v>1000.0</v>
      </c>
      <c r="Q179" s="35">
        <v>286.0</v>
      </c>
      <c r="R179" s="32">
        <v>45841.0</v>
      </c>
      <c r="S179" s="32">
        <v>45499.0</v>
      </c>
      <c r="T179" s="29"/>
      <c r="U179" s="33"/>
      <c r="V179" s="1"/>
    </row>
    <row r="180" ht="24.0" customHeight="1">
      <c r="A180" s="1"/>
      <c r="B180" s="24" t="str">
        <f>HYPERLINK("https://www.compass.com/listing/257-04-145th-avenue-queens-ny-11422/1890359781524045809/view?agent_id=610d3f3370540700019b0833","257-04 145th Avenue")</f>
        <v>257-04 145th Avenue</v>
      </c>
      <c r="C180" s="25" t="s">
        <v>95</v>
      </c>
      <c r="D180" s="26" t="s">
        <v>23</v>
      </c>
      <c r="E180" s="27" t="str">
        <f>HYPERLINK("https://www.compass.com/building/257-04-145th-ave-queens-ny-11422/293533961076952757/","257-04 145th Ave")</f>
        <v>257-04 145th Ave</v>
      </c>
      <c r="F180" s="25" t="s">
        <v>96</v>
      </c>
      <c r="G180" s="28">
        <v>875000.0</v>
      </c>
      <c r="H180" s="28">
        <v>778.0</v>
      </c>
      <c r="I180" s="28">
        <v>530.0</v>
      </c>
      <c r="J180" s="28">
        <v>6357.0</v>
      </c>
      <c r="K180" s="25" t="s">
        <v>97</v>
      </c>
      <c r="L180" s="26">
        <v>6.0</v>
      </c>
      <c r="M180" s="26">
        <v>2.0</v>
      </c>
      <c r="N180" s="26">
        <v>1.0</v>
      </c>
      <c r="O180" s="30"/>
      <c r="P180" s="34">
        <v>1125.0</v>
      </c>
      <c r="Q180" s="31"/>
      <c r="R180" s="32">
        <v>45862.0</v>
      </c>
      <c r="S180" s="33"/>
      <c r="T180" s="29"/>
      <c r="U180" s="33"/>
      <c r="V180" s="1"/>
    </row>
    <row r="181" ht="24.0" customHeight="1">
      <c r="A181" s="1"/>
      <c r="B181" s="24" t="str">
        <f>HYPERLINK("https://www.compass.com/listing/214-37-hillside-avenue-unit-b-queens-ny-11427/1891005642214771969/view?agent_id=610d3f3370540700019b0833","214-37 Hillside Avenue, Unit B")</f>
        <v>214-37 Hillside Avenue, Unit B</v>
      </c>
      <c r="C181" s="25" t="s">
        <v>95</v>
      </c>
      <c r="D181" s="26" t="s">
        <v>23</v>
      </c>
      <c r="E181" s="27" t="str">
        <f>HYPERLINK("https://www.compass.com/building/214-37-hillside-ave-queens-ny-11427/307449999218227365/","214-37 Hillside Ave")</f>
        <v>214-37 Hillside Ave</v>
      </c>
      <c r="F181" s="25" t="s">
        <v>98</v>
      </c>
      <c r="G181" s="28">
        <v>269000.0</v>
      </c>
      <c r="H181" s="28">
        <v>348.0</v>
      </c>
      <c r="I181" s="28">
        <v>1050.0</v>
      </c>
      <c r="J181" s="29"/>
      <c r="K181" s="25" t="s">
        <v>25</v>
      </c>
      <c r="L181" s="26">
        <v>5.0</v>
      </c>
      <c r="M181" s="26">
        <v>2.0</v>
      </c>
      <c r="N181" s="26">
        <v>1.0</v>
      </c>
      <c r="O181" s="30"/>
      <c r="P181" s="26">
        <v>772.0</v>
      </c>
      <c r="Q181" s="31"/>
      <c r="R181" s="32">
        <v>45863.0</v>
      </c>
      <c r="S181" s="33"/>
      <c r="T181" s="29"/>
      <c r="U181" s="33"/>
      <c r="V181" s="1"/>
    </row>
    <row r="182" ht="24.0" customHeight="1">
      <c r="A182" s="1"/>
      <c r="B182" s="24" t="str">
        <f>HYPERLINK("https://www.compass.com/listing/86-70-francis-lewis-boulevard-unit-b56-queens-ny-11423/1889602511873656521/view?agent_id=610d3f3370540700019b0833","86-70 Francis Lewis Boulevard, Unit B56")</f>
        <v>86-70 Francis Lewis Boulevard, Unit B56</v>
      </c>
      <c r="C182" s="25" t="s">
        <v>95</v>
      </c>
      <c r="D182" s="26" t="s">
        <v>23</v>
      </c>
      <c r="E182" s="27" t="str">
        <f>HYPERLINK("https://www.compass.com/building/86-70-francis-lewis-blvd-queens-ny-11423/307445462071951253/","86-70 Francis Lewis Blvd")</f>
        <v>86-70 Francis Lewis Blvd</v>
      </c>
      <c r="F182" s="25" t="s">
        <v>99</v>
      </c>
      <c r="G182" s="28">
        <v>254999.0</v>
      </c>
      <c r="H182" s="28">
        <v>255.0</v>
      </c>
      <c r="I182" s="28">
        <v>1120.0</v>
      </c>
      <c r="J182" s="29"/>
      <c r="K182" s="25" t="s">
        <v>25</v>
      </c>
      <c r="L182" s="26">
        <v>4.0</v>
      </c>
      <c r="M182" s="26">
        <v>2.0</v>
      </c>
      <c r="N182" s="26">
        <v>1.0</v>
      </c>
      <c r="O182" s="30"/>
      <c r="P182" s="34">
        <v>1000.0</v>
      </c>
      <c r="Q182" s="31"/>
      <c r="R182" s="32">
        <v>45860.0</v>
      </c>
      <c r="S182" s="33"/>
      <c r="T182" s="29"/>
      <c r="U182" s="33"/>
      <c r="V182" s="1"/>
    </row>
    <row r="183" ht="24.0" customHeight="1">
      <c r="A183" s="1"/>
      <c r="B183" s="24" t="str">
        <f>HYPERLINK("https://www.compass.com/listing/82-19-77th-avenue-queens-ny-11385/1887762117523536889/view?agent_id=610d3f3370540700019b0833","82-19 77th Avenue")</f>
        <v>82-19 77th Avenue</v>
      </c>
      <c r="C183" s="25" t="s">
        <v>95</v>
      </c>
      <c r="D183" s="26" t="s">
        <v>23</v>
      </c>
      <c r="E183" s="27" t="str">
        <f>HYPERLINK("https://www.compass.com/building/82-19-77th-ave-queens-ny-11385/293528868696943381/","82-19 77th Ave")</f>
        <v>82-19 77th Ave</v>
      </c>
      <c r="F183" s="25" t="s">
        <v>100</v>
      </c>
      <c r="G183" s="28">
        <v>778000.0</v>
      </c>
      <c r="H183" s="28">
        <v>773.0</v>
      </c>
      <c r="I183" s="28">
        <v>626.0</v>
      </c>
      <c r="J183" s="28">
        <v>7516.0</v>
      </c>
      <c r="K183" s="25" t="s">
        <v>97</v>
      </c>
      <c r="L183" s="26">
        <v>6.0</v>
      </c>
      <c r="M183" s="26">
        <v>2.0</v>
      </c>
      <c r="N183" s="26">
        <v>1.0</v>
      </c>
      <c r="O183" s="30"/>
      <c r="P183" s="34">
        <v>1006.0</v>
      </c>
      <c r="Q183" s="31"/>
      <c r="R183" s="32">
        <v>45858.0</v>
      </c>
      <c r="S183" s="33"/>
      <c r="T183" s="29"/>
      <c r="U183" s="33"/>
      <c r="V183" s="1"/>
    </row>
    <row r="184" ht="24.0" customHeight="1">
      <c r="A184" s="1"/>
      <c r="B184" s="24" t="str">
        <f>HYPERLINK("https://www.compass.com/listing/87-30-204th-street-unit-a78-queens-ny-11423/1892321935853035001/view?agent_id=610d3f3370540700019b0833","87-30 204th Street, Unit A78")</f>
        <v>87-30 204th Street, Unit A78</v>
      </c>
      <c r="C184" s="25" t="s">
        <v>95</v>
      </c>
      <c r="D184" s="26" t="s">
        <v>23</v>
      </c>
      <c r="E184" s="27" t="str">
        <f>HYPERLINK("https://www.compass.com/building/87-30-204th-st-queens-ny-11423/307439431812137301/","87-30 204th St")</f>
        <v>87-30 204th St</v>
      </c>
      <c r="F184" s="25" t="s">
        <v>99</v>
      </c>
      <c r="G184" s="28">
        <v>299000.0</v>
      </c>
      <c r="H184" s="28">
        <v>315.0</v>
      </c>
      <c r="I184" s="28">
        <v>1100.0</v>
      </c>
      <c r="J184" s="29"/>
      <c r="K184" s="25" t="s">
        <v>25</v>
      </c>
      <c r="L184" s="26">
        <v>5.0</v>
      </c>
      <c r="M184" s="26">
        <v>2.0</v>
      </c>
      <c r="N184" s="26">
        <v>1.0</v>
      </c>
      <c r="O184" s="30"/>
      <c r="P184" s="26">
        <v>950.0</v>
      </c>
      <c r="Q184" s="31"/>
      <c r="R184" s="32">
        <v>45863.0</v>
      </c>
      <c r="S184" s="33"/>
      <c r="T184" s="29"/>
      <c r="U184" s="33"/>
      <c r="V184" s="1"/>
    </row>
    <row r="185" ht="24.0" customHeight="1">
      <c r="A185" s="1"/>
      <c r="B185" s="24" t="str">
        <f>HYPERLINK("https://www.compass.com/listing/40-east-9th-street-unit-14a-manhattan-ny-10003/1890093575818803321/view?agent_id=610d3f3370540700019b0833","40 East 9th Street, Unit 14A")</f>
        <v>40 East 9th Street, Unit 14A</v>
      </c>
      <c r="C185" s="25" t="s">
        <v>22</v>
      </c>
      <c r="D185" s="26" t="s">
        <v>23</v>
      </c>
      <c r="E185" s="27" t="str">
        <f>HYPERLINK("https://www.compass.com/building/the-sheridan-manhattan-ny/281893510183918005/","The Sheridan")</f>
        <v>The Sheridan</v>
      </c>
      <c r="F185" s="25" t="s">
        <v>43</v>
      </c>
      <c r="G185" s="28">
        <v>1845000.0</v>
      </c>
      <c r="H185" s="29"/>
      <c r="I185" s="28">
        <v>2582.0</v>
      </c>
      <c r="J185" s="28">
        <v>0.0</v>
      </c>
      <c r="K185" s="25" t="s">
        <v>25</v>
      </c>
      <c r="L185" s="26">
        <v>4.0</v>
      </c>
      <c r="M185" s="26">
        <v>2.0</v>
      </c>
      <c r="N185" s="26">
        <v>1.0</v>
      </c>
      <c r="O185" s="26">
        <v>0.0</v>
      </c>
      <c r="P185" s="30"/>
      <c r="Q185" s="35">
        <v>4.0</v>
      </c>
      <c r="R185" s="32">
        <v>45859.0</v>
      </c>
      <c r="S185" s="32">
        <v>45859.0</v>
      </c>
      <c r="T185" s="29"/>
      <c r="U185" s="33"/>
      <c r="V185" s="1"/>
    </row>
    <row r="186" ht="24.0" customHeight="1">
      <c r="A186" s="1"/>
      <c r="B186" s="24" t="str">
        <f>HYPERLINK("https://www.compass.com/listing/131-thompson-street-unit-3f-manhattan-ny-10012/1849102729464661913/view?agent_id=610d3f3370540700019b0833","131 Thompson Street, Unit 3F")</f>
        <v>131 Thompson Street, Unit 3F</v>
      </c>
      <c r="C186" s="25" t="s">
        <v>22</v>
      </c>
      <c r="D186" s="26" t="s">
        <v>23</v>
      </c>
      <c r="E186" s="27" t="str">
        <f>HYPERLINK("https://www.compass.com/building/131-thompson-st-manhattan-ny-10012/281912851327642069/","131 Thompson St")</f>
        <v>131 Thompson St</v>
      </c>
      <c r="F186" s="25" t="s">
        <v>53</v>
      </c>
      <c r="G186" s="28">
        <v>1100000.0</v>
      </c>
      <c r="H186" s="28">
        <v>1571.0</v>
      </c>
      <c r="I186" s="28">
        <v>1585.0</v>
      </c>
      <c r="J186" s="28">
        <v>0.0</v>
      </c>
      <c r="K186" s="25" t="s">
        <v>25</v>
      </c>
      <c r="L186" s="26">
        <v>5.0</v>
      </c>
      <c r="M186" s="26">
        <v>2.0</v>
      </c>
      <c r="N186" s="26">
        <v>1.0</v>
      </c>
      <c r="O186" s="30"/>
      <c r="P186" s="26">
        <v>700.0</v>
      </c>
      <c r="Q186" s="35">
        <v>62.0</v>
      </c>
      <c r="R186" s="32">
        <v>45803.0</v>
      </c>
      <c r="S186" s="32">
        <v>45801.0</v>
      </c>
      <c r="T186" s="29"/>
      <c r="U186" s="33"/>
      <c r="V186" s="1"/>
    </row>
    <row r="187" ht="24.0" customHeight="1">
      <c r="A187" s="1"/>
      <c r="B187" s="24" t="str">
        <f>HYPERLINK("https://www.compass.com/listing/220-manhattan-avenue-unit-4u-manhattan-ny-10025/1883151684333792921/view?agent_id=610d3f3370540700019b0833","220 Manhattan Avenue, Unit 4U")</f>
        <v>220 Manhattan Avenue, Unit 4U</v>
      </c>
      <c r="C187" s="25" t="s">
        <v>22</v>
      </c>
      <c r="D187" s="26" t="s">
        <v>23</v>
      </c>
      <c r="E187" s="27" t="str">
        <f>HYPERLINK("https://www.compass.com/building/towers-on-the-park-manhattan-ny/455672565349083653/","Towers on the Park")</f>
        <v>Towers on the Park</v>
      </c>
      <c r="F187" s="25" t="s">
        <v>29</v>
      </c>
      <c r="G187" s="28">
        <v>900000.0</v>
      </c>
      <c r="H187" s="28">
        <v>1091.0</v>
      </c>
      <c r="I187" s="28">
        <v>1747.0</v>
      </c>
      <c r="J187" s="28">
        <v>12228.0</v>
      </c>
      <c r="K187" s="25" t="s">
        <v>28</v>
      </c>
      <c r="L187" s="26">
        <v>4.0</v>
      </c>
      <c r="M187" s="26">
        <v>2.0</v>
      </c>
      <c r="N187" s="26">
        <v>1.0</v>
      </c>
      <c r="O187" s="30"/>
      <c r="P187" s="26">
        <v>825.0</v>
      </c>
      <c r="Q187" s="35">
        <v>14.0</v>
      </c>
      <c r="R187" s="32">
        <v>45850.0</v>
      </c>
      <c r="S187" s="32">
        <v>45849.0</v>
      </c>
      <c r="T187" s="29"/>
      <c r="U187" s="33"/>
      <c r="V187" s="1"/>
    </row>
    <row r="188" ht="24.0" customHeight="1">
      <c r="A188" s="1"/>
      <c r="B188" s="24" t="str">
        <f>HYPERLINK("https://www.compass.com/listing/100-riverside-drive-unit-5e-manhattan-ny-10024/1892659820275848265/view?agent_id=610d3f3370540700019b0833","100 Riverside Drive, Unit 5E")</f>
        <v>100 Riverside Drive, Unit 5E</v>
      </c>
      <c r="C188" s="25" t="s">
        <v>22</v>
      </c>
      <c r="D188" s="26" t="s">
        <v>23</v>
      </c>
      <c r="E188" s="27" t="str">
        <f>HYPERLINK("https://www.compass.com/building/100-riverside-dr-manhattan-ny-10024/281961356196914949/","100 Riverside Dr")</f>
        <v>100 Riverside Dr</v>
      </c>
      <c r="F188" s="25" t="s">
        <v>29</v>
      </c>
      <c r="G188" s="28">
        <v>1695000.0</v>
      </c>
      <c r="H188" s="29"/>
      <c r="I188" s="28">
        <v>2650.0</v>
      </c>
      <c r="J188" s="28">
        <v>0.0</v>
      </c>
      <c r="K188" s="25" t="s">
        <v>25</v>
      </c>
      <c r="L188" s="26">
        <v>5.0</v>
      </c>
      <c r="M188" s="26">
        <v>2.0</v>
      </c>
      <c r="N188" s="26">
        <v>1.0</v>
      </c>
      <c r="O188" s="30"/>
      <c r="P188" s="26">
        <v>0.0</v>
      </c>
      <c r="Q188" s="35">
        <v>1.0</v>
      </c>
      <c r="R188" s="32">
        <v>45863.0</v>
      </c>
      <c r="S188" s="32">
        <v>45862.0</v>
      </c>
      <c r="T188" s="29"/>
      <c r="U188" s="33"/>
      <c r="V188" s="1"/>
    </row>
    <row r="189" ht="24.0" customHeight="1">
      <c r="A189" s="1"/>
      <c r="B189" s="24" t="str">
        <f>HYPERLINK("https://www.compass.com/listing/74-west-85th-street-unit-5-manhattan-ny-10024/1891149256459191465/view?agent_id=610d3f3370540700019b0833","74 West 85th Street, Unit 5")</f>
        <v>74 West 85th Street, Unit 5</v>
      </c>
      <c r="C189" s="25" t="s">
        <v>22</v>
      </c>
      <c r="D189" s="26" t="s">
        <v>23</v>
      </c>
      <c r="E189" s="27" t="str">
        <f>HYPERLINK("https://www.compass.com/building/74-w-85th-st-manhattan-ny-10024/281968051614729573/","74 W 85th St")</f>
        <v>74 W 85th St</v>
      </c>
      <c r="F189" s="25" t="s">
        <v>29</v>
      </c>
      <c r="G189" s="28">
        <v>1350000.0</v>
      </c>
      <c r="H189" s="28">
        <v>1605.0</v>
      </c>
      <c r="I189" s="28">
        <v>2120.0</v>
      </c>
      <c r="J189" s="28">
        <v>13560.0</v>
      </c>
      <c r="K189" s="25" t="s">
        <v>28</v>
      </c>
      <c r="L189" s="26">
        <v>4.0</v>
      </c>
      <c r="M189" s="26">
        <v>2.0</v>
      </c>
      <c r="N189" s="26">
        <v>1.0</v>
      </c>
      <c r="O189" s="26">
        <v>0.0</v>
      </c>
      <c r="P189" s="26">
        <v>841.0</v>
      </c>
      <c r="Q189" s="35">
        <v>2.0</v>
      </c>
      <c r="R189" s="32">
        <v>45861.0</v>
      </c>
      <c r="S189" s="32">
        <v>45861.0</v>
      </c>
      <c r="T189" s="29"/>
      <c r="U189" s="33"/>
      <c r="V189" s="1"/>
    </row>
    <row r="190" ht="24.0" customHeight="1">
      <c r="A190" s="1"/>
      <c r="B190" s="24" t="str">
        <f>HYPERLINK("https://www.compass.com/listing/233-prospect-place-unit-2c-brooklyn-ny-11238/1877357897987387505/view?agent_id=610d3f3370540700019b0833","233 Prospect Place, Unit 2C")</f>
        <v>233 Prospect Place, Unit 2C</v>
      </c>
      <c r="C190" s="25" t="s">
        <v>22</v>
      </c>
      <c r="D190" s="26" t="s">
        <v>23</v>
      </c>
      <c r="E190" s="27" t="str">
        <f>HYPERLINK("https://www.compass.com/building/233-prospect-pl-brooklyn-ny-11238/293528062962802533/","233 Prospect Pl")</f>
        <v>233 Prospect Pl</v>
      </c>
      <c r="F190" s="25" t="s">
        <v>39</v>
      </c>
      <c r="G190" s="28">
        <v>875000.0</v>
      </c>
      <c r="H190" s="29"/>
      <c r="I190" s="28">
        <v>1135.0</v>
      </c>
      <c r="J190" s="28">
        <v>0.0</v>
      </c>
      <c r="K190" s="25" t="s">
        <v>25</v>
      </c>
      <c r="L190" s="26">
        <v>5.0</v>
      </c>
      <c r="M190" s="26">
        <v>2.0</v>
      </c>
      <c r="N190" s="26">
        <v>1.0</v>
      </c>
      <c r="O190" s="30"/>
      <c r="P190" s="26">
        <v>0.0</v>
      </c>
      <c r="Q190" s="35">
        <v>22.0</v>
      </c>
      <c r="R190" s="32">
        <v>45842.0</v>
      </c>
      <c r="S190" s="32">
        <v>45841.0</v>
      </c>
      <c r="T190" s="29"/>
      <c r="U190" s="33"/>
      <c r="V190" s="1"/>
    </row>
    <row r="191" ht="24.0" customHeight="1">
      <c r="A191" s="1"/>
      <c r="B191" s="24" t="str">
        <f>HYPERLINK("https://www.compass.com/listing/224-east-11th-street-unit-25-manhattan-ny-10003/1887815914018556033/view?agent_id=610d3f3370540700019b0833","224 East 11th Street, Unit 25")</f>
        <v>224 East 11th Street, Unit 25</v>
      </c>
      <c r="C191" s="25" t="s">
        <v>22</v>
      </c>
      <c r="D191" s="26" t="s">
        <v>23</v>
      </c>
      <c r="E191" s="27" t="str">
        <f>HYPERLINK("https://www.compass.com/building/224-e-11th-st-manhattan-ny-10003/281891141257793765/","224 E 11th St")</f>
        <v>224 E 11th St</v>
      </c>
      <c r="F191" s="25" t="s">
        <v>24</v>
      </c>
      <c r="G191" s="28">
        <v>850000.0</v>
      </c>
      <c r="H191" s="29"/>
      <c r="I191" s="28">
        <v>1600.0</v>
      </c>
      <c r="J191" s="28">
        <v>0.0</v>
      </c>
      <c r="K191" s="25" t="s">
        <v>25</v>
      </c>
      <c r="L191" s="26">
        <v>4.0</v>
      </c>
      <c r="M191" s="26">
        <v>2.0</v>
      </c>
      <c r="N191" s="26">
        <v>1.0</v>
      </c>
      <c r="O191" s="26">
        <v>0.0</v>
      </c>
      <c r="P191" s="30"/>
      <c r="Q191" s="35">
        <v>7.0</v>
      </c>
      <c r="R191" s="32">
        <v>45863.0</v>
      </c>
      <c r="S191" s="32">
        <v>45856.0</v>
      </c>
      <c r="T191" s="29"/>
      <c r="U191" s="33"/>
      <c r="V191" s="1"/>
    </row>
    <row r="192" ht="24.0" customHeight="1">
      <c r="A192" s="1"/>
      <c r="B192" s="24" t="str">
        <f>HYPERLINK("https://www.compass.com/listing/219-berry-street-unit-2-brooklyn-ny-11249/1847360995126245633/view?agent_id=610d3f3370540700019b0833","219 Berry Street, Unit 2")</f>
        <v>219 Berry Street, Unit 2</v>
      </c>
      <c r="C192" s="25" t="s">
        <v>22</v>
      </c>
      <c r="D192" s="26" t="s">
        <v>23</v>
      </c>
      <c r="E192" s="27" t="str">
        <f>HYPERLINK("https://www.compass.com/building/219-berry-st-brooklyn-ny-11249/307446122616123141/","219 Berry St")</f>
        <v>219 Berry St</v>
      </c>
      <c r="F192" s="25" t="s">
        <v>46</v>
      </c>
      <c r="G192" s="28">
        <v>1200000.0</v>
      </c>
      <c r="H192" s="28">
        <v>1575.0</v>
      </c>
      <c r="I192" s="28">
        <v>323.0</v>
      </c>
      <c r="J192" s="28">
        <v>3875.0</v>
      </c>
      <c r="K192" s="25" t="s">
        <v>28</v>
      </c>
      <c r="L192" s="26">
        <v>4.0</v>
      </c>
      <c r="M192" s="26">
        <v>2.0</v>
      </c>
      <c r="N192" s="26">
        <v>1.0</v>
      </c>
      <c r="O192" s="30"/>
      <c r="P192" s="26">
        <v>762.0</v>
      </c>
      <c r="Q192" s="35">
        <v>63.0</v>
      </c>
      <c r="R192" s="32">
        <v>45802.0</v>
      </c>
      <c r="S192" s="32">
        <v>45800.0</v>
      </c>
      <c r="T192" s="29"/>
      <c r="U192" s="33"/>
      <c r="V192" s="1"/>
    </row>
    <row r="193" ht="24.0" customHeight="1">
      <c r="A193" s="1"/>
      <c r="B193" s="24" t="str">
        <f>HYPERLINK("https://www.compass.com/listing/537-gates-avenue-unit-1-brooklyn-ny-11216/1883147272789983313/view?agent_id=610d3f3370540700019b0833","537 Gates Avenue, Unit 1")</f>
        <v>537 Gates Avenue, Unit 1</v>
      </c>
      <c r="C193" s="25" t="s">
        <v>22</v>
      </c>
      <c r="D193" s="26" t="s">
        <v>23</v>
      </c>
      <c r="E193" s="27" t="str">
        <f>HYPERLINK("https://www.compass.com/building/537-gates-ave-brooklyn-ny-11216/293420950018391749/","537 Gates Ave")</f>
        <v>537 Gates Ave</v>
      </c>
      <c r="F193" s="25" t="s">
        <v>51</v>
      </c>
      <c r="G193" s="28">
        <v>869000.0</v>
      </c>
      <c r="H193" s="28">
        <v>1078.0</v>
      </c>
      <c r="I193" s="28">
        <v>312.0</v>
      </c>
      <c r="J193" s="28">
        <v>960.0</v>
      </c>
      <c r="K193" s="25" t="s">
        <v>28</v>
      </c>
      <c r="L193" s="26">
        <v>5.0</v>
      </c>
      <c r="M193" s="26">
        <v>2.0</v>
      </c>
      <c r="N193" s="26">
        <v>1.0</v>
      </c>
      <c r="O193" s="30"/>
      <c r="P193" s="26">
        <v>806.0</v>
      </c>
      <c r="Q193" s="35">
        <v>14.0</v>
      </c>
      <c r="R193" s="32">
        <v>45850.0</v>
      </c>
      <c r="S193" s="32">
        <v>45849.0</v>
      </c>
      <c r="T193" s="29"/>
      <c r="U193" s="33"/>
      <c r="V193" s="1"/>
    </row>
    <row r="194" ht="24.0" customHeight="1">
      <c r="A194" s="1"/>
      <c r="B194" s="24" t="str">
        <f>HYPERLINK("https://www.compass.com/listing/636-washington-street-unit-3a-manhattan-ny-10014/1847673445348621313/view?agent_id=610d3f3370540700019b0833","636 Washington Street, Unit 3A")</f>
        <v>636 Washington Street, Unit 3A</v>
      </c>
      <c r="C194" s="25" t="s">
        <v>22</v>
      </c>
      <c r="D194" s="26" t="s">
        <v>23</v>
      </c>
      <c r="E194" s="27" t="str">
        <f>HYPERLINK("https://www.compass.com/building/west-village-houses-manhattan-ny/282063561084144501/","West Village Houses")</f>
        <v>West Village Houses</v>
      </c>
      <c r="F194" s="25" t="s">
        <v>26</v>
      </c>
      <c r="G194" s="28">
        <v>1035000.0</v>
      </c>
      <c r="H194" s="28">
        <v>1089.0</v>
      </c>
      <c r="I194" s="28">
        <v>1260.0</v>
      </c>
      <c r="J194" s="28">
        <v>0.0</v>
      </c>
      <c r="K194" s="25" t="s">
        <v>25</v>
      </c>
      <c r="L194" s="26">
        <v>3.0</v>
      </c>
      <c r="M194" s="26">
        <v>2.0</v>
      </c>
      <c r="N194" s="26">
        <v>1.0</v>
      </c>
      <c r="O194" s="30"/>
      <c r="P194" s="26">
        <v>950.0</v>
      </c>
      <c r="Q194" s="35">
        <v>63.0</v>
      </c>
      <c r="R194" s="32">
        <v>45801.0</v>
      </c>
      <c r="S194" s="32">
        <v>45800.0</v>
      </c>
      <c r="T194" s="29"/>
      <c r="U194" s="33"/>
      <c r="V194" s="1"/>
    </row>
    <row r="195" ht="24.0" customHeight="1">
      <c r="A195" s="1"/>
      <c r="B195" s="24" t="str">
        <f>HYPERLINK("https://www.compass.com/listing/235-west-108th-street-unit-51-manhattan-ny-10025/1885397108554506657/view?agent_id=610d3f3370540700019b0833","235 West 108th Street, Unit 51")</f>
        <v>235 West 108th Street, Unit 51</v>
      </c>
      <c r="C195" s="25" t="s">
        <v>22</v>
      </c>
      <c r="D195" s="26" t="s">
        <v>23</v>
      </c>
      <c r="E195" s="27" t="str">
        <f>HYPERLINK("https://www.compass.com/building/235-w-108th-st-manhattan-ny-10025/292877384678468341/","235 W 108th St")</f>
        <v>235 W 108th St</v>
      </c>
      <c r="F195" s="25" t="s">
        <v>29</v>
      </c>
      <c r="G195" s="28">
        <v>849000.0</v>
      </c>
      <c r="H195" s="29"/>
      <c r="I195" s="28">
        <v>1326.0</v>
      </c>
      <c r="J195" s="28">
        <v>0.0</v>
      </c>
      <c r="K195" s="25" t="s">
        <v>25</v>
      </c>
      <c r="L195" s="26">
        <v>4.0</v>
      </c>
      <c r="M195" s="26">
        <v>2.0</v>
      </c>
      <c r="N195" s="26">
        <v>1.0</v>
      </c>
      <c r="O195" s="26">
        <v>0.0</v>
      </c>
      <c r="P195" s="26">
        <v>0.0</v>
      </c>
      <c r="Q195" s="35">
        <v>9.0</v>
      </c>
      <c r="R195" s="32">
        <v>45861.0</v>
      </c>
      <c r="S195" s="32">
        <v>45854.0</v>
      </c>
      <c r="T195" s="29"/>
      <c r="U195" s="33"/>
      <c r="V195" s="1"/>
    </row>
    <row r="196" ht="24.0" customHeight="1">
      <c r="A196" s="1"/>
      <c r="B196" s="24" t="str">
        <f>HYPERLINK("https://www.compass.com/listing/301-east-69th-street-unit-4g-manhattan-ny-10021/1891474780385326705/view?agent_id=610d3f3370540700019b0833","301 East 69th Street, Unit 4G")</f>
        <v>301 East 69th Street, Unit 4G</v>
      </c>
      <c r="C196" s="25" t="s">
        <v>22</v>
      </c>
      <c r="D196" s="26" t="s">
        <v>23</v>
      </c>
      <c r="E196" s="27" t="str">
        <f>HYPERLINK("https://www.compass.com/building/the-mayfair-manhattan-ny/281923554704923989/","The Mayfair")</f>
        <v>The Mayfair</v>
      </c>
      <c r="F196" s="25" t="s">
        <v>64</v>
      </c>
      <c r="G196" s="28">
        <v>995000.0</v>
      </c>
      <c r="H196" s="29"/>
      <c r="I196" s="28">
        <v>1958.0</v>
      </c>
      <c r="J196" s="28">
        <v>0.0</v>
      </c>
      <c r="K196" s="25" t="s">
        <v>25</v>
      </c>
      <c r="L196" s="26">
        <v>4.0</v>
      </c>
      <c r="M196" s="26">
        <v>2.0</v>
      </c>
      <c r="N196" s="26">
        <v>1.0</v>
      </c>
      <c r="O196" s="26">
        <v>0.0</v>
      </c>
      <c r="P196" s="30"/>
      <c r="Q196" s="35">
        <v>2.0</v>
      </c>
      <c r="R196" s="32">
        <v>45861.0</v>
      </c>
      <c r="S196" s="32">
        <v>45861.0</v>
      </c>
      <c r="T196" s="29"/>
      <c r="U196" s="33"/>
      <c r="V196" s="1"/>
    </row>
    <row r="197" ht="24.0" customHeight="1">
      <c r="A197" s="1"/>
      <c r="B197" s="24" t="str">
        <f>HYPERLINK("https://www.compass.com/listing/210-east-17th-street-unit-3d-manhattan-ny-10003/1881502195985470633/view?agent_id=610d3f3370540700019b0833","210 East 17th Street, Unit 3D")</f>
        <v>210 East 17th Street, Unit 3D</v>
      </c>
      <c r="C197" s="25" t="s">
        <v>22</v>
      </c>
      <c r="D197" s="26" t="s">
        <v>23</v>
      </c>
      <c r="E197" s="27" t="str">
        <f>HYPERLINK("https://www.compass.com/building/210-e-17th-st-manhattan-ny-10003/281890680261842085/","210 E 17th St")</f>
        <v>210 E 17th St</v>
      </c>
      <c r="F197" s="25" t="s">
        <v>48</v>
      </c>
      <c r="G197" s="28">
        <v>800000.0</v>
      </c>
      <c r="H197" s="29"/>
      <c r="I197" s="28">
        <v>1296.0</v>
      </c>
      <c r="J197" s="28">
        <v>0.0</v>
      </c>
      <c r="K197" s="25" t="s">
        <v>25</v>
      </c>
      <c r="L197" s="26">
        <v>4.0</v>
      </c>
      <c r="M197" s="26">
        <v>2.0</v>
      </c>
      <c r="N197" s="26">
        <v>1.0</v>
      </c>
      <c r="O197" s="26">
        <v>0.0</v>
      </c>
      <c r="P197" s="30"/>
      <c r="Q197" s="35">
        <v>16.0</v>
      </c>
      <c r="R197" s="32">
        <v>45862.0</v>
      </c>
      <c r="S197" s="32">
        <v>45847.0</v>
      </c>
      <c r="T197" s="29"/>
      <c r="U197" s="33"/>
      <c r="V197" s="1"/>
    </row>
    <row r="198" ht="24.0" customHeight="1">
      <c r="A198" s="1"/>
      <c r="B198" s="24" t="str">
        <f>HYPERLINK("https://www.compass.com/listing/79-perry-street-unit-3r-manhattan-ny-10014/1881165144677332817/view?agent_id=610d3f3370540700019b0833","79 Perry Street, Unit 3R")</f>
        <v>79 Perry Street, Unit 3R</v>
      </c>
      <c r="C198" s="25" t="s">
        <v>22</v>
      </c>
      <c r="D198" s="26" t="s">
        <v>23</v>
      </c>
      <c r="E198" s="27" t="str">
        <f>HYPERLINK("https://www.compass.com/building/79-perry-st-manhattan-ny-10014/281935967663739445/","79 Perry St")</f>
        <v>79 Perry St</v>
      </c>
      <c r="F198" s="25" t="s">
        <v>26</v>
      </c>
      <c r="G198" s="28">
        <v>1295000.0</v>
      </c>
      <c r="H198" s="29"/>
      <c r="I198" s="28">
        <v>1500.0</v>
      </c>
      <c r="J198" s="28">
        <v>0.0</v>
      </c>
      <c r="K198" s="25" t="s">
        <v>25</v>
      </c>
      <c r="L198" s="26">
        <v>4.0</v>
      </c>
      <c r="M198" s="26">
        <v>2.0</v>
      </c>
      <c r="N198" s="26">
        <v>1.0</v>
      </c>
      <c r="O198" s="26">
        <v>0.0</v>
      </c>
      <c r="P198" s="30"/>
      <c r="Q198" s="35">
        <v>16.0</v>
      </c>
      <c r="R198" s="32">
        <v>45862.0</v>
      </c>
      <c r="S198" s="32">
        <v>45847.0</v>
      </c>
      <c r="T198" s="29"/>
      <c r="U198" s="33"/>
      <c r="V198" s="1"/>
    </row>
    <row r="199" ht="24.0" customHeight="1">
      <c r="A199" s="1"/>
      <c r="B199" s="24" t="str">
        <f>HYPERLINK("https://www.compass.com/listing/544-east-11th-street-unit-4a-manhattan-ny-10009/1784940831769885545/view?agent_id=610d3f3370540700019b0833","544 East 11th Street, Unit 4A")</f>
        <v>544 East 11th Street, Unit 4A</v>
      </c>
      <c r="C199" s="25" t="s">
        <v>22</v>
      </c>
      <c r="D199" s="26" t="s">
        <v>23</v>
      </c>
      <c r="E199" s="27" t="str">
        <f>HYPERLINK("https://www.compass.com/building/544-e-11th-st-manhattan-ny-10009/281901022232723685/","544 E 11th St")</f>
        <v>544 E 11th St</v>
      </c>
      <c r="F199" s="25" t="s">
        <v>24</v>
      </c>
      <c r="G199" s="28">
        <v>795000.0</v>
      </c>
      <c r="H199" s="29"/>
      <c r="I199" s="28">
        <v>729.0</v>
      </c>
      <c r="J199" s="28">
        <v>0.0</v>
      </c>
      <c r="K199" s="25" t="s">
        <v>25</v>
      </c>
      <c r="L199" s="26">
        <v>4.0</v>
      </c>
      <c r="M199" s="26">
        <v>2.0</v>
      </c>
      <c r="N199" s="26">
        <v>1.0</v>
      </c>
      <c r="O199" s="26">
        <v>0.0</v>
      </c>
      <c r="P199" s="30"/>
      <c r="Q199" s="35">
        <v>17.0</v>
      </c>
      <c r="R199" s="32">
        <v>45860.0</v>
      </c>
      <c r="S199" s="32">
        <v>45846.0</v>
      </c>
      <c r="T199" s="29"/>
      <c r="U199" s="33"/>
      <c r="V199" s="1"/>
    </row>
    <row r="200" ht="24.0" customHeight="1">
      <c r="A200" s="1"/>
      <c r="B200" s="24" t="str">
        <f>HYPERLINK("https://www.compass.com/listing/210-east-17th-street-unit-5a-manhattan-ny-10003/1879697276520822505/view?agent_id=610d3f3370540700019b0833","210 East 17th Street, Unit 5A")</f>
        <v>210 East 17th Street, Unit 5A</v>
      </c>
      <c r="C200" s="25" t="s">
        <v>22</v>
      </c>
      <c r="D200" s="26" t="s">
        <v>23</v>
      </c>
      <c r="E200" s="27" t="str">
        <f>HYPERLINK("https://www.compass.com/building/210-e-17th-st-manhattan-ny-10003/281890680261842085/","210 E 17th St")</f>
        <v>210 E 17th St</v>
      </c>
      <c r="F200" s="25" t="s">
        <v>48</v>
      </c>
      <c r="G200" s="28">
        <v>940000.0</v>
      </c>
      <c r="H200" s="28">
        <v>1197.0</v>
      </c>
      <c r="I200" s="28">
        <v>1550.0</v>
      </c>
      <c r="J200" s="28">
        <v>0.0</v>
      </c>
      <c r="K200" s="25" t="s">
        <v>25</v>
      </c>
      <c r="L200" s="26">
        <v>5.0</v>
      </c>
      <c r="M200" s="26">
        <v>2.0</v>
      </c>
      <c r="N200" s="26">
        <v>1.0</v>
      </c>
      <c r="O200" s="26">
        <v>0.0</v>
      </c>
      <c r="P200" s="26">
        <v>785.0</v>
      </c>
      <c r="Q200" s="35">
        <v>18.0</v>
      </c>
      <c r="R200" s="32">
        <v>45861.0</v>
      </c>
      <c r="S200" s="32">
        <v>45845.0</v>
      </c>
      <c r="T200" s="29"/>
      <c r="U200" s="33"/>
      <c r="V200" s="1"/>
    </row>
    <row r="201" ht="24.0" customHeight="1">
      <c r="A201" s="1"/>
      <c r="B201" s="24" t="str">
        <f>HYPERLINK("https://www.compass.com/listing/370-central-park-west-unit-113-manhattan-ny-10025/1882727270916095569/view?agent_id=610d3f3370540700019b0833","370 Central Park West, Unit 113")</f>
        <v>370 Central Park West, Unit 113</v>
      </c>
      <c r="C201" s="25" t="s">
        <v>22</v>
      </c>
      <c r="D201" s="26" t="s">
        <v>23</v>
      </c>
      <c r="E201" s="27" t="str">
        <f>HYPERLINK("https://www.compass.com/building/370-central-park-west-manhattan-ny-10025/281971577472505637/","370 Central Park West")</f>
        <v>370 Central Park West</v>
      </c>
      <c r="F201" s="25" t="s">
        <v>29</v>
      </c>
      <c r="G201" s="28">
        <v>1250000.0</v>
      </c>
      <c r="H201" s="29"/>
      <c r="I201" s="28">
        <v>1914.0</v>
      </c>
      <c r="J201" s="28">
        <v>0.0</v>
      </c>
      <c r="K201" s="25" t="s">
        <v>25</v>
      </c>
      <c r="L201" s="26">
        <v>4.0</v>
      </c>
      <c r="M201" s="26">
        <v>2.0</v>
      </c>
      <c r="N201" s="26">
        <v>1.0</v>
      </c>
      <c r="O201" s="26">
        <v>0.0</v>
      </c>
      <c r="P201" s="30"/>
      <c r="Q201" s="35">
        <v>14.0</v>
      </c>
      <c r="R201" s="32">
        <v>45862.0</v>
      </c>
      <c r="S201" s="32">
        <v>45849.0</v>
      </c>
      <c r="T201" s="29"/>
      <c r="U201" s="33"/>
      <c r="V201" s="1"/>
    </row>
    <row r="202" ht="24.0" customHeight="1">
      <c r="A202" s="1"/>
      <c r="B202" s="24" t="str">
        <f>HYPERLINK("https://www.compass.com/listing/210-west-103rd-street-unit-4c-manhattan-ny-10025/1882712041784004257/view?agent_id=610d3f3370540700019b0833","210 West 103rd Street, Unit 4C")</f>
        <v>210 West 103rd Street, Unit 4C</v>
      </c>
      <c r="C202" s="25" t="s">
        <v>22</v>
      </c>
      <c r="D202" s="26" t="s">
        <v>23</v>
      </c>
      <c r="E202" s="27" t="str">
        <f>HYPERLINK("https://www.compass.com/building/210-w-103rd-st-manhattan-ny-10025/282066545172058549/","210 W 103rd St")</f>
        <v>210 W 103rd St</v>
      </c>
      <c r="F202" s="25" t="s">
        <v>29</v>
      </c>
      <c r="G202" s="28">
        <v>850000.0</v>
      </c>
      <c r="H202" s="29"/>
      <c r="I202" s="28">
        <v>1733.0</v>
      </c>
      <c r="J202" s="28">
        <v>0.0</v>
      </c>
      <c r="K202" s="25" t="s">
        <v>25</v>
      </c>
      <c r="L202" s="26">
        <v>4.0</v>
      </c>
      <c r="M202" s="26">
        <v>2.0</v>
      </c>
      <c r="N202" s="26">
        <v>1.0</v>
      </c>
      <c r="O202" s="26">
        <v>0.0</v>
      </c>
      <c r="P202" s="30"/>
      <c r="Q202" s="35">
        <v>14.0</v>
      </c>
      <c r="R202" s="32">
        <v>45861.0</v>
      </c>
      <c r="S202" s="32">
        <v>45849.0</v>
      </c>
      <c r="T202" s="29"/>
      <c r="U202" s="33"/>
      <c r="V202" s="1"/>
    </row>
    <row r="203" ht="24.0" customHeight="1">
      <c r="A203" s="1"/>
      <c r="B203" s="24" t="str">
        <f>HYPERLINK("https://www.compass.com/listing/185-hall-street-unit-1706-brooklyn-ny-11205/1860694403315914409/view?agent_id=610d3f3370540700019b0833","185 Hall Street, Unit 1706")</f>
        <v>185 Hall Street, Unit 1706</v>
      </c>
      <c r="C203" s="25" t="s">
        <v>22</v>
      </c>
      <c r="D203" s="26" t="s">
        <v>23</v>
      </c>
      <c r="E203" s="27" t="str">
        <f>HYPERLINK("https://www.compass.com/building/willoughby-walk-brooklyn-ny/282504639260213237/","Willoughby Walk")</f>
        <v>Willoughby Walk</v>
      </c>
      <c r="F203" s="25" t="s">
        <v>30</v>
      </c>
      <c r="G203" s="28">
        <v>1150000.0</v>
      </c>
      <c r="H203" s="28">
        <v>1045.0</v>
      </c>
      <c r="I203" s="28">
        <v>1672.0</v>
      </c>
      <c r="J203" s="28">
        <v>0.0</v>
      </c>
      <c r="K203" s="25" t="s">
        <v>25</v>
      </c>
      <c r="L203" s="26">
        <v>3.0</v>
      </c>
      <c r="M203" s="26">
        <v>2.0</v>
      </c>
      <c r="N203" s="26">
        <v>1.0</v>
      </c>
      <c r="O203" s="30"/>
      <c r="P203" s="34">
        <v>1100.0</v>
      </c>
      <c r="Q203" s="35">
        <v>45.0</v>
      </c>
      <c r="R203" s="32">
        <v>45819.0</v>
      </c>
      <c r="S203" s="32">
        <v>45818.0</v>
      </c>
      <c r="T203" s="29"/>
      <c r="U203" s="33"/>
      <c r="V203" s="1"/>
    </row>
    <row r="204" ht="24.0" customHeight="1">
      <c r="A204" s="1"/>
      <c r="B204" s="24" t="str">
        <f>HYPERLINK("https://www.compass.com/listing/200-bowery-unit-7e-manhattan-ny-10012/1797246486723038097/view?agent_id=610d3f3370540700019b0833","200 Bowery, Unit 7E")</f>
        <v>200 Bowery, Unit 7E</v>
      </c>
      <c r="C204" s="25" t="s">
        <v>22</v>
      </c>
      <c r="D204" s="26" t="s">
        <v>23</v>
      </c>
      <c r="E204" s="27" t="str">
        <f>HYPERLINK("https://www.compass.com/building/200-bowery-manhattan-ny-10012/282058169130187269/","200 Bowery")</f>
        <v>200 Bowery</v>
      </c>
      <c r="F204" s="25" t="s">
        <v>101</v>
      </c>
      <c r="G204" s="28">
        <v>950000.0</v>
      </c>
      <c r="H204" s="28">
        <v>2235.0</v>
      </c>
      <c r="I204" s="28">
        <v>1265.0</v>
      </c>
      <c r="J204" s="28">
        <v>9396.0</v>
      </c>
      <c r="K204" s="25" t="s">
        <v>28</v>
      </c>
      <c r="L204" s="26">
        <v>3.0</v>
      </c>
      <c r="M204" s="26">
        <v>2.0</v>
      </c>
      <c r="N204" s="26">
        <v>1.0</v>
      </c>
      <c r="O204" s="30"/>
      <c r="P204" s="26">
        <v>425.0</v>
      </c>
      <c r="Q204" s="35">
        <v>133.0</v>
      </c>
      <c r="R204" s="32">
        <v>45731.0</v>
      </c>
      <c r="S204" s="32">
        <v>45730.0</v>
      </c>
      <c r="T204" s="29"/>
      <c r="U204" s="33"/>
      <c r="V204" s="1"/>
    </row>
    <row r="205" ht="24.0" customHeight="1">
      <c r="A205" s="1"/>
      <c r="B205" s="24" t="str">
        <f>HYPERLINK("https://www.compass.com/listing/93-waverly-avenue-unit-4a-brooklyn-ny-11205/1887955077233862697/view?agent_id=610d3f3370540700019b0833","93 Waverly Avenue, Unit 4A")</f>
        <v>93 Waverly Avenue, Unit 4A</v>
      </c>
      <c r="C205" s="25" t="s">
        <v>22</v>
      </c>
      <c r="D205" s="26" t="s">
        <v>23</v>
      </c>
      <c r="E205" s="27" t="str">
        <f>HYPERLINK("https://www.compass.com/building/93-waverly-ave-brooklyn-ny-11205/282488605283252453/","93 Waverly Ave")</f>
        <v>93 Waverly Ave</v>
      </c>
      <c r="F205" s="25" t="s">
        <v>30</v>
      </c>
      <c r="G205" s="28">
        <v>999000.0</v>
      </c>
      <c r="H205" s="29"/>
      <c r="I205" s="28">
        <v>1814.0</v>
      </c>
      <c r="J205" s="28">
        <v>16656.0</v>
      </c>
      <c r="K205" s="25" t="s">
        <v>28</v>
      </c>
      <c r="L205" s="26">
        <v>4.0</v>
      </c>
      <c r="M205" s="26">
        <v>2.0</v>
      </c>
      <c r="N205" s="26">
        <v>1.0</v>
      </c>
      <c r="O205" s="26">
        <v>0.0</v>
      </c>
      <c r="P205" s="30"/>
      <c r="Q205" s="35">
        <v>7.0</v>
      </c>
      <c r="R205" s="32">
        <v>45861.0</v>
      </c>
      <c r="S205" s="32">
        <v>45856.0</v>
      </c>
      <c r="T205" s="29"/>
      <c r="U205" s="33"/>
      <c r="V205" s="1"/>
    </row>
    <row r="206" ht="24.0" customHeight="1">
      <c r="A206" s="1"/>
      <c r="B206" s="24" t="str">
        <f>HYPERLINK("https://www.compass.com/listing/635-west-42nd-street-unit-30h-manhattan-ny-10036/1856405047327967161/view?agent_id=610d3f3370540700019b0833","635 West 42nd Street, Unit 30H")</f>
        <v>635 West 42nd Street, Unit 30H</v>
      </c>
      <c r="C206" s="25" t="s">
        <v>22</v>
      </c>
      <c r="D206" s="26" t="s">
        <v>23</v>
      </c>
      <c r="E206" s="27" t="str">
        <f>HYPERLINK("https://www.compass.com/building/the-atelier-manhattan-ny/282026826413386389/","The Atelier")</f>
        <v>The Atelier</v>
      </c>
      <c r="F206" s="25" t="s">
        <v>47</v>
      </c>
      <c r="G206" s="28">
        <v>1200000.0</v>
      </c>
      <c r="H206" s="28">
        <v>1500.0</v>
      </c>
      <c r="I206" s="28">
        <v>1950.0</v>
      </c>
      <c r="J206" s="28">
        <v>13800.0</v>
      </c>
      <c r="K206" s="25" t="s">
        <v>28</v>
      </c>
      <c r="L206" s="26">
        <v>4.0</v>
      </c>
      <c r="M206" s="26">
        <v>2.0</v>
      </c>
      <c r="N206" s="26">
        <v>1.0</v>
      </c>
      <c r="O206" s="30"/>
      <c r="P206" s="26">
        <v>800.0</v>
      </c>
      <c r="Q206" s="35">
        <v>51.0</v>
      </c>
      <c r="R206" s="32">
        <v>45813.0</v>
      </c>
      <c r="S206" s="32">
        <v>45812.0</v>
      </c>
      <c r="T206" s="29"/>
      <c r="U206" s="33"/>
      <c r="V206" s="1"/>
    </row>
    <row r="207" ht="24.0" customHeight="1">
      <c r="A207" s="1"/>
      <c r="B207" s="24" t="str">
        <f>HYPERLINK("https://www.compass.com/listing/400-west-end-avenue-unit-1e-manhattan-ny-10024/1882530080277066313/view?agent_id=610d3f3370540700019b0833","400 West End Avenue, Unit 1E")</f>
        <v>400 West End Avenue, Unit 1E</v>
      </c>
      <c r="C207" s="25" t="s">
        <v>22</v>
      </c>
      <c r="D207" s="26" t="s">
        <v>23</v>
      </c>
      <c r="E207" s="27" t="str">
        <f>HYPERLINK("https://www.compass.com/building/the-wexford-manhattan-ny/281966452695711589/","The Wexford")</f>
        <v>The Wexford</v>
      </c>
      <c r="F207" s="25" t="s">
        <v>29</v>
      </c>
      <c r="G207" s="28">
        <v>800000.0</v>
      </c>
      <c r="H207" s="28">
        <v>889.0</v>
      </c>
      <c r="I207" s="28">
        <v>1966.0</v>
      </c>
      <c r="J207" s="28">
        <v>0.0</v>
      </c>
      <c r="K207" s="25" t="s">
        <v>25</v>
      </c>
      <c r="L207" s="26">
        <v>4.0</v>
      </c>
      <c r="M207" s="26">
        <v>2.0</v>
      </c>
      <c r="N207" s="26">
        <v>1.0</v>
      </c>
      <c r="O207" s="26">
        <v>0.0</v>
      </c>
      <c r="P207" s="26">
        <v>900.0</v>
      </c>
      <c r="Q207" s="35">
        <v>14.0</v>
      </c>
      <c r="R207" s="32">
        <v>45853.0</v>
      </c>
      <c r="S207" s="32">
        <v>45849.0</v>
      </c>
      <c r="T207" s="29"/>
      <c r="U207" s="33"/>
      <c r="V207" s="1"/>
    </row>
    <row r="208" ht="24.0" customHeight="1">
      <c r="A208" s="1"/>
      <c r="B208" s="24" t="str">
        <f>HYPERLINK("https://www.compass.com/listing/161-west-15th-street-unit-3c-manhattan-ny-10011/1763207863564773993/view?agent_id=610d3f3370540700019b0833","161 West 15th Street, Unit 3C")</f>
        <v>161 West 15th Street, Unit 3C</v>
      </c>
      <c r="C208" s="25" t="s">
        <v>22</v>
      </c>
      <c r="D208" s="26" t="s">
        <v>23</v>
      </c>
      <c r="E208" s="27" t="str">
        <f>HYPERLINK("https://www.compass.com/building/161-w-15th-st-manhattan-ny-10011/292807987511197445/","161 W 15th St")</f>
        <v>161 W 15th St</v>
      </c>
      <c r="F208" s="25" t="s">
        <v>27</v>
      </c>
      <c r="G208" s="28">
        <v>1695000.0</v>
      </c>
      <c r="H208" s="28">
        <v>1119.0</v>
      </c>
      <c r="I208" s="28">
        <v>2411.0</v>
      </c>
      <c r="J208" s="28">
        <v>0.0</v>
      </c>
      <c r="K208" s="25" t="s">
        <v>25</v>
      </c>
      <c r="L208" s="26">
        <v>3.0</v>
      </c>
      <c r="M208" s="26">
        <v>2.0</v>
      </c>
      <c r="N208" s="26">
        <v>1.0</v>
      </c>
      <c r="O208" s="26">
        <v>0.0</v>
      </c>
      <c r="P208" s="34">
        <v>1515.0</v>
      </c>
      <c r="Q208" s="35">
        <v>20.0</v>
      </c>
      <c r="R208" s="32">
        <v>45857.0</v>
      </c>
      <c r="S208" s="32">
        <v>45843.0</v>
      </c>
      <c r="T208" s="29"/>
      <c r="U208" s="33"/>
      <c r="V208" s="1"/>
    </row>
    <row r="209" ht="24.0" customHeight="1">
      <c r="A209" s="1"/>
      <c r="B209" s="24" t="str">
        <f>HYPERLINK("https://www.compass.com/listing/505-east-79th-street-unit-10e-manhattan-ny-10075/1829690670077371921/view?agent_id=610d3f3370540700019b0833","505 East 79th Street, Unit 10E")</f>
        <v>505 East 79th Street, Unit 10E</v>
      </c>
      <c r="C209" s="25" t="s">
        <v>22</v>
      </c>
      <c r="D209" s="26" t="s">
        <v>23</v>
      </c>
      <c r="E209" s="27" t="str">
        <f>HYPERLINK("https://www.compass.com/building/east-river-house-manhattan-ny/282044857197813989/","East River House")</f>
        <v>East River House</v>
      </c>
      <c r="F209" s="25" t="s">
        <v>44</v>
      </c>
      <c r="G209" s="28">
        <v>565000.0</v>
      </c>
      <c r="H209" s="28">
        <v>897.0</v>
      </c>
      <c r="I209" s="28">
        <v>1435.0</v>
      </c>
      <c r="J209" s="28">
        <v>0.0</v>
      </c>
      <c r="K209" s="25" t="s">
        <v>25</v>
      </c>
      <c r="L209" s="26">
        <v>3.0</v>
      </c>
      <c r="M209" s="26">
        <v>2.0</v>
      </c>
      <c r="N209" s="26">
        <v>1.0</v>
      </c>
      <c r="O209" s="30"/>
      <c r="P209" s="26">
        <v>630.0</v>
      </c>
      <c r="Q209" s="35">
        <v>88.0</v>
      </c>
      <c r="R209" s="32">
        <v>45776.0</v>
      </c>
      <c r="S209" s="32">
        <v>45775.0</v>
      </c>
      <c r="T209" s="29"/>
      <c r="U209" s="33"/>
      <c r="V209" s="1"/>
    </row>
    <row r="210" ht="24.0" customHeight="1">
      <c r="A210" s="1"/>
      <c r="B210" s="24" t="str">
        <f>HYPERLINK("https://www.compass.com/listing/155-east-73rd-street-unit-7b-manhattan-ny-10021/1885675151927743713/view?agent_id=610d3f3370540700019b0833","155 East 73rd Street, Unit 7B")</f>
        <v>155 East 73rd Street, Unit 7B</v>
      </c>
      <c r="C210" s="25" t="s">
        <v>22</v>
      </c>
      <c r="D210" s="26" t="s">
        <v>23</v>
      </c>
      <c r="E210" s="27" t="str">
        <f>HYPERLINK("https://www.compass.com/building/155-e-73rd-st-manhattan-ny-10021/292851090502783829/","155 E 73rd St")</f>
        <v>155 E 73rd St</v>
      </c>
      <c r="F210" s="25" t="s">
        <v>64</v>
      </c>
      <c r="G210" s="28">
        <v>995000.0</v>
      </c>
      <c r="H210" s="28">
        <v>995.0</v>
      </c>
      <c r="I210" s="28">
        <v>3435.0</v>
      </c>
      <c r="J210" s="28">
        <v>0.0</v>
      </c>
      <c r="K210" s="25" t="s">
        <v>25</v>
      </c>
      <c r="L210" s="26">
        <v>4.0</v>
      </c>
      <c r="M210" s="26">
        <v>2.0</v>
      </c>
      <c r="N210" s="26">
        <v>1.0</v>
      </c>
      <c r="O210" s="26">
        <v>0.0</v>
      </c>
      <c r="P210" s="34">
        <v>1000.0</v>
      </c>
      <c r="Q210" s="35">
        <v>10.0</v>
      </c>
      <c r="R210" s="32">
        <v>45863.0</v>
      </c>
      <c r="S210" s="32">
        <v>45853.0</v>
      </c>
      <c r="T210" s="29"/>
      <c r="U210" s="33"/>
      <c r="V210" s="1"/>
    </row>
    <row r="211" ht="24.0" customHeight="1">
      <c r="A211" s="1"/>
      <c r="B211" s="24" t="str">
        <f>HYPERLINK("https://www.compass.com/listing/200-west-109th-street-unit-a7-manhattan-ny-10025/1856479431245339745/view?agent_id=610d3f3370540700019b0833","200 West 109th Street, Unit A7")</f>
        <v>200 West 109th Street, Unit A7</v>
      </c>
      <c r="C211" s="25" t="s">
        <v>22</v>
      </c>
      <c r="D211" s="26" t="s">
        <v>23</v>
      </c>
      <c r="E211" s="27" t="str">
        <f>HYPERLINK("https://www.compass.com/building/200-w-109th-st-manhattan-ny-10025/281925767552607157/","200 W 109th St")</f>
        <v>200 W 109th St</v>
      </c>
      <c r="F211" s="25" t="s">
        <v>29</v>
      </c>
      <c r="G211" s="28">
        <v>675000.0</v>
      </c>
      <c r="H211" s="29"/>
      <c r="I211" s="28">
        <v>1379.0</v>
      </c>
      <c r="J211" s="28">
        <v>7116.0</v>
      </c>
      <c r="K211" s="25" t="s">
        <v>28</v>
      </c>
      <c r="L211" s="26">
        <v>3.0</v>
      </c>
      <c r="M211" s="26">
        <v>2.0</v>
      </c>
      <c r="N211" s="26">
        <v>1.0</v>
      </c>
      <c r="O211" s="30"/>
      <c r="P211" s="30"/>
      <c r="Q211" s="35">
        <v>51.0</v>
      </c>
      <c r="R211" s="32">
        <v>45813.0</v>
      </c>
      <c r="S211" s="32">
        <v>45812.0</v>
      </c>
      <c r="T211" s="29"/>
      <c r="U211" s="33"/>
      <c r="V211" s="1"/>
    </row>
    <row r="212" ht="24.0" customHeight="1">
      <c r="A212" s="1"/>
      <c r="B212" s="24" t="str">
        <f>HYPERLINK("https://www.compass.com/listing/467-pacific-street-unit-1-brooklyn-ny-11217/1836328228527868137/view?agent_id=610d3f3370540700019b0833","467 Pacific Street, Unit 1")</f>
        <v>467 Pacific Street, Unit 1</v>
      </c>
      <c r="C212" s="25" t="s">
        <v>22</v>
      </c>
      <c r="D212" s="26" t="s">
        <v>23</v>
      </c>
      <c r="E212" s="27" t="str">
        <f>HYPERLINK("https://www.compass.com/building/467-pacific-st-brooklyn-ny-11217/282501770767316485/","467 Pacific St")</f>
        <v>467 Pacific St</v>
      </c>
      <c r="F212" s="25" t="s">
        <v>102</v>
      </c>
      <c r="G212" s="28">
        <v>625000.0</v>
      </c>
      <c r="H212" s="29"/>
      <c r="I212" s="28">
        <v>1126.0</v>
      </c>
      <c r="J212" s="28">
        <v>0.0</v>
      </c>
      <c r="K212" s="25" t="s">
        <v>25</v>
      </c>
      <c r="L212" s="26">
        <v>5.0</v>
      </c>
      <c r="M212" s="26">
        <v>2.0</v>
      </c>
      <c r="N212" s="26">
        <v>1.0</v>
      </c>
      <c r="O212" s="30"/>
      <c r="P212" s="26">
        <v>0.0</v>
      </c>
      <c r="Q212" s="35">
        <v>79.0</v>
      </c>
      <c r="R212" s="32">
        <v>45801.0</v>
      </c>
      <c r="S212" s="32">
        <v>45784.0</v>
      </c>
      <c r="T212" s="29"/>
      <c r="U212" s="33"/>
      <c r="V212" s="1"/>
    </row>
    <row r="213" ht="24.0" customHeight="1">
      <c r="A213" s="1"/>
      <c r="B213" s="24" t="str">
        <f>HYPERLINK("https://www.compass.com/listing/2-south-end-avenue-unit-3i-manhattan-ny-10280/1890895469148234481/view?agent_id=610d3f3370540700019b0833","2 South End Avenue, Unit 3I")</f>
        <v>2 South End Avenue, Unit 3I</v>
      </c>
      <c r="C213" s="25" t="s">
        <v>22</v>
      </c>
      <c r="D213" s="26" t="s">
        <v>23</v>
      </c>
      <c r="E213" s="27" t="str">
        <f>HYPERLINK("https://www.compass.com/building/the-cove-club-manhattan-ny/282053923898945349/","The Cove Club")</f>
        <v>The Cove Club</v>
      </c>
      <c r="F213" s="25" t="s">
        <v>103</v>
      </c>
      <c r="G213" s="28">
        <v>737000.0</v>
      </c>
      <c r="H213" s="28">
        <v>963.0</v>
      </c>
      <c r="I213" s="28">
        <v>3200.0</v>
      </c>
      <c r="J213" s="28">
        <v>15600.0</v>
      </c>
      <c r="K213" s="25" t="s">
        <v>28</v>
      </c>
      <c r="L213" s="26">
        <v>3.0</v>
      </c>
      <c r="M213" s="26">
        <v>2.0</v>
      </c>
      <c r="N213" s="26">
        <v>1.0</v>
      </c>
      <c r="O213" s="26">
        <v>0.0</v>
      </c>
      <c r="P213" s="26">
        <v>765.0</v>
      </c>
      <c r="Q213" s="35">
        <v>3.0</v>
      </c>
      <c r="R213" s="32">
        <v>45860.0</v>
      </c>
      <c r="S213" s="32">
        <v>45860.0</v>
      </c>
      <c r="T213" s="29"/>
      <c r="U213" s="33"/>
      <c r="V213" s="1"/>
    </row>
    <row r="214" ht="24.0" customHeight="1">
      <c r="A214" s="1"/>
      <c r="B214" s="24" t="str">
        <f>HYPERLINK("https://www.compass.com/listing/357-west-11th-street-unit-3b-manhattan-ny-10014/1874855658222706969/view?agent_id=610d3f3370540700019b0833","357 West 11th Street, Unit 3B")</f>
        <v>357 West 11th Street, Unit 3B</v>
      </c>
      <c r="C214" s="25" t="s">
        <v>22</v>
      </c>
      <c r="D214" s="26" t="s">
        <v>23</v>
      </c>
      <c r="E214" s="27" t="str">
        <f>HYPERLINK("https://www.compass.com/building/west-village-houses-manhattan-ny/282063969668074085/","West Village Houses")</f>
        <v>West Village Houses</v>
      </c>
      <c r="F214" s="25" t="s">
        <v>26</v>
      </c>
      <c r="G214" s="28">
        <v>1175000.0</v>
      </c>
      <c r="H214" s="29"/>
      <c r="I214" s="28">
        <v>1387.0</v>
      </c>
      <c r="J214" s="28">
        <v>0.0</v>
      </c>
      <c r="K214" s="25" t="s">
        <v>25</v>
      </c>
      <c r="L214" s="26">
        <v>4.0</v>
      </c>
      <c r="M214" s="26">
        <v>2.0</v>
      </c>
      <c r="N214" s="26">
        <v>1.0</v>
      </c>
      <c r="O214" s="26">
        <v>0.0</v>
      </c>
      <c r="P214" s="30"/>
      <c r="Q214" s="35">
        <v>25.0</v>
      </c>
      <c r="R214" s="32">
        <v>45862.0</v>
      </c>
      <c r="S214" s="32">
        <v>45838.0</v>
      </c>
      <c r="T214" s="29"/>
      <c r="U214" s="33"/>
      <c r="V214" s="1"/>
    </row>
    <row r="215" ht="24.0" customHeight="1">
      <c r="A215" s="1"/>
      <c r="B215" s="24" t="str">
        <f>HYPERLINK("https://www.compass.com/listing/211-west-71st-street-unit-3c-manhattan-ny-10023/1834377992694917089/view?agent_id=610d3f3370540700019b0833","211 West 71st Street, Unit 3C")</f>
        <v>211 West 71st Street, Unit 3C</v>
      </c>
      <c r="C215" s="25" t="s">
        <v>22</v>
      </c>
      <c r="D215" s="26" t="s">
        <v>23</v>
      </c>
      <c r="E215" s="27" t="str">
        <f>HYPERLINK("https://www.compass.com/building/the-lincoln-park-manhattan-ny/281958408498781109/","The Lincoln Park")</f>
        <v>The Lincoln Park</v>
      </c>
      <c r="F215" s="25" t="s">
        <v>29</v>
      </c>
      <c r="G215" s="28">
        <v>999000.0</v>
      </c>
      <c r="H215" s="28">
        <v>1273.0</v>
      </c>
      <c r="I215" s="28">
        <v>2507.0</v>
      </c>
      <c r="J215" s="28">
        <v>16020.0</v>
      </c>
      <c r="K215" s="25" t="s">
        <v>28</v>
      </c>
      <c r="L215" s="26">
        <v>4.0</v>
      </c>
      <c r="M215" s="26">
        <v>2.0</v>
      </c>
      <c r="N215" s="26">
        <v>1.0</v>
      </c>
      <c r="O215" s="30"/>
      <c r="P215" s="26">
        <v>785.0</v>
      </c>
      <c r="Q215" s="35">
        <v>83.0</v>
      </c>
      <c r="R215" s="32">
        <v>45783.0</v>
      </c>
      <c r="S215" s="32">
        <v>45780.0</v>
      </c>
      <c r="T215" s="29"/>
      <c r="U215" s="33"/>
      <c r="V215" s="1"/>
    </row>
    <row r="216" ht="24.0" customHeight="1">
      <c r="A216" s="1"/>
      <c r="B216" s="24" t="str">
        <f>HYPERLINK("https://www.compass.com/listing/275-manhattan-avenue-unit-3a-brooklyn-ny-11211/1867963113084855081/view?agent_id=610d3f3370540700019b0833","275 Manhattan Avenue, Unit 3A")</f>
        <v>275 Manhattan Avenue, Unit 3A</v>
      </c>
      <c r="C216" s="25" t="s">
        <v>22</v>
      </c>
      <c r="D216" s="26" t="s">
        <v>23</v>
      </c>
      <c r="E216" s="27" t="str">
        <f>HYPERLINK("https://www.compass.com/building/275-manhattan-ave-brooklyn-ny-11211/282399795736287973/","275 Manhattan Ave")</f>
        <v>275 Manhattan Ave</v>
      </c>
      <c r="F216" s="25" t="s">
        <v>46</v>
      </c>
      <c r="G216" s="28">
        <v>1399000.0</v>
      </c>
      <c r="H216" s="28">
        <v>1358.0</v>
      </c>
      <c r="I216" s="28">
        <v>646.0</v>
      </c>
      <c r="J216" s="28">
        <v>348.0</v>
      </c>
      <c r="K216" s="25" t="s">
        <v>28</v>
      </c>
      <c r="L216" s="26">
        <v>5.0</v>
      </c>
      <c r="M216" s="26">
        <v>2.0</v>
      </c>
      <c r="N216" s="26">
        <v>1.0</v>
      </c>
      <c r="O216" s="30"/>
      <c r="P216" s="34">
        <v>1030.0</v>
      </c>
      <c r="Q216" s="35">
        <v>35.0</v>
      </c>
      <c r="R216" s="32">
        <v>45829.0</v>
      </c>
      <c r="S216" s="32">
        <v>45828.0</v>
      </c>
      <c r="T216" s="29"/>
      <c r="U216" s="33"/>
      <c r="V216" s="1"/>
    </row>
    <row r="217" ht="24.0" customHeight="1">
      <c r="A217" s="1"/>
      <c r="B217" s="24" t="str">
        <f>HYPERLINK("https://www.compass.com/listing/322-west-22nd-street-unit-2-manhattan-ny-10011/1800852936106583777/view?agent_id=610d3f3370540700019b0833","322 West 22nd Street, Unit 2")</f>
        <v>322 West 22nd Street, Unit 2</v>
      </c>
      <c r="C217" s="25" t="s">
        <v>22</v>
      </c>
      <c r="D217" s="26" t="s">
        <v>23</v>
      </c>
      <c r="E217" s="27" t="str">
        <f>HYPERLINK("https://www.compass.com/building/322-w-22nd-st-manhattan-ny-10011/281908747746435077/","322 W 22nd St")</f>
        <v>322 W 22nd St</v>
      </c>
      <c r="F217" s="25" t="s">
        <v>27</v>
      </c>
      <c r="G217" s="28">
        <v>1095000.0</v>
      </c>
      <c r="H217" s="29"/>
      <c r="I217" s="28">
        <v>1649.0</v>
      </c>
      <c r="J217" s="28">
        <v>0.0</v>
      </c>
      <c r="K217" s="25" t="s">
        <v>104</v>
      </c>
      <c r="L217" s="26">
        <v>4.0</v>
      </c>
      <c r="M217" s="26">
        <v>2.0</v>
      </c>
      <c r="N217" s="26">
        <v>1.0</v>
      </c>
      <c r="O217" s="26">
        <v>0.0</v>
      </c>
      <c r="P217" s="30"/>
      <c r="Q217" s="35">
        <v>25.0</v>
      </c>
      <c r="R217" s="32">
        <v>45863.0</v>
      </c>
      <c r="S217" s="32">
        <v>45838.0</v>
      </c>
      <c r="T217" s="29"/>
      <c r="U217" s="33"/>
      <c r="V217" s="1"/>
    </row>
    <row r="218" ht="24.0" customHeight="1">
      <c r="A218" s="1"/>
      <c r="B218" s="24" t="str">
        <f>HYPERLINK("https://www.compass.com/listing/184-east-2nd-street-unit-4g-manhattan-ny-10009/1864731744141048665/view?agent_id=610d3f3370540700019b0833","184 East 2nd Street, Unit 4G")</f>
        <v>184 East 2nd Street, Unit 4G</v>
      </c>
      <c r="C218" s="25" t="s">
        <v>22</v>
      </c>
      <c r="D218" s="26" t="s">
        <v>23</v>
      </c>
      <c r="E218" s="27" t="str">
        <f>HYPERLINK("https://www.compass.com/building/184-e-2nd-st-manhattan-ny-10009/307441464648718533/","184 E 2nd St")</f>
        <v>184 E 2nd St</v>
      </c>
      <c r="F218" s="25" t="s">
        <v>24</v>
      </c>
      <c r="G218" s="28">
        <v>995000.0</v>
      </c>
      <c r="H218" s="29"/>
      <c r="I218" s="28">
        <v>1955.0</v>
      </c>
      <c r="J218" s="28">
        <v>17664.0</v>
      </c>
      <c r="K218" s="25" t="s">
        <v>28</v>
      </c>
      <c r="L218" s="26">
        <v>4.0</v>
      </c>
      <c r="M218" s="26">
        <v>2.0</v>
      </c>
      <c r="N218" s="26">
        <v>1.0</v>
      </c>
      <c r="O218" s="26">
        <v>0.0</v>
      </c>
      <c r="P218" s="30"/>
      <c r="Q218" s="35">
        <v>39.0</v>
      </c>
      <c r="R218" s="32">
        <v>45852.0</v>
      </c>
      <c r="S218" s="32">
        <v>45824.0</v>
      </c>
      <c r="T218" s="29"/>
      <c r="U218" s="33"/>
      <c r="V218" s="1"/>
    </row>
    <row r="219" ht="24.0" customHeight="1">
      <c r="A219" s="1"/>
      <c r="B219" s="24" t="str">
        <f>HYPERLINK("https://www.compass.com/listing/289-13th-street-unit-3l-brooklyn-ny-11215/1881372406553509425/view?agent_id=610d3f3370540700019b0833","289 13th Street, Unit 3L")</f>
        <v>289 13th Street, Unit 3L</v>
      </c>
      <c r="C219" s="25" t="s">
        <v>22</v>
      </c>
      <c r="D219" s="26" t="s">
        <v>23</v>
      </c>
      <c r="E219" s="27" t="str">
        <f>HYPERLINK("https://www.compass.com/building/289-13th-st-brooklyn-ny-11215/282507418565430325/","289 13th St")</f>
        <v>289 13th St</v>
      </c>
      <c r="F219" s="25" t="s">
        <v>40</v>
      </c>
      <c r="G219" s="28">
        <v>1275000.0</v>
      </c>
      <c r="H219" s="28">
        <v>1441.0</v>
      </c>
      <c r="I219" s="28">
        <v>802.0</v>
      </c>
      <c r="J219" s="28">
        <v>6060.0</v>
      </c>
      <c r="K219" s="25" t="s">
        <v>28</v>
      </c>
      <c r="L219" s="26">
        <v>4.0</v>
      </c>
      <c r="M219" s="26">
        <v>2.0</v>
      </c>
      <c r="N219" s="26">
        <v>1.0</v>
      </c>
      <c r="O219" s="26">
        <v>0.0</v>
      </c>
      <c r="P219" s="26">
        <v>885.0</v>
      </c>
      <c r="Q219" s="35">
        <v>16.0</v>
      </c>
      <c r="R219" s="32">
        <v>45858.0</v>
      </c>
      <c r="S219" s="32">
        <v>45847.0</v>
      </c>
      <c r="T219" s="29"/>
      <c r="U219" s="33"/>
      <c r="V219" s="1"/>
    </row>
    <row r="220" ht="24.0" customHeight="1">
      <c r="A220" s="1"/>
      <c r="B220" s="24" t="str">
        <f>HYPERLINK("https://www.compass.com/listing/155-duane-street-manhattan-ny-10013/1865769860620871305/view?agent_id=610d3f3370540700019b0833","155 Duane Street")</f>
        <v>155 Duane Street</v>
      </c>
      <c r="C220" s="25" t="s">
        <v>22</v>
      </c>
      <c r="D220" s="26" t="s">
        <v>23</v>
      </c>
      <c r="E220" s="27" t="str">
        <f>HYPERLINK("https://www.compass.com/building/155-duane-st-manhattan-ny-10013/281917296727852069/","155 Duane St")</f>
        <v>155 Duane St</v>
      </c>
      <c r="F220" s="25" t="s">
        <v>60</v>
      </c>
      <c r="G220" s="28">
        <v>7500000.0</v>
      </c>
      <c r="H220" s="28">
        <v>1818.0</v>
      </c>
      <c r="I220" s="28">
        <v>3270.0</v>
      </c>
      <c r="J220" s="28">
        <v>39240.0</v>
      </c>
      <c r="K220" s="25" t="s">
        <v>105</v>
      </c>
      <c r="L220" s="26">
        <v>6.0</v>
      </c>
      <c r="M220" s="26">
        <v>2.0</v>
      </c>
      <c r="N220" s="26">
        <v>1.0</v>
      </c>
      <c r="O220" s="30"/>
      <c r="P220" s="34">
        <v>4125.0</v>
      </c>
      <c r="Q220" s="35">
        <v>38.0</v>
      </c>
      <c r="R220" s="32">
        <v>45826.0</v>
      </c>
      <c r="S220" s="32">
        <v>45825.0</v>
      </c>
      <c r="T220" s="29"/>
      <c r="U220" s="33"/>
      <c r="V220" s="1"/>
    </row>
    <row r="221" ht="24.0" customHeight="1">
      <c r="A221" s="1"/>
      <c r="B221" s="24" t="str">
        <f>HYPERLINK("https://www.compass.com/listing/160-east-3rd-street-unit-2f-manhattan-ny-10009/1866583073974124129/view?agent_id=610d3f3370540700019b0833","160 East 3rd Street, Unit 2F")</f>
        <v>160 East 3rd Street, Unit 2F</v>
      </c>
      <c r="C221" s="25" t="s">
        <v>22</v>
      </c>
      <c r="D221" s="26" t="s">
        <v>23</v>
      </c>
      <c r="E221" s="27" t="str">
        <f>HYPERLINK("https://www.compass.com/building/160-e-3rd-st-manhattan-ny-10009/281897934402892245/","160 E 3rd St")</f>
        <v>160 E 3rd St</v>
      </c>
      <c r="F221" s="25" t="s">
        <v>24</v>
      </c>
      <c r="G221" s="28">
        <v>1295000.0</v>
      </c>
      <c r="H221" s="29"/>
      <c r="I221" s="28">
        <v>1329.0</v>
      </c>
      <c r="J221" s="28">
        <v>0.0</v>
      </c>
      <c r="K221" s="25" t="s">
        <v>25</v>
      </c>
      <c r="L221" s="26">
        <v>4.0</v>
      </c>
      <c r="M221" s="26">
        <v>2.0</v>
      </c>
      <c r="N221" s="26">
        <v>1.0</v>
      </c>
      <c r="O221" s="26">
        <v>0.0</v>
      </c>
      <c r="P221" s="26">
        <v>0.0</v>
      </c>
      <c r="Q221" s="35">
        <v>31.0</v>
      </c>
      <c r="R221" s="32">
        <v>45853.0</v>
      </c>
      <c r="S221" s="32">
        <v>45832.0</v>
      </c>
      <c r="T221" s="29"/>
      <c r="U221" s="33"/>
      <c r="V221" s="1"/>
    </row>
    <row r="222" ht="24.0" customHeight="1">
      <c r="A222" s="1"/>
      <c r="B222" s="24" t="str">
        <f>HYPERLINK("https://www.compass.com/listing/490-van-buren-street-unit-3a-brooklyn-ny-11221/1835670047254768049/view?agent_id=610d3f3370540700019b0833","490 Van Buren Street, Unit 3A")</f>
        <v>490 Van Buren Street, Unit 3A</v>
      </c>
      <c r="C222" s="25" t="s">
        <v>22</v>
      </c>
      <c r="D222" s="26" t="s">
        <v>23</v>
      </c>
      <c r="E222" s="27" t="str">
        <f>HYPERLINK("https://www.compass.com/building/490-van-buren-st-brooklyn-ny-11221/293421882068239125/","490 Van Buren St")</f>
        <v>490 Van Buren St</v>
      </c>
      <c r="F222" s="25" t="s">
        <v>51</v>
      </c>
      <c r="G222" s="28">
        <v>779000.0</v>
      </c>
      <c r="H222" s="28">
        <v>1083.0</v>
      </c>
      <c r="I222" s="28">
        <v>787.0</v>
      </c>
      <c r="J222" s="28">
        <v>4976.0</v>
      </c>
      <c r="K222" s="25" t="s">
        <v>28</v>
      </c>
      <c r="L222" s="26">
        <v>5.0</v>
      </c>
      <c r="M222" s="26">
        <v>2.0</v>
      </c>
      <c r="N222" s="26">
        <v>1.0</v>
      </c>
      <c r="O222" s="30"/>
      <c r="P222" s="26">
        <v>719.0</v>
      </c>
      <c r="Q222" s="35">
        <v>9.0</v>
      </c>
      <c r="R222" s="32">
        <v>45862.0</v>
      </c>
      <c r="S222" s="32">
        <v>45853.0</v>
      </c>
      <c r="T222" s="29"/>
      <c r="U222" s="33"/>
      <c r="V222" s="1"/>
    </row>
    <row r="223" ht="24.0" customHeight="1">
      <c r="A223" s="1"/>
      <c r="B223" s="24" t="str">
        <f>HYPERLINK("https://www.compass.com/listing/30-west-60th-street-unit-1p-manhattan-ny-10019/1892644754344294721/view?agent_id=610d3f3370540700019b0833","30 West 60th Street, Unit 1P")</f>
        <v>30 West 60th Street, Unit 1P</v>
      </c>
      <c r="C223" s="25" t="s">
        <v>22</v>
      </c>
      <c r="D223" s="26" t="s">
        <v>23</v>
      </c>
      <c r="E223" s="27" t="str">
        <f>HYPERLINK("https://www.compass.com/building/30-w-60th-st-manhattan-ny-10019/282059929068535413/","30 W 60th St")</f>
        <v>30 W 60th St</v>
      </c>
      <c r="F223" s="25" t="s">
        <v>29</v>
      </c>
      <c r="G223" s="28">
        <v>1500000.0</v>
      </c>
      <c r="H223" s="28">
        <v>1364.0</v>
      </c>
      <c r="I223" s="28">
        <v>2042.0</v>
      </c>
      <c r="J223" s="28">
        <v>0.0</v>
      </c>
      <c r="K223" s="25" t="s">
        <v>25</v>
      </c>
      <c r="L223" s="26">
        <v>5.0</v>
      </c>
      <c r="M223" s="26">
        <v>2.0</v>
      </c>
      <c r="N223" s="26">
        <v>1.0</v>
      </c>
      <c r="O223" s="30"/>
      <c r="P223" s="34">
        <v>1100.0</v>
      </c>
      <c r="Q223" s="35">
        <v>1.0</v>
      </c>
      <c r="R223" s="32">
        <v>45863.0</v>
      </c>
      <c r="S223" s="32">
        <v>45862.0</v>
      </c>
      <c r="T223" s="29"/>
      <c r="U223" s="33"/>
      <c r="V223" s="1"/>
    </row>
    <row r="224" ht="24.0" customHeight="1">
      <c r="A224" s="1"/>
      <c r="B224" s="24" t="str">
        <f>HYPERLINK("https://www.compass.com/listing/223-frost-street-unit-phr-brooklyn-ny-11211/1882877593823445793/view?agent_id=610d3f3370540700019b0833","223 Frost Street, Unit PHR")</f>
        <v>223 Frost Street, Unit PHR</v>
      </c>
      <c r="C224" s="25" t="s">
        <v>22</v>
      </c>
      <c r="D224" s="26" t="s">
        <v>23</v>
      </c>
      <c r="E224" s="27" t="str">
        <f>HYPERLINK("https://www.compass.com/building/223-frost-st-brooklyn-ny-11211/282401500167216133/","223 Frost St")</f>
        <v>223 Frost St</v>
      </c>
      <c r="F224" s="25" t="s">
        <v>46</v>
      </c>
      <c r="G224" s="28">
        <v>1250000.0</v>
      </c>
      <c r="H224" s="28">
        <v>1469.0</v>
      </c>
      <c r="I224" s="28">
        <v>846.0</v>
      </c>
      <c r="J224" s="28">
        <v>4896.0</v>
      </c>
      <c r="K224" s="25" t="s">
        <v>28</v>
      </c>
      <c r="L224" s="26">
        <v>5.0</v>
      </c>
      <c r="M224" s="26">
        <v>2.0</v>
      </c>
      <c r="N224" s="26">
        <v>1.0</v>
      </c>
      <c r="O224" s="26">
        <v>0.0</v>
      </c>
      <c r="P224" s="26">
        <v>851.0</v>
      </c>
      <c r="Q224" s="35">
        <v>14.0</v>
      </c>
      <c r="R224" s="32">
        <v>45859.0</v>
      </c>
      <c r="S224" s="32">
        <v>45849.0</v>
      </c>
      <c r="T224" s="29"/>
      <c r="U224" s="33"/>
      <c r="V224" s="1"/>
    </row>
    <row r="225" ht="24.0" customHeight="1">
      <c r="A225" s="1"/>
      <c r="B225" s="24" t="str">
        <f>HYPERLINK("https://www.compass.com/listing/221-mcdonald-avenue-unit-1g-brooklyn-ny-11218/1874319674744994217/view?agent_id=610d3f3370540700019b0833","221 McDonald Avenue, Unit 1G")</f>
        <v>221 McDonald Avenue, Unit 1G</v>
      </c>
      <c r="C225" s="25" t="s">
        <v>22</v>
      </c>
      <c r="D225" s="26" t="s">
        <v>23</v>
      </c>
      <c r="E225" s="27" t="str">
        <f>HYPERLINK("https://www.compass.com/building/221-mcdonald-ave-brooklyn-ny-11218/294840662692015205/","221 Mcdonald Ave")</f>
        <v>221 Mcdonald Ave</v>
      </c>
      <c r="F225" s="25" t="s">
        <v>106</v>
      </c>
      <c r="G225" s="28">
        <v>699999.0</v>
      </c>
      <c r="H225" s="28">
        <v>636.0</v>
      </c>
      <c r="I225" s="28">
        <v>1130.0</v>
      </c>
      <c r="J225" s="29"/>
      <c r="K225" s="25" t="s">
        <v>25</v>
      </c>
      <c r="L225" s="26">
        <v>5.0</v>
      </c>
      <c r="M225" s="26">
        <v>2.0</v>
      </c>
      <c r="N225" s="26">
        <v>1.0</v>
      </c>
      <c r="O225" s="30"/>
      <c r="P225" s="34">
        <v>1100.0</v>
      </c>
      <c r="Q225" s="35">
        <v>26.0</v>
      </c>
      <c r="R225" s="32">
        <v>45839.0</v>
      </c>
      <c r="S225" s="32">
        <v>45837.0</v>
      </c>
      <c r="T225" s="29"/>
      <c r="U225" s="33"/>
      <c r="V225" s="1"/>
    </row>
    <row r="226" ht="24.0" customHeight="1">
      <c r="A226" s="1"/>
      <c r="B226" s="24" t="str">
        <f>HYPERLINK("https://www.compass.com/listing/115-ashland-place-unit-16a-brooklyn-ny-11201/1888253573661037025/view?agent_id=610d3f3370540700019b0833","115 Ashland Place, Unit 16A")</f>
        <v>115 Ashland Place, Unit 16A</v>
      </c>
      <c r="C226" s="25" t="s">
        <v>22</v>
      </c>
      <c r="D226" s="26" t="s">
        <v>23</v>
      </c>
      <c r="E226" s="27" t="str">
        <f>HYPERLINK("https://www.compass.com/building/115-ashland-pl-brooklyn-ny-11201/293422473188279973/","115 Ashland Pl")</f>
        <v>115 Ashland Pl</v>
      </c>
      <c r="F226" s="25" t="s">
        <v>59</v>
      </c>
      <c r="G226" s="28">
        <v>775000.0</v>
      </c>
      <c r="H226" s="28">
        <v>775.0</v>
      </c>
      <c r="I226" s="28">
        <v>1410.0</v>
      </c>
      <c r="J226" s="28">
        <v>0.0</v>
      </c>
      <c r="K226" s="25" t="s">
        <v>25</v>
      </c>
      <c r="L226" s="26">
        <v>4.0</v>
      </c>
      <c r="M226" s="26">
        <v>2.0</v>
      </c>
      <c r="N226" s="26">
        <v>1.0</v>
      </c>
      <c r="O226" s="26">
        <v>0.0</v>
      </c>
      <c r="P226" s="34">
        <v>1000.0</v>
      </c>
      <c r="Q226" s="35">
        <v>6.0</v>
      </c>
      <c r="R226" s="32">
        <v>45862.0</v>
      </c>
      <c r="S226" s="32">
        <v>45857.0</v>
      </c>
      <c r="T226" s="29"/>
      <c r="U226" s="33"/>
      <c r="V226" s="1"/>
    </row>
    <row r="227" ht="24.0" customHeight="1">
      <c r="A227" s="1"/>
      <c r="B227" s="24" t="str">
        <f>HYPERLINK("https://www.compass.com/listing/175-west-93rd-street-unit-11k-manhattan-ny-10025/1874699447032526561/view?agent_id=610d3f3370540700019b0833","175 West 93rd Street, Unit 11K")</f>
        <v>175 West 93rd Street, Unit 11K</v>
      </c>
      <c r="C227" s="25" t="s">
        <v>22</v>
      </c>
      <c r="D227" s="26" t="s">
        <v>23</v>
      </c>
      <c r="E227" s="27" t="str">
        <f>HYPERLINK("https://www.compass.com/building/the-westwind-manhattan-ny/292824020884175189/","The Westwind")</f>
        <v>The Westwind</v>
      </c>
      <c r="F227" s="25" t="s">
        <v>29</v>
      </c>
      <c r="G227" s="28">
        <v>879000.0</v>
      </c>
      <c r="H227" s="29"/>
      <c r="I227" s="28">
        <v>2256.0</v>
      </c>
      <c r="J227" s="28">
        <v>0.0</v>
      </c>
      <c r="K227" s="25" t="s">
        <v>25</v>
      </c>
      <c r="L227" s="26">
        <v>4.0</v>
      </c>
      <c r="M227" s="26">
        <v>2.0</v>
      </c>
      <c r="N227" s="26">
        <v>1.0</v>
      </c>
      <c r="O227" s="26">
        <v>0.0</v>
      </c>
      <c r="P227" s="30"/>
      <c r="Q227" s="35">
        <v>25.0</v>
      </c>
      <c r="R227" s="32">
        <v>45863.0</v>
      </c>
      <c r="S227" s="32">
        <v>45838.0</v>
      </c>
      <c r="T227" s="29"/>
      <c r="U227" s="33"/>
      <c r="V227" s="1"/>
    </row>
    <row r="228" ht="24.0" customHeight="1">
      <c r="A228" s="1"/>
      <c r="B228" s="24" t="str">
        <f>HYPERLINK("https://www.compass.com/listing/377-rector-place-unit-15d-manhattan-ny-10280/1887124626491245185/view?agent_id=610d3f3370540700019b0833","377 Rector Place, Unit 15D")</f>
        <v>377 Rector Place, Unit 15D</v>
      </c>
      <c r="C228" s="25" t="s">
        <v>22</v>
      </c>
      <c r="D228" s="26" t="s">
        <v>23</v>
      </c>
      <c r="E228" s="27" t="str">
        <f>HYPERLINK("https://www.compass.com/building/liberty-house-manhattan-ny/282054262102456533/","Liberty House")</f>
        <v>Liberty House</v>
      </c>
      <c r="F228" s="25" t="s">
        <v>103</v>
      </c>
      <c r="G228" s="28">
        <v>995000.0</v>
      </c>
      <c r="H228" s="28">
        <v>1277.0</v>
      </c>
      <c r="I228" s="28">
        <v>2098.0</v>
      </c>
      <c r="J228" s="28">
        <v>15888.0</v>
      </c>
      <c r="K228" s="25" t="s">
        <v>28</v>
      </c>
      <c r="L228" s="26">
        <v>4.0</v>
      </c>
      <c r="M228" s="26">
        <v>2.0</v>
      </c>
      <c r="N228" s="26">
        <v>1.0</v>
      </c>
      <c r="O228" s="26">
        <v>0.0</v>
      </c>
      <c r="P228" s="26">
        <v>779.0</v>
      </c>
      <c r="Q228" s="35">
        <v>8.0</v>
      </c>
      <c r="R228" s="32">
        <v>45861.0</v>
      </c>
      <c r="S228" s="32">
        <v>45855.0</v>
      </c>
      <c r="T228" s="29"/>
      <c r="U228" s="33"/>
      <c r="V228" s="1"/>
    </row>
    <row r="229" ht="24.0" customHeight="1">
      <c r="A229" s="1"/>
      <c r="B229" s="24" t="str">
        <f>HYPERLINK("https://www.compass.com/listing/301-east-64th-street-unit-3f-manhattan-ny-10065/1886400700668796121/view?agent_id=610d3f3370540700019b0833","301 East 64th Street, Unit 3F")</f>
        <v>301 East 64th Street, Unit 3F</v>
      </c>
      <c r="C229" s="25" t="s">
        <v>22</v>
      </c>
      <c r="D229" s="26" t="s">
        <v>23</v>
      </c>
      <c r="E229" s="27" t="str">
        <f>HYPERLINK("https://www.compass.com/building/the-regency-east-manhattan-ny/292923832610611205/","The Regency East")</f>
        <v>The Regency East</v>
      </c>
      <c r="F229" s="25" t="s">
        <v>64</v>
      </c>
      <c r="G229" s="28">
        <v>895000.0</v>
      </c>
      <c r="H229" s="29"/>
      <c r="I229" s="28">
        <v>1727.0</v>
      </c>
      <c r="J229" s="28">
        <v>0.0</v>
      </c>
      <c r="K229" s="25" t="s">
        <v>25</v>
      </c>
      <c r="L229" s="26">
        <v>4.0</v>
      </c>
      <c r="M229" s="26">
        <v>2.0</v>
      </c>
      <c r="N229" s="26">
        <v>1.0</v>
      </c>
      <c r="O229" s="26">
        <v>0.0</v>
      </c>
      <c r="P229" s="30"/>
      <c r="Q229" s="35">
        <v>9.0</v>
      </c>
      <c r="R229" s="32">
        <v>45858.0</v>
      </c>
      <c r="S229" s="32">
        <v>45854.0</v>
      </c>
      <c r="T229" s="29"/>
      <c r="U229" s="33"/>
      <c r="V229" s="1"/>
    </row>
    <row r="230" ht="24.0" customHeight="1">
      <c r="A230" s="1"/>
      <c r="B230" s="24" t="str">
        <f>HYPERLINK("https://www.compass.com/listing/350-east-30th-street-unit-1m-manhattan-ny-10016/1870234765143565017/view?agent_id=610d3f3370540700019b0833","350 East 30th Street, Unit 1M")</f>
        <v>350 East 30th Street, Unit 1M</v>
      </c>
      <c r="C230" s="25" t="s">
        <v>22</v>
      </c>
      <c r="D230" s="26" t="s">
        <v>23</v>
      </c>
      <c r="E230" s="27" t="str">
        <f>HYPERLINK("https://www.compass.com/building/350-e-30th-street-manhattan-ny/281940215277345157/","350 E. 30th Street")</f>
        <v>350 E. 30th Street</v>
      </c>
      <c r="F230" s="25" t="s">
        <v>107</v>
      </c>
      <c r="G230" s="28">
        <v>895000.0</v>
      </c>
      <c r="H230" s="28">
        <v>975.0</v>
      </c>
      <c r="I230" s="28">
        <v>2138.0</v>
      </c>
      <c r="J230" s="28">
        <v>18552.0</v>
      </c>
      <c r="K230" s="25" t="s">
        <v>28</v>
      </c>
      <c r="L230" s="26">
        <v>4.0</v>
      </c>
      <c r="M230" s="26">
        <v>2.0</v>
      </c>
      <c r="N230" s="26">
        <v>1.0</v>
      </c>
      <c r="O230" s="30"/>
      <c r="P230" s="26">
        <v>918.0</v>
      </c>
      <c r="Q230" s="35">
        <v>32.0</v>
      </c>
      <c r="R230" s="32">
        <v>45832.0</v>
      </c>
      <c r="S230" s="32">
        <v>45831.0</v>
      </c>
      <c r="T230" s="29"/>
      <c r="U230" s="33"/>
      <c r="V230" s="1"/>
    </row>
    <row r="231" ht="24.0" customHeight="1">
      <c r="A231" s="1"/>
      <c r="B231" s="24" t="str">
        <f>HYPERLINK("https://www.compass.com/listing/545-west-111th-street-unit-10i-manhattan-ny-10025/1887183482433315737/view?agent_id=610d3f3370540700019b0833","545 West 111th Street, Unit 10I")</f>
        <v>545 West 111th Street, Unit 10I</v>
      </c>
      <c r="C231" s="25" t="s">
        <v>22</v>
      </c>
      <c r="D231" s="26" t="s">
        <v>23</v>
      </c>
      <c r="E231" s="27" t="str">
        <f>HYPERLINK("https://www.compass.com/building/the-rockfall-manhattan-ny/281972449006936437/","The Rockfall")</f>
        <v>The Rockfall</v>
      </c>
      <c r="F231" s="25" t="s">
        <v>41</v>
      </c>
      <c r="G231" s="28">
        <v>885000.0</v>
      </c>
      <c r="H231" s="29"/>
      <c r="I231" s="28">
        <v>2262.0</v>
      </c>
      <c r="J231" s="28">
        <v>0.0</v>
      </c>
      <c r="K231" s="25" t="s">
        <v>25</v>
      </c>
      <c r="L231" s="26">
        <v>4.0</v>
      </c>
      <c r="M231" s="26">
        <v>2.0</v>
      </c>
      <c r="N231" s="26">
        <v>1.0</v>
      </c>
      <c r="O231" s="26">
        <v>0.0</v>
      </c>
      <c r="P231" s="30"/>
      <c r="Q231" s="35">
        <v>8.0</v>
      </c>
      <c r="R231" s="32">
        <v>45861.0</v>
      </c>
      <c r="S231" s="32">
        <v>45855.0</v>
      </c>
      <c r="T231" s="29"/>
      <c r="U231" s="33"/>
      <c r="V231" s="1"/>
    </row>
    <row r="232" ht="24.0" customHeight="1">
      <c r="A232" s="1"/>
      <c r="B232" s="24" t="str">
        <f>HYPERLINK("https://www.compass.com/listing/274-south-2nd-street-unit-26-brooklyn-ny-11211/1839091376449906409/view?agent_id=610d3f3370540700019b0833","274 South 2nd Street, Unit 26")</f>
        <v>274 South 2nd Street, Unit 26</v>
      </c>
      <c r="C232" s="25" t="s">
        <v>22</v>
      </c>
      <c r="D232" s="26" t="s">
        <v>23</v>
      </c>
      <c r="E232" s="27" t="str">
        <f>HYPERLINK("https://www.compass.com/building/274-s-2nd-st-brooklyn-ny-11211/282401779356868021/","274 S 2nd St")</f>
        <v>274 S 2nd St</v>
      </c>
      <c r="F232" s="25" t="s">
        <v>46</v>
      </c>
      <c r="G232" s="28">
        <v>410000.0</v>
      </c>
      <c r="H232" s="29"/>
      <c r="I232" s="28">
        <v>922.0</v>
      </c>
      <c r="J232" s="28">
        <v>0.0</v>
      </c>
      <c r="K232" s="25" t="s">
        <v>25</v>
      </c>
      <c r="L232" s="26">
        <v>4.0</v>
      </c>
      <c r="M232" s="26">
        <v>2.0</v>
      </c>
      <c r="N232" s="26">
        <v>1.0</v>
      </c>
      <c r="O232" s="30"/>
      <c r="P232" s="26">
        <v>0.0</v>
      </c>
      <c r="Q232" s="35">
        <v>76.0</v>
      </c>
      <c r="R232" s="32">
        <v>45789.0</v>
      </c>
      <c r="S232" s="32">
        <v>45787.0</v>
      </c>
      <c r="T232" s="29"/>
      <c r="U232" s="33"/>
      <c r="V232" s="1"/>
    </row>
    <row r="233" ht="24.0" customHeight="1">
      <c r="A233" s="1"/>
      <c r="B233" s="24" t="str">
        <f>HYPERLINK("https://www.compass.com/listing/80-winthrop-street-unit-l1-brooklyn-ny-11225/1890308278792605625/view?agent_id=610d3f3370540700019b0833","80 Winthrop Street, Unit L1")</f>
        <v>80 Winthrop Street, Unit L1</v>
      </c>
      <c r="C233" s="25" t="s">
        <v>22</v>
      </c>
      <c r="D233" s="26" t="s">
        <v>23</v>
      </c>
      <c r="E233" s="27" t="str">
        <f>HYPERLINK("https://www.compass.com/building/80-winthrop-st-brooklyn-ny-11225/293527272898484565/","80 Winthrop St")</f>
        <v>80 Winthrop St</v>
      </c>
      <c r="F233" s="25" t="s">
        <v>108</v>
      </c>
      <c r="G233" s="28">
        <v>630000.0</v>
      </c>
      <c r="H233" s="29"/>
      <c r="I233" s="28">
        <v>1504.0</v>
      </c>
      <c r="J233" s="28">
        <v>0.0</v>
      </c>
      <c r="K233" s="25" t="s">
        <v>25</v>
      </c>
      <c r="L233" s="26">
        <v>4.0</v>
      </c>
      <c r="M233" s="26">
        <v>2.0</v>
      </c>
      <c r="N233" s="26">
        <v>1.0</v>
      </c>
      <c r="O233" s="26">
        <v>0.0</v>
      </c>
      <c r="P233" s="30"/>
      <c r="Q233" s="35">
        <v>4.0</v>
      </c>
      <c r="R233" s="32">
        <v>45861.0</v>
      </c>
      <c r="S233" s="32">
        <v>45859.0</v>
      </c>
      <c r="T233" s="29"/>
      <c r="U233" s="33"/>
      <c r="V233" s="1"/>
    </row>
    <row r="234" ht="24.0" customHeight="1">
      <c r="A234" s="1"/>
      <c r="B234" s="24" t="str">
        <f>HYPERLINK("https://www.compass.com/listing/600-west-115th-street-unit-84-manhattan-ny-10025/1887106350416165145/view?agent_id=610d3f3370540700019b0833","600 West 115th Street, Unit 84")</f>
        <v>600 West 115th Street, Unit 84</v>
      </c>
      <c r="C234" s="25" t="s">
        <v>22</v>
      </c>
      <c r="D234" s="26" t="s">
        <v>23</v>
      </c>
      <c r="E234" s="27" t="str">
        <f>HYPERLINK("https://www.compass.com/building/the-luxor-manhattan-ny/292878070849825413/","The Luxor")</f>
        <v>The Luxor</v>
      </c>
      <c r="F234" s="25" t="s">
        <v>41</v>
      </c>
      <c r="G234" s="28">
        <v>1395000.0</v>
      </c>
      <c r="H234" s="28">
        <v>1073.0</v>
      </c>
      <c r="I234" s="28">
        <v>2200.0</v>
      </c>
      <c r="J234" s="28">
        <v>0.0</v>
      </c>
      <c r="K234" s="25" t="s">
        <v>25</v>
      </c>
      <c r="L234" s="26">
        <v>6.0</v>
      </c>
      <c r="M234" s="26">
        <v>2.0</v>
      </c>
      <c r="N234" s="26">
        <v>1.0</v>
      </c>
      <c r="O234" s="26">
        <v>0.0</v>
      </c>
      <c r="P234" s="34">
        <v>1300.0</v>
      </c>
      <c r="Q234" s="35">
        <v>8.0</v>
      </c>
      <c r="R234" s="32">
        <v>45863.0</v>
      </c>
      <c r="S234" s="32">
        <v>45855.0</v>
      </c>
      <c r="T234" s="29"/>
      <c r="U234" s="33"/>
      <c r="V234" s="1"/>
    </row>
    <row r="235" ht="24.0" customHeight="1">
      <c r="A235" s="1"/>
      <c r="B235" s="24" t="str">
        <f>HYPERLINK("https://www.compass.com/listing/315-east-56th-street-unit-5g-manhattan-ny-10022/1885313378745532673/view?agent_id=610d3f3370540700019b0833","315 East 56th Street, Unit 5G")</f>
        <v>315 East 56th Street, Unit 5G</v>
      </c>
      <c r="C235" s="25" t="s">
        <v>22</v>
      </c>
      <c r="D235" s="26" t="s">
        <v>23</v>
      </c>
      <c r="E235" s="27" t="str">
        <f>HYPERLINK("https://www.compass.com/building/315-e-56th-st-manhattan-ny-10022/281953829535158789/","315 E 56th St")</f>
        <v>315 E 56th St</v>
      </c>
      <c r="F235" s="25" t="s">
        <v>73</v>
      </c>
      <c r="G235" s="28">
        <v>515000.0</v>
      </c>
      <c r="H235" s="29"/>
      <c r="I235" s="28">
        <v>1877.0</v>
      </c>
      <c r="J235" s="28">
        <v>0.0</v>
      </c>
      <c r="K235" s="25" t="s">
        <v>25</v>
      </c>
      <c r="L235" s="26">
        <v>4.0</v>
      </c>
      <c r="M235" s="26">
        <v>2.0</v>
      </c>
      <c r="N235" s="26">
        <v>1.0</v>
      </c>
      <c r="O235" s="30"/>
      <c r="P235" s="26">
        <v>0.0</v>
      </c>
      <c r="Q235" s="35">
        <v>11.0</v>
      </c>
      <c r="R235" s="32">
        <v>45853.0</v>
      </c>
      <c r="S235" s="32">
        <v>45852.0</v>
      </c>
      <c r="T235" s="29"/>
      <c r="U235" s="33"/>
      <c r="V235" s="1"/>
    </row>
    <row r="236" ht="24.0" customHeight="1">
      <c r="A236" s="1"/>
      <c r="B236" s="24" t="str">
        <f>HYPERLINK("https://www.compass.com/listing/327-east-3rd-street-unit-2a-manhattan-ny-10009/1860333526381142697/view?agent_id=610d3f3370540700019b0833","327 East 3rd Street, Unit 2A")</f>
        <v>327 East 3rd Street, Unit 2A</v>
      </c>
      <c r="C236" s="25" t="s">
        <v>22</v>
      </c>
      <c r="D236" s="26" t="s">
        <v>23</v>
      </c>
      <c r="E236" s="27" t="str">
        <f>HYPERLINK("https://www.compass.com/building/327-e-3rd-st-manhattan-ny-10009/281899616352350661/","327 E 3rd St")</f>
        <v>327 E 3rd St</v>
      </c>
      <c r="F236" s="25" t="s">
        <v>24</v>
      </c>
      <c r="G236" s="28">
        <v>649500.0</v>
      </c>
      <c r="H236" s="29"/>
      <c r="I236" s="28">
        <v>416.0</v>
      </c>
      <c r="J236" s="29"/>
      <c r="K236" s="25" t="s">
        <v>25</v>
      </c>
      <c r="L236" s="26">
        <v>5.0</v>
      </c>
      <c r="M236" s="26">
        <v>2.0</v>
      </c>
      <c r="N236" s="26">
        <v>1.0</v>
      </c>
      <c r="O236" s="30"/>
      <c r="P236" s="30"/>
      <c r="Q236" s="35">
        <v>45.0</v>
      </c>
      <c r="R236" s="32">
        <v>45858.0</v>
      </c>
      <c r="S236" s="32">
        <v>45818.0</v>
      </c>
      <c r="T236" s="29"/>
      <c r="U236" s="33"/>
      <c r="V236" s="1"/>
    </row>
    <row r="237" ht="24.0" customHeight="1">
      <c r="A237" s="1"/>
      <c r="B237" s="24" t="str">
        <f>HYPERLINK("https://www.compass.com/listing/3-east-71st-street-unit-11e-manhattan-ny-10021/1859973937006043833/view?agent_id=610d3f3370540700019b0833","3 East 71st Street, Unit 11E")</f>
        <v>3 East 71st Street, Unit 11E</v>
      </c>
      <c r="C237" s="25" t="s">
        <v>22</v>
      </c>
      <c r="D237" s="26" t="s">
        <v>23</v>
      </c>
      <c r="E237" s="27" t="str">
        <f>HYPERLINK("https://www.compass.com/building/3-e-71st-st-manhattan-ny-10021/281950010604586229/","3 E 71st St")</f>
        <v>3 E 71st St</v>
      </c>
      <c r="F237" s="25" t="s">
        <v>64</v>
      </c>
      <c r="G237" s="28">
        <v>1850000.0</v>
      </c>
      <c r="H237" s="29"/>
      <c r="I237" s="28">
        <v>3907.0</v>
      </c>
      <c r="J237" s="28">
        <v>0.0</v>
      </c>
      <c r="K237" s="25" t="s">
        <v>25</v>
      </c>
      <c r="L237" s="26">
        <v>4.0</v>
      </c>
      <c r="M237" s="26">
        <v>2.0</v>
      </c>
      <c r="N237" s="26">
        <v>1.0</v>
      </c>
      <c r="O237" s="30"/>
      <c r="P237" s="26">
        <v>0.0</v>
      </c>
      <c r="Q237" s="35">
        <v>46.0</v>
      </c>
      <c r="R237" s="32">
        <v>45818.0</v>
      </c>
      <c r="S237" s="32">
        <v>45817.0</v>
      </c>
      <c r="T237" s="29"/>
      <c r="U237" s="33"/>
      <c r="V237" s="1"/>
    </row>
    <row r="238" ht="24.0" customHeight="1">
      <c r="A238" s="1"/>
      <c r="B238" s="24" t="str">
        <f>HYPERLINK("https://www.compass.com/listing/571-macdonough-street-unit-2-brooklyn-ny-11233/1854293252228455417/view?agent_id=610d3f3370540700019b0833","571 MacDonough Street, Unit 2")</f>
        <v>571 MacDonough Street, Unit 2</v>
      </c>
      <c r="C238" s="25" t="s">
        <v>22</v>
      </c>
      <c r="D238" s="26" t="s">
        <v>23</v>
      </c>
      <c r="E238" s="27" t="str">
        <f>HYPERLINK("https://www.compass.com/building/571-macdonough-st-brooklyn-ny-11233/307439508643233637/","571 Macdonough St")</f>
        <v>571 Macdonough St</v>
      </c>
      <c r="F238" s="25" t="s">
        <v>51</v>
      </c>
      <c r="G238" s="28">
        <v>749000.0</v>
      </c>
      <c r="H238" s="28">
        <v>955.0</v>
      </c>
      <c r="I238" s="28">
        <v>560.0</v>
      </c>
      <c r="J238" s="28">
        <v>1872.0</v>
      </c>
      <c r="K238" s="25" t="s">
        <v>28</v>
      </c>
      <c r="L238" s="26">
        <v>4.0</v>
      </c>
      <c r="M238" s="26">
        <v>2.0</v>
      </c>
      <c r="N238" s="26">
        <v>1.0</v>
      </c>
      <c r="O238" s="30"/>
      <c r="P238" s="26">
        <v>784.0</v>
      </c>
      <c r="Q238" s="35">
        <v>55.0</v>
      </c>
      <c r="R238" s="32">
        <v>45810.0</v>
      </c>
      <c r="S238" s="32">
        <v>45808.0</v>
      </c>
      <c r="T238" s="29"/>
      <c r="U238" s="33"/>
      <c r="V238" s="1"/>
    </row>
    <row r="239" ht="24.0" customHeight="1">
      <c r="A239" s="1"/>
      <c r="B239" s="24" t="str">
        <f>HYPERLINK("https://www.compass.com/listing/708-washington-street-unit-5b-manhattan-ny-10014/1860704487916298793/view?agent_id=610d3f3370540700019b0833","708 Washington Street, Unit 5B")</f>
        <v>708 Washington Street, Unit 5B</v>
      </c>
      <c r="C239" s="25" t="s">
        <v>22</v>
      </c>
      <c r="D239" s="26" t="s">
        <v>23</v>
      </c>
      <c r="E239" s="27" t="str">
        <f>HYPERLINK("https://www.compass.com/building/west-village-houses-manhattan-ny/282064571903020069/","West Village Houses")</f>
        <v>West Village Houses</v>
      </c>
      <c r="F239" s="25" t="s">
        <v>26</v>
      </c>
      <c r="G239" s="28">
        <v>1195000.0</v>
      </c>
      <c r="H239" s="28">
        <v>1323.0</v>
      </c>
      <c r="I239" s="28">
        <v>1400.0</v>
      </c>
      <c r="J239" s="28">
        <v>0.0</v>
      </c>
      <c r="K239" s="25" t="s">
        <v>25</v>
      </c>
      <c r="L239" s="26">
        <v>4.0</v>
      </c>
      <c r="M239" s="26">
        <v>2.0</v>
      </c>
      <c r="N239" s="26">
        <v>1.0</v>
      </c>
      <c r="O239" s="26">
        <v>0.0</v>
      </c>
      <c r="P239" s="26">
        <v>903.0</v>
      </c>
      <c r="Q239" s="35">
        <v>43.0</v>
      </c>
      <c r="R239" s="32">
        <v>45834.0</v>
      </c>
      <c r="S239" s="32">
        <v>45820.0</v>
      </c>
      <c r="T239" s="29"/>
      <c r="U239" s="33"/>
      <c r="V239" s="1"/>
    </row>
    <row r="240" ht="24.0" customHeight="1">
      <c r="A240" s="1"/>
      <c r="B240" s="24" t="str">
        <f>HYPERLINK("https://www.compass.com/listing/571-macdonough-street-unit-3-brooklyn-ny-11233/1854291158515694129/view?agent_id=610d3f3370540700019b0833","571 MacDonough Street, Unit 3")</f>
        <v>571 MacDonough Street, Unit 3</v>
      </c>
      <c r="C240" s="25" t="s">
        <v>22</v>
      </c>
      <c r="D240" s="26" t="s">
        <v>23</v>
      </c>
      <c r="E240" s="27" t="str">
        <f>HYPERLINK("https://www.compass.com/building/571-macdonough-st-brooklyn-ny-11233/307439508643233637/","571 Macdonough St")</f>
        <v>571 Macdonough St</v>
      </c>
      <c r="F240" s="25" t="s">
        <v>51</v>
      </c>
      <c r="G240" s="28">
        <v>699000.0</v>
      </c>
      <c r="H240" s="28">
        <v>926.0</v>
      </c>
      <c r="I240" s="28">
        <v>1013.0</v>
      </c>
      <c r="J240" s="28">
        <v>3384.0</v>
      </c>
      <c r="K240" s="25" t="s">
        <v>28</v>
      </c>
      <c r="L240" s="26">
        <v>4.0</v>
      </c>
      <c r="M240" s="26">
        <v>2.0</v>
      </c>
      <c r="N240" s="26">
        <v>1.0</v>
      </c>
      <c r="O240" s="30"/>
      <c r="P240" s="26">
        <v>755.0</v>
      </c>
      <c r="Q240" s="35">
        <v>55.0</v>
      </c>
      <c r="R240" s="32">
        <v>45810.0</v>
      </c>
      <c r="S240" s="32">
        <v>45808.0</v>
      </c>
      <c r="T240" s="29"/>
      <c r="U240" s="33"/>
      <c r="V240" s="1"/>
    </row>
    <row r="241" ht="24.0" customHeight="1">
      <c r="A241" s="1"/>
      <c r="B241" s="24" t="str">
        <f>HYPERLINK("https://www.compass.com/listing/638-washington-street-unit-2b-manhattan-ny-10014/1857498063149455449/view?agent_id=610d3f3370540700019b0833","638 Washington Street, Unit 2B")</f>
        <v>638 Washington Street, Unit 2B</v>
      </c>
      <c r="C241" s="25" t="s">
        <v>22</v>
      </c>
      <c r="D241" s="26" t="s">
        <v>23</v>
      </c>
      <c r="E241" s="27" t="str">
        <f>HYPERLINK("https://www.compass.com/building/west-village-houses-manhattan-ny/282064438515764165/","West Village Houses")</f>
        <v>West Village Houses</v>
      </c>
      <c r="F241" s="25" t="s">
        <v>26</v>
      </c>
      <c r="G241" s="28">
        <v>1095000.0</v>
      </c>
      <c r="H241" s="29"/>
      <c r="I241" s="28">
        <v>1258.0</v>
      </c>
      <c r="J241" s="28">
        <v>0.0</v>
      </c>
      <c r="K241" s="25" t="s">
        <v>25</v>
      </c>
      <c r="L241" s="26">
        <v>4.0</v>
      </c>
      <c r="M241" s="26">
        <v>2.0</v>
      </c>
      <c r="N241" s="26">
        <v>1.0</v>
      </c>
      <c r="O241" s="26">
        <v>0.0</v>
      </c>
      <c r="P241" s="30"/>
      <c r="Q241" s="35">
        <v>49.0</v>
      </c>
      <c r="R241" s="32">
        <v>45858.0</v>
      </c>
      <c r="S241" s="32">
        <v>45814.0</v>
      </c>
      <c r="T241" s="29"/>
      <c r="U241" s="33"/>
      <c r="V241" s="1"/>
    </row>
    <row r="242" ht="24.0" customHeight="1">
      <c r="A242" s="1"/>
      <c r="B242" s="24" t="str">
        <f>HYPERLINK("https://www.compass.com/listing/70-la-salle-street-unit-8b-manhattan-ny-10027/1891784077539585665/view?agent_id=610d3f3370540700019b0833","70 La Salle Street, Unit 8B")</f>
        <v>70 La Salle Street, Unit 8B</v>
      </c>
      <c r="C242" s="25" t="s">
        <v>22</v>
      </c>
      <c r="D242" s="26" t="s">
        <v>23</v>
      </c>
      <c r="E242" s="27" t="str">
        <f>HYPERLINK("https://www.compass.com/building/morningside-gardens-manhattan-ny/282060710542869237/","Morningside Gardens")</f>
        <v>Morningside Gardens</v>
      </c>
      <c r="F242" s="25" t="s">
        <v>41</v>
      </c>
      <c r="G242" s="28">
        <v>610000.0</v>
      </c>
      <c r="H242" s="29"/>
      <c r="I242" s="28">
        <v>1478.0</v>
      </c>
      <c r="J242" s="28">
        <v>0.0</v>
      </c>
      <c r="K242" s="25" t="s">
        <v>25</v>
      </c>
      <c r="L242" s="26">
        <v>4.0</v>
      </c>
      <c r="M242" s="26">
        <v>2.0</v>
      </c>
      <c r="N242" s="26">
        <v>1.0</v>
      </c>
      <c r="O242" s="26">
        <v>0.0</v>
      </c>
      <c r="P242" s="30"/>
      <c r="Q242" s="35">
        <v>2.0</v>
      </c>
      <c r="R242" s="32">
        <v>45862.0</v>
      </c>
      <c r="S242" s="32">
        <v>45861.0</v>
      </c>
      <c r="T242" s="29"/>
      <c r="U242" s="33"/>
      <c r="V242" s="1"/>
    </row>
    <row r="243" ht="24.0" customHeight="1">
      <c r="A243" s="1"/>
      <c r="B243" s="24" t="str">
        <f>HYPERLINK("https://www.compass.com/listing/215-park-row-unit-6h-manhattan-ny-10038/1891849351446120993/view?agent_id=610d3f3370540700019b0833","215 Park Row, Unit 6H")</f>
        <v>215 Park Row, Unit 6H</v>
      </c>
      <c r="C243" s="25" t="s">
        <v>22</v>
      </c>
      <c r="D243" s="26" t="s">
        <v>23</v>
      </c>
      <c r="E243" s="27" t="str">
        <f>HYPERLINK("https://www.compass.com/building/215-park-row-manhattan-ny-10038/282066515946150821/","215 Park Row")</f>
        <v>215 Park Row</v>
      </c>
      <c r="F243" s="25" t="s">
        <v>109</v>
      </c>
      <c r="G243" s="28">
        <v>915000.0</v>
      </c>
      <c r="H243" s="28">
        <v>832.0</v>
      </c>
      <c r="I243" s="28">
        <v>1410.0</v>
      </c>
      <c r="J243" s="28">
        <v>0.0</v>
      </c>
      <c r="K243" s="25" t="s">
        <v>25</v>
      </c>
      <c r="L243" s="26">
        <v>4.0</v>
      </c>
      <c r="M243" s="26">
        <v>2.0</v>
      </c>
      <c r="N243" s="26">
        <v>1.0</v>
      </c>
      <c r="O243" s="30"/>
      <c r="P243" s="34">
        <v>1100.0</v>
      </c>
      <c r="Q243" s="35">
        <v>2.0</v>
      </c>
      <c r="R243" s="32">
        <v>45862.0</v>
      </c>
      <c r="S243" s="32">
        <v>45861.0</v>
      </c>
      <c r="T243" s="29"/>
      <c r="U243" s="33"/>
      <c r="V243" s="1"/>
    </row>
    <row r="244" ht="24.0" customHeight="1">
      <c r="A244" s="1"/>
      <c r="B244" s="24" t="str">
        <f>HYPERLINK("https://www.compass.com/listing/25-5th-avenue-unit-14b-manhattan-ny-10003/1859761127239702249/view?agent_id=610d3f3370540700019b0833","25 5th Avenue, Unit 14B")</f>
        <v>25 5th Avenue, Unit 14B</v>
      </c>
      <c r="C244" s="25" t="s">
        <v>22</v>
      </c>
      <c r="D244" s="26" t="s">
        <v>23</v>
      </c>
      <c r="E244" s="27" t="str">
        <f>HYPERLINK("https://www.compass.com/building/25-5th-ave-manhattan-ny-10003/293532429275211765/","25 5th Ave")</f>
        <v>25 5th Ave</v>
      </c>
      <c r="F244" s="25" t="s">
        <v>43</v>
      </c>
      <c r="G244" s="28">
        <v>2750000.0</v>
      </c>
      <c r="H244" s="29"/>
      <c r="I244" s="28">
        <v>2452.0</v>
      </c>
      <c r="J244" s="28">
        <v>12120.0</v>
      </c>
      <c r="K244" s="25" t="s">
        <v>28</v>
      </c>
      <c r="L244" s="26">
        <v>5.0</v>
      </c>
      <c r="M244" s="26">
        <v>2.0</v>
      </c>
      <c r="N244" s="26">
        <v>1.0</v>
      </c>
      <c r="O244" s="26">
        <v>0.0</v>
      </c>
      <c r="P244" s="30"/>
      <c r="Q244" s="35">
        <v>46.0</v>
      </c>
      <c r="R244" s="32">
        <v>45825.0</v>
      </c>
      <c r="S244" s="32">
        <v>45817.0</v>
      </c>
      <c r="T244" s="29"/>
      <c r="U244" s="33"/>
      <c r="V244" s="1"/>
    </row>
    <row r="245" ht="24.0" customHeight="1">
      <c r="A245" s="1"/>
      <c r="B245" s="24" t="str">
        <f>HYPERLINK("https://www.compass.com/listing/90-beekman-street-unit-7b-manhattan-ny-10038/1888950201032284841/view?agent_id=610d3f3370540700019b0833","90 Beekman Street, Unit 7B")</f>
        <v>90 Beekman Street, Unit 7B</v>
      </c>
      <c r="C245" s="25" t="s">
        <v>22</v>
      </c>
      <c r="D245" s="26" t="s">
        <v>23</v>
      </c>
      <c r="E245" s="27" t="str">
        <f>HYPERLINK("https://www.compass.com/building/southbridge-towers-manhattan-ny/282060751747713669/","Southbridge Towers")</f>
        <v>Southbridge Towers</v>
      </c>
      <c r="F245" s="25" t="s">
        <v>80</v>
      </c>
      <c r="G245" s="28">
        <v>899000.0</v>
      </c>
      <c r="H245" s="28">
        <v>1022.0</v>
      </c>
      <c r="I245" s="28">
        <v>709.0</v>
      </c>
      <c r="J245" s="29"/>
      <c r="K245" s="25" t="s">
        <v>25</v>
      </c>
      <c r="L245" s="26">
        <v>5.0</v>
      </c>
      <c r="M245" s="26">
        <v>2.0</v>
      </c>
      <c r="N245" s="26">
        <v>1.0</v>
      </c>
      <c r="O245" s="30"/>
      <c r="P245" s="26">
        <v>880.0</v>
      </c>
      <c r="Q245" s="35">
        <v>5.0</v>
      </c>
      <c r="R245" s="32">
        <v>45859.0</v>
      </c>
      <c r="S245" s="32">
        <v>45858.0</v>
      </c>
      <c r="T245" s="29"/>
      <c r="U245" s="33"/>
      <c r="V245" s="1"/>
    </row>
    <row r="246" ht="24.0" customHeight="1">
      <c r="A246" s="1"/>
      <c r="B246" s="24" t="str">
        <f>HYPERLINK("https://www.compass.com/listing/303-west-122nd-street-unit-45-manhattan-ny-10027/1890666599366173905/view?agent_id=610d3f3370540700019b0833","303 West 122nd Street, Unit 45")</f>
        <v>303 West 122nd Street, Unit 45</v>
      </c>
      <c r="C246" s="25" t="s">
        <v>22</v>
      </c>
      <c r="D246" s="26" t="s">
        <v>23</v>
      </c>
      <c r="E246" s="27" t="str">
        <f>HYPERLINK("https://www.compass.com/building/303-w-122nd-st-manhattan-ny-10027/281981477179197669/","303 W 122nd St")</f>
        <v>303 W 122nd St</v>
      </c>
      <c r="F246" s="25" t="s">
        <v>45</v>
      </c>
      <c r="G246" s="28">
        <v>469000.0</v>
      </c>
      <c r="H246" s="29"/>
      <c r="I246" s="28">
        <v>1082.0</v>
      </c>
      <c r="J246" s="28">
        <v>0.0</v>
      </c>
      <c r="K246" s="25" t="s">
        <v>25</v>
      </c>
      <c r="L246" s="26">
        <v>5.0</v>
      </c>
      <c r="M246" s="26">
        <v>2.0</v>
      </c>
      <c r="N246" s="26">
        <v>1.0</v>
      </c>
      <c r="O246" s="26">
        <v>0.0</v>
      </c>
      <c r="P246" s="30"/>
      <c r="Q246" s="35">
        <v>3.0</v>
      </c>
      <c r="R246" s="32">
        <v>45863.0</v>
      </c>
      <c r="S246" s="32">
        <v>45860.0</v>
      </c>
      <c r="T246" s="29"/>
      <c r="U246" s="33"/>
      <c r="V246" s="1"/>
    </row>
    <row r="247" ht="24.0" customHeight="1">
      <c r="A247" s="1"/>
      <c r="B247" s="24" t="str">
        <f>HYPERLINK("https://www.compass.com/listing/153-south-4th-street-unit-3-brooklyn-ny-11211/1794095158093160801/view?agent_id=610d3f3370540700019b0833","153 South 4th Street, Unit 3")</f>
        <v>153 South 4th Street, Unit 3</v>
      </c>
      <c r="C247" s="25" t="s">
        <v>22</v>
      </c>
      <c r="D247" s="26" t="s">
        <v>23</v>
      </c>
      <c r="E247" s="27" t="str">
        <f>HYPERLINK("https://www.compass.com/building/153-s-4th-st-brooklyn-ny-11211/282397177349735605/","153 S 4th St")</f>
        <v>153 S 4th St</v>
      </c>
      <c r="F247" s="25" t="s">
        <v>46</v>
      </c>
      <c r="G247" s="28">
        <v>535000.0</v>
      </c>
      <c r="H247" s="29"/>
      <c r="I247" s="28">
        <v>525.0</v>
      </c>
      <c r="J247" s="28">
        <v>0.0</v>
      </c>
      <c r="K247" s="25" t="s">
        <v>25</v>
      </c>
      <c r="L247" s="26">
        <v>6.0</v>
      </c>
      <c r="M247" s="26">
        <v>2.0</v>
      </c>
      <c r="N247" s="26">
        <v>1.0</v>
      </c>
      <c r="O247" s="30"/>
      <c r="P247" s="30"/>
      <c r="Q247" s="35">
        <v>137.0</v>
      </c>
      <c r="R247" s="32">
        <v>45727.0</v>
      </c>
      <c r="S247" s="32">
        <v>45726.0</v>
      </c>
      <c r="T247" s="29"/>
      <c r="U247" s="33"/>
      <c r="V247" s="1"/>
    </row>
    <row r="248" ht="24.0" customHeight="1">
      <c r="A248" s="1"/>
      <c r="B248" s="24" t="str">
        <f>HYPERLINK("https://www.compass.com/listing/210-thompson-street-unit-4bn-manhattan-ny-10012/1727642443285160393/view?agent_id=610d3f3370540700019b0833","210 Thompson Street, Unit 4BN")</f>
        <v>210 Thompson Street, Unit 4BN</v>
      </c>
      <c r="C248" s="25" t="s">
        <v>22</v>
      </c>
      <c r="D248" s="26" t="s">
        <v>23</v>
      </c>
      <c r="E248" s="27" t="str">
        <f>HYPERLINK("https://www.compass.com/building/210-thompson-st-manhattan-ny-10012/282064343934209477/","210 Thompson St")</f>
        <v>210 Thompson St</v>
      </c>
      <c r="F248" s="25" t="s">
        <v>43</v>
      </c>
      <c r="G248" s="28">
        <v>744000.0</v>
      </c>
      <c r="H248" s="29"/>
      <c r="I248" s="28">
        <v>1600.0</v>
      </c>
      <c r="J248" s="28">
        <v>0.0</v>
      </c>
      <c r="K248" s="25" t="s">
        <v>110</v>
      </c>
      <c r="L248" s="26">
        <v>3.0</v>
      </c>
      <c r="M248" s="26">
        <v>2.0</v>
      </c>
      <c r="N248" s="26">
        <v>1.0</v>
      </c>
      <c r="O248" s="26">
        <v>0.0</v>
      </c>
      <c r="P248" s="30"/>
      <c r="Q248" s="35">
        <v>228.0</v>
      </c>
      <c r="R248" s="32">
        <v>45749.0</v>
      </c>
      <c r="S248" s="32">
        <v>45635.0</v>
      </c>
      <c r="T248" s="29"/>
      <c r="U248" s="33"/>
      <c r="V248" s="1"/>
    </row>
    <row r="249" ht="24.0" customHeight="1">
      <c r="A249" s="1"/>
      <c r="B249" s="24" t="str">
        <f>HYPERLINK("https://www.compass.com/listing/401-east-74th-street-unit-16e-manhattan-ny-10021/1879843446932793537/view?agent_id=610d3f3370540700019b0833","401 East 74th Street, Unit 16E")</f>
        <v>401 East 74th Street, Unit 16E</v>
      </c>
      <c r="C249" s="25" t="s">
        <v>22</v>
      </c>
      <c r="D249" s="26" t="s">
        <v>23</v>
      </c>
      <c r="E249" s="27" t="str">
        <f>HYPERLINK("https://www.compass.com/building/the-amherst-manhattan-ny/281950960136292373/","The Amherst")</f>
        <v>The Amherst</v>
      </c>
      <c r="F249" s="25" t="s">
        <v>64</v>
      </c>
      <c r="G249" s="28">
        <v>949000.0</v>
      </c>
      <c r="H249" s="29"/>
      <c r="I249" s="28">
        <v>2113.0</v>
      </c>
      <c r="J249" s="28">
        <v>0.0</v>
      </c>
      <c r="K249" s="25" t="s">
        <v>25</v>
      </c>
      <c r="L249" s="26">
        <v>4.0</v>
      </c>
      <c r="M249" s="26">
        <v>2.0</v>
      </c>
      <c r="N249" s="26">
        <v>1.0</v>
      </c>
      <c r="O249" s="26">
        <v>0.0</v>
      </c>
      <c r="P249" s="30"/>
      <c r="Q249" s="35">
        <v>18.0</v>
      </c>
      <c r="R249" s="32">
        <v>45858.0</v>
      </c>
      <c r="S249" s="32">
        <v>45845.0</v>
      </c>
      <c r="T249" s="29"/>
      <c r="U249" s="33"/>
      <c r="V249" s="1"/>
    </row>
    <row r="250" ht="24.0" customHeight="1">
      <c r="A250" s="1"/>
      <c r="B250" s="24" t="str">
        <f>HYPERLINK("https://www.compass.com/listing/139-east-30th-street-unit-1a-manhattan-ny-10016/1885078555702620601/view?agent_id=610d3f3370540700019b0833","139 East 30th Street, Unit 1A")</f>
        <v>139 East 30th Street, Unit 1A</v>
      </c>
      <c r="C250" s="25" t="s">
        <v>22</v>
      </c>
      <c r="D250" s="26" t="s">
        <v>23</v>
      </c>
      <c r="E250" s="27" t="str">
        <f>HYPERLINK("https://www.compass.com/building/139-e-30th-st-manhattan-ny-10016/281937385447544949/","139 E 30th St")</f>
        <v>139 E 30th St</v>
      </c>
      <c r="F250" s="25" t="s">
        <v>107</v>
      </c>
      <c r="G250" s="28">
        <v>625000.0</v>
      </c>
      <c r="H250" s="29"/>
      <c r="I250" s="28">
        <v>1516.0</v>
      </c>
      <c r="J250" s="28">
        <v>0.0</v>
      </c>
      <c r="K250" s="25" t="s">
        <v>25</v>
      </c>
      <c r="L250" s="26">
        <v>4.0</v>
      </c>
      <c r="M250" s="26">
        <v>2.0</v>
      </c>
      <c r="N250" s="26">
        <v>1.0</v>
      </c>
      <c r="O250" s="26">
        <v>0.0</v>
      </c>
      <c r="P250" s="30"/>
      <c r="Q250" s="35">
        <v>11.0</v>
      </c>
      <c r="R250" s="32">
        <v>45861.0</v>
      </c>
      <c r="S250" s="32">
        <v>45852.0</v>
      </c>
      <c r="T250" s="29"/>
      <c r="U250" s="33"/>
      <c r="V250" s="1"/>
    </row>
    <row r="251" ht="24.0" customHeight="1">
      <c r="A251" s="1"/>
      <c r="B251" s="24" t="str">
        <f>HYPERLINK("https://www.compass.com/listing/150-pinehurst-avenue-unit-e63-manhattan-ny-10033/1810838294070871953/view?agent_id=610d3f3370540700019b0833","150 Pinehurst Avenue, Unit E63")</f>
        <v>150 Pinehurst Avenue, Unit E63</v>
      </c>
      <c r="C251" s="25" t="s">
        <v>22</v>
      </c>
      <c r="D251" s="26" t="s">
        <v>23</v>
      </c>
      <c r="E251" s="27" t="str">
        <f>HYPERLINK("https://www.compass.com/building/150-pinehurst-ave-manhattan-ny-10033/282062575775027189/","150 Pinehurst Ave")</f>
        <v>150 Pinehurst Ave</v>
      </c>
      <c r="F251" s="25" t="s">
        <v>58</v>
      </c>
      <c r="G251" s="28">
        <v>810000.0</v>
      </c>
      <c r="H251" s="28">
        <v>697.0</v>
      </c>
      <c r="I251" s="28">
        <v>2184.0</v>
      </c>
      <c r="J251" s="28">
        <v>0.0</v>
      </c>
      <c r="K251" s="25" t="s">
        <v>25</v>
      </c>
      <c r="L251" s="26">
        <v>5.0</v>
      </c>
      <c r="M251" s="26">
        <v>2.0</v>
      </c>
      <c r="N251" s="26">
        <v>1.0</v>
      </c>
      <c r="O251" s="30"/>
      <c r="P251" s="34">
        <v>1162.0</v>
      </c>
      <c r="Q251" s="35">
        <v>114.0</v>
      </c>
      <c r="R251" s="32">
        <v>45750.0</v>
      </c>
      <c r="S251" s="32">
        <v>45749.0</v>
      </c>
      <c r="T251" s="29"/>
      <c r="U251" s="33"/>
      <c r="V251" s="1"/>
    </row>
    <row r="252" ht="24.0" customHeight="1">
      <c r="A252" s="1"/>
      <c r="B252" s="24" t="str">
        <f>HYPERLINK("https://www.compass.com/listing/736-west-186th-street-unit-6g-manhattan-ny-10033/1889671938006932097/view?agent_id=610d3f3370540700019b0833","736 West 186th Street, Unit 6G")</f>
        <v>736 West 186th Street, Unit 6G</v>
      </c>
      <c r="C252" s="25" t="s">
        <v>22</v>
      </c>
      <c r="D252" s="26" t="s">
        <v>23</v>
      </c>
      <c r="E252" s="27" t="str">
        <f>HYPERLINK("https://www.compass.com/building/736-w-186th-st-manhattan-ny-10033/282013745855596789/","736 W 186th St")</f>
        <v>736 W 186th St</v>
      </c>
      <c r="F252" s="25" t="s">
        <v>58</v>
      </c>
      <c r="G252" s="28">
        <v>599000.0</v>
      </c>
      <c r="H252" s="29"/>
      <c r="I252" s="28">
        <v>1257.0</v>
      </c>
      <c r="J252" s="28">
        <v>0.0</v>
      </c>
      <c r="K252" s="25" t="s">
        <v>25</v>
      </c>
      <c r="L252" s="26">
        <v>5.0</v>
      </c>
      <c r="M252" s="26">
        <v>2.0</v>
      </c>
      <c r="N252" s="26">
        <v>1.0</v>
      </c>
      <c r="O252" s="30"/>
      <c r="P252" s="26">
        <v>0.0</v>
      </c>
      <c r="Q252" s="35">
        <v>5.0</v>
      </c>
      <c r="R252" s="32">
        <v>45859.0</v>
      </c>
      <c r="S252" s="32">
        <v>45858.0</v>
      </c>
      <c r="T252" s="29"/>
      <c r="U252" s="33"/>
      <c r="V252" s="1"/>
    </row>
    <row r="253" ht="24.0" customHeight="1">
      <c r="A253" s="1"/>
      <c r="B253" s="24" t="str">
        <f>HYPERLINK("https://www.compass.com/listing/65-west-107th-street-unit-4a-manhattan-ny-10025/1861732625469221297/view?agent_id=610d3f3370540700019b0833","65 West 107th Street, Unit 4A")</f>
        <v>65 West 107th Street, Unit 4A</v>
      </c>
      <c r="C253" s="25" t="s">
        <v>22</v>
      </c>
      <c r="D253" s="26" t="s">
        <v>23</v>
      </c>
      <c r="E253" s="27" t="str">
        <f>HYPERLINK("https://www.compass.com/building/65-w-107th-st-manhattan-ny-10025/282066496291642261/","65 W 107th St")</f>
        <v>65 W 107th St</v>
      </c>
      <c r="F253" s="25" t="s">
        <v>29</v>
      </c>
      <c r="G253" s="28">
        <v>750000.0</v>
      </c>
      <c r="H253" s="28">
        <v>1220.0</v>
      </c>
      <c r="I253" s="28">
        <v>1609.0</v>
      </c>
      <c r="J253" s="28">
        <v>8004.0</v>
      </c>
      <c r="K253" s="25" t="s">
        <v>28</v>
      </c>
      <c r="L253" s="26">
        <v>4.0</v>
      </c>
      <c r="M253" s="26">
        <v>2.0</v>
      </c>
      <c r="N253" s="26">
        <v>1.0</v>
      </c>
      <c r="O253" s="26">
        <v>0.0</v>
      </c>
      <c r="P253" s="26">
        <v>615.0</v>
      </c>
      <c r="Q253" s="35">
        <v>43.0</v>
      </c>
      <c r="R253" s="32">
        <v>45854.0</v>
      </c>
      <c r="S253" s="32">
        <v>45820.0</v>
      </c>
      <c r="T253" s="29"/>
      <c r="U253" s="33"/>
      <c r="V253" s="1"/>
    </row>
    <row r="254" ht="24.0" customHeight="1">
      <c r="A254" s="1"/>
      <c r="B254" s="24" t="str">
        <f>HYPERLINK("https://www.compass.com/listing/230-park-place-unit-6n-brooklyn-ny-11238/1837683873027091025/view?agent_id=610d3f3370540700019b0833","230 Park Place, Unit 6N")</f>
        <v>230 Park Place, Unit 6N</v>
      </c>
      <c r="C254" s="25" t="s">
        <v>22</v>
      </c>
      <c r="D254" s="26" t="s">
        <v>23</v>
      </c>
      <c r="E254" s="27" t="str">
        <f>HYPERLINK("https://www.compass.com/building/230-park-pl-brooklyn-ny-11238/293424578309461125/","230 Park Pl")</f>
        <v>230 Park Pl</v>
      </c>
      <c r="F254" s="25" t="s">
        <v>39</v>
      </c>
      <c r="G254" s="28">
        <v>975000.0</v>
      </c>
      <c r="H254" s="28">
        <v>1026.0</v>
      </c>
      <c r="I254" s="28">
        <v>1861.0</v>
      </c>
      <c r="J254" s="28">
        <v>0.0</v>
      </c>
      <c r="K254" s="25" t="s">
        <v>25</v>
      </c>
      <c r="L254" s="26">
        <v>5.0</v>
      </c>
      <c r="M254" s="26">
        <v>2.0</v>
      </c>
      <c r="N254" s="26">
        <v>1.0</v>
      </c>
      <c r="O254" s="30"/>
      <c r="P254" s="26">
        <v>950.0</v>
      </c>
      <c r="Q254" s="35">
        <v>77.0</v>
      </c>
      <c r="R254" s="32">
        <v>45792.0</v>
      </c>
      <c r="S254" s="32">
        <v>45786.0</v>
      </c>
      <c r="T254" s="29"/>
      <c r="U254" s="33"/>
      <c r="V254" s="1"/>
    </row>
    <row r="255" ht="24.0" customHeight="1">
      <c r="A255" s="1"/>
      <c r="B255" s="24" t="str">
        <f>HYPERLINK("https://www.compass.com/listing/30-east-9th-street-unit-1d-manhattan-ny-10003/1748139501610178337/view?agent_id=610d3f3370540700019b0833","30 East 9th Street, Unit 1D")</f>
        <v>30 East 9th Street, Unit 1D</v>
      </c>
      <c r="C255" s="25" t="s">
        <v>22</v>
      </c>
      <c r="D255" s="26" t="s">
        <v>23</v>
      </c>
      <c r="E255" s="27" t="str">
        <f>HYPERLINK("https://www.compass.com/building/the-lafayette-manhattan-ny/292781948961564533/","The Lafayette")</f>
        <v>The Lafayette</v>
      </c>
      <c r="F255" s="25" t="s">
        <v>43</v>
      </c>
      <c r="G255" s="28">
        <v>999995.0</v>
      </c>
      <c r="H255" s="29"/>
      <c r="I255" s="28">
        <v>2124.0</v>
      </c>
      <c r="J255" s="28">
        <v>0.0</v>
      </c>
      <c r="K255" s="25" t="s">
        <v>25</v>
      </c>
      <c r="L255" s="26">
        <v>4.0</v>
      </c>
      <c r="M255" s="26">
        <v>2.0</v>
      </c>
      <c r="N255" s="26">
        <v>1.0</v>
      </c>
      <c r="O255" s="26">
        <v>0.0</v>
      </c>
      <c r="P255" s="30"/>
      <c r="Q255" s="35">
        <v>198.0</v>
      </c>
      <c r="R255" s="32">
        <v>45854.0</v>
      </c>
      <c r="S255" s="32">
        <v>45652.0</v>
      </c>
      <c r="T255" s="29"/>
      <c r="U255" s="33"/>
      <c r="V255" s="1"/>
    </row>
    <row r="256" ht="24.0" customHeight="1">
      <c r="A256" s="1"/>
      <c r="B256" s="24" t="str">
        <f>HYPERLINK("https://www.compass.com/listing/56-west-71st-street-unit-1b-manhattan-ny-10023/1850870415312619857/view?agent_id=610d3f3370540700019b0833","56 West 71st Street, Unit 1B")</f>
        <v>56 West 71st Street, Unit 1B</v>
      </c>
      <c r="C256" s="25" t="s">
        <v>22</v>
      </c>
      <c r="D256" s="26" t="s">
        <v>23</v>
      </c>
      <c r="E256" s="27" t="str">
        <f>HYPERLINK("https://www.compass.com/building/56-w-71st-st-manhattan-ny-10023/281961028445613429/","56 W 71st St")</f>
        <v>56 W 71st St</v>
      </c>
      <c r="F256" s="25" t="s">
        <v>29</v>
      </c>
      <c r="G256" s="28">
        <v>1550000.0</v>
      </c>
      <c r="H256" s="28">
        <v>1550.0</v>
      </c>
      <c r="I256" s="28">
        <v>2100.0</v>
      </c>
      <c r="J256" s="28">
        <v>0.0</v>
      </c>
      <c r="K256" s="25" t="s">
        <v>25</v>
      </c>
      <c r="L256" s="26">
        <v>4.0</v>
      </c>
      <c r="M256" s="26">
        <v>2.0</v>
      </c>
      <c r="N256" s="26">
        <v>1.0</v>
      </c>
      <c r="O256" s="26">
        <v>0.0</v>
      </c>
      <c r="P256" s="34">
        <v>1000.0</v>
      </c>
      <c r="Q256" s="35">
        <v>58.0</v>
      </c>
      <c r="R256" s="32">
        <v>45854.0</v>
      </c>
      <c r="S256" s="32">
        <v>45805.0</v>
      </c>
      <c r="T256" s="29"/>
      <c r="U256" s="33"/>
      <c r="V256" s="1"/>
    </row>
    <row r="257" ht="24.0" customHeight="1">
      <c r="A257" s="1"/>
      <c r="B257" s="24" t="str">
        <f>HYPERLINK("https://www.compass.com/listing/128-willow-street-unit-4f-brooklyn-ny-11201/1866860763154814193/view?agent_id=610d3f3370540700019b0833","128 Willow Street, Unit 4F")</f>
        <v>128 Willow Street, Unit 4F</v>
      </c>
      <c r="C257" s="25" t="s">
        <v>22</v>
      </c>
      <c r="D257" s="26" t="s">
        <v>23</v>
      </c>
      <c r="E257" s="27" t="str">
        <f>HYPERLINK("https://www.compass.com/building/128-willow-st-brooklyn-ny-11201/282503836738865141/","128 Willow St")</f>
        <v>128 Willow St</v>
      </c>
      <c r="F257" s="25" t="s">
        <v>52</v>
      </c>
      <c r="G257" s="28">
        <v>1195000.0</v>
      </c>
      <c r="H257" s="29"/>
      <c r="I257" s="28">
        <v>1914.0</v>
      </c>
      <c r="J257" s="28">
        <v>0.0</v>
      </c>
      <c r="K257" s="25" t="s">
        <v>25</v>
      </c>
      <c r="L257" s="26">
        <v>4.0</v>
      </c>
      <c r="M257" s="26">
        <v>2.0</v>
      </c>
      <c r="N257" s="26">
        <v>1.0</v>
      </c>
      <c r="O257" s="26">
        <v>0.0</v>
      </c>
      <c r="P257" s="30"/>
      <c r="Q257" s="35">
        <v>36.0</v>
      </c>
      <c r="R257" s="32">
        <v>45837.0</v>
      </c>
      <c r="S257" s="32">
        <v>45827.0</v>
      </c>
      <c r="T257" s="29"/>
      <c r="U257" s="33"/>
      <c r="V257" s="1"/>
    </row>
    <row r="258" ht="24.0" customHeight="1">
      <c r="A258" s="1"/>
      <c r="B258" s="24" t="str">
        <f>HYPERLINK("https://www.compass.com/listing/59-west-71st-street-unit-4d-manhattan-ny-10023/1850601980887988993/view?agent_id=610d3f3370540700019b0833","59 West 71st Street, Unit 4D")</f>
        <v>59 West 71st Street, Unit 4D</v>
      </c>
      <c r="C258" s="25" t="s">
        <v>22</v>
      </c>
      <c r="D258" s="26" t="s">
        <v>23</v>
      </c>
      <c r="E258" s="27" t="str">
        <f>HYPERLINK("https://www.compass.com/building/59-w-71st-st-manhattan-ny-10023/281961080698252741/","59 W 71st St")</f>
        <v>59 W 71st St</v>
      </c>
      <c r="F258" s="25" t="s">
        <v>29</v>
      </c>
      <c r="G258" s="28">
        <v>1495000.0</v>
      </c>
      <c r="H258" s="29"/>
      <c r="I258" s="28">
        <v>1650.0</v>
      </c>
      <c r="J258" s="28">
        <v>0.0</v>
      </c>
      <c r="K258" s="25" t="s">
        <v>25</v>
      </c>
      <c r="L258" s="26">
        <v>5.0</v>
      </c>
      <c r="M258" s="26">
        <v>2.0</v>
      </c>
      <c r="N258" s="26">
        <v>1.0</v>
      </c>
      <c r="O258" s="26">
        <v>0.0</v>
      </c>
      <c r="P258" s="26">
        <v>0.0</v>
      </c>
      <c r="Q258" s="35">
        <v>58.0</v>
      </c>
      <c r="R258" s="32">
        <v>45823.0</v>
      </c>
      <c r="S258" s="32">
        <v>45805.0</v>
      </c>
      <c r="T258" s="29"/>
      <c r="U258" s="33"/>
      <c r="V258" s="1"/>
    </row>
    <row r="259" ht="24.0" customHeight="1">
      <c r="A259" s="1"/>
      <c r="B259" s="24" t="str">
        <f>HYPERLINK("https://www.compass.com/listing/454-15th-street-unit-4l-brooklyn-ny-11215/1867020632977982641/view?agent_id=610d3f3370540700019b0833","454 15th Street, Unit 4L")</f>
        <v>454 15th Street, Unit 4L</v>
      </c>
      <c r="C259" s="25" t="s">
        <v>22</v>
      </c>
      <c r="D259" s="26" t="s">
        <v>23</v>
      </c>
      <c r="E259" s="27" t="str">
        <f>HYPERLINK("https://www.compass.com/building/454-15th-st-brooklyn-ny-11215/282498799765631093/","454 15th St")</f>
        <v>454 15th St</v>
      </c>
      <c r="F259" s="25" t="s">
        <v>40</v>
      </c>
      <c r="G259" s="28">
        <v>879000.0</v>
      </c>
      <c r="H259" s="28">
        <v>897.0</v>
      </c>
      <c r="I259" s="28">
        <v>740.0</v>
      </c>
      <c r="J259" s="28">
        <v>0.0</v>
      </c>
      <c r="K259" s="25" t="s">
        <v>25</v>
      </c>
      <c r="L259" s="26">
        <v>4.0</v>
      </c>
      <c r="M259" s="26">
        <v>2.0</v>
      </c>
      <c r="N259" s="26">
        <v>1.0</v>
      </c>
      <c r="O259" s="26">
        <v>0.0</v>
      </c>
      <c r="P259" s="26">
        <v>980.0</v>
      </c>
      <c r="Q259" s="35">
        <v>36.0</v>
      </c>
      <c r="R259" s="32">
        <v>45837.0</v>
      </c>
      <c r="S259" s="32">
        <v>45827.0</v>
      </c>
      <c r="T259" s="29"/>
      <c r="U259" s="33"/>
      <c r="V259" s="1"/>
    </row>
    <row r="260" ht="24.0" customHeight="1">
      <c r="A260" s="1"/>
      <c r="B260" s="24" t="str">
        <f>HYPERLINK("https://www.compass.com/listing/111-4th-avenue-unit-7i-manhattan-ny-10003/1791612286748490017/view?agent_id=610d3f3370540700019b0833","111 4th Avenue, Unit 7I")</f>
        <v>111 4th Avenue, Unit 7I</v>
      </c>
      <c r="C260" s="25" t="s">
        <v>22</v>
      </c>
      <c r="D260" s="26" t="s">
        <v>23</v>
      </c>
      <c r="E260" s="27" t="str">
        <f>HYPERLINK("https://www.compass.com/building/111-4th-ave-manhattan-ny-10003/281888963189278709/","111 4th Ave")</f>
        <v>111 4th Ave</v>
      </c>
      <c r="F260" s="25" t="s">
        <v>43</v>
      </c>
      <c r="G260" s="28">
        <v>1750000.0</v>
      </c>
      <c r="H260" s="29"/>
      <c r="I260" s="28">
        <v>2530.0</v>
      </c>
      <c r="J260" s="28">
        <v>0.0</v>
      </c>
      <c r="K260" s="25" t="s">
        <v>25</v>
      </c>
      <c r="L260" s="26">
        <v>4.0</v>
      </c>
      <c r="M260" s="26">
        <v>2.0</v>
      </c>
      <c r="N260" s="26">
        <v>1.0</v>
      </c>
      <c r="O260" s="26">
        <v>0.0</v>
      </c>
      <c r="P260" s="30"/>
      <c r="Q260" s="35">
        <v>140.0</v>
      </c>
      <c r="R260" s="32">
        <v>45837.0</v>
      </c>
      <c r="S260" s="32">
        <v>45723.0</v>
      </c>
      <c r="T260" s="29"/>
      <c r="U260" s="33"/>
      <c r="V260" s="1"/>
    </row>
    <row r="261" ht="24.0" customHeight="1">
      <c r="A261" s="1"/>
      <c r="B261" s="24" t="str">
        <f>HYPERLINK("https://www.compass.com/listing/35-west-9th-street-unit-1b-manhattan-ny-10011/1693561859497105409/view?agent_id=610d3f3370540700019b0833","35 West 9th Street, Unit 1B")</f>
        <v>35 West 9th Street, Unit 1B</v>
      </c>
      <c r="C261" s="25" t="s">
        <v>22</v>
      </c>
      <c r="D261" s="26" t="s">
        <v>23</v>
      </c>
      <c r="E261" s="27" t="str">
        <f>HYPERLINK("https://www.compass.com/building/35-w-9th-st-manhattan-ny-10011/281909497679602357/","35 W 9th St")</f>
        <v>35 W 9th St</v>
      </c>
      <c r="F261" s="25" t="s">
        <v>43</v>
      </c>
      <c r="G261" s="28">
        <v>900000.0</v>
      </c>
      <c r="H261" s="29"/>
      <c r="I261" s="28">
        <v>2831.0</v>
      </c>
      <c r="J261" s="28">
        <v>0.0</v>
      </c>
      <c r="K261" s="25" t="s">
        <v>25</v>
      </c>
      <c r="L261" s="26">
        <v>4.0</v>
      </c>
      <c r="M261" s="26">
        <v>2.0</v>
      </c>
      <c r="N261" s="26">
        <v>1.0</v>
      </c>
      <c r="O261" s="26">
        <v>0.0</v>
      </c>
      <c r="P261" s="30"/>
      <c r="Q261" s="35">
        <v>219.0</v>
      </c>
      <c r="R261" s="32">
        <v>45812.0</v>
      </c>
      <c r="S261" s="32">
        <v>45588.0</v>
      </c>
      <c r="T261" s="29"/>
      <c r="U261" s="33"/>
      <c r="V261" s="1"/>
    </row>
    <row r="262" ht="24.0" customHeight="1">
      <c r="A262" s="1"/>
      <c r="B262" s="24" t="str">
        <f>HYPERLINK("https://www.compass.com/listing/1485-prospect-place-unit-1-brooklyn-ny-11213/1889682499231062217/view?agent_id=610d3f3370540700019b0833","1485 Prospect Place, Unit 1")</f>
        <v>1485 Prospect Place, Unit 1</v>
      </c>
      <c r="C262" s="25" t="s">
        <v>22</v>
      </c>
      <c r="D262" s="26" t="s">
        <v>23</v>
      </c>
      <c r="E262" s="27" t="str">
        <f>HYPERLINK("https://www.compass.com/building/1485-prospect-pl-brooklyn-ny-11213/307457266588106261/","1485 Prospect Pl")</f>
        <v>1485 Prospect Pl</v>
      </c>
      <c r="F262" s="25" t="s">
        <v>111</v>
      </c>
      <c r="G262" s="28">
        <v>575000.0</v>
      </c>
      <c r="H262" s="28">
        <v>409.0</v>
      </c>
      <c r="I262" s="28">
        <v>528.0</v>
      </c>
      <c r="J262" s="28">
        <v>300.0</v>
      </c>
      <c r="K262" s="25" t="s">
        <v>28</v>
      </c>
      <c r="L262" s="26">
        <v>7.0</v>
      </c>
      <c r="M262" s="26">
        <v>2.0</v>
      </c>
      <c r="N262" s="26">
        <v>1.0</v>
      </c>
      <c r="O262" s="30"/>
      <c r="P262" s="34">
        <v>1406.0</v>
      </c>
      <c r="Q262" s="35">
        <v>5.0</v>
      </c>
      <c r="R262" s="32">
        <v>45859.0</v>
      </c>
      <c r="S262" s="32">
        <v>45858.0</v>
      </c>
      <c r="T262" s="29"/>
      <c r="U262" s="33"/>
      <c r="V262" s="1"/>
    </row>
    <row r="263" ht="24.0" customHeight="1">
      <c r="A263" s="1"/>
      <c r="B263" s="24" t="str">
        <f>HYPERLINK("https://www.compass.com/listing/229-east-4th-street-unit-3-manhattan-ny-10009/1836704114419243769/view?agent_id=610d3f3370540700019b0833","229 East 4th Street, Unit 3")</f>
        <v>229 East 4th Street, Unit 3</v>
      </c>
      <c r="C263" s="25" t="s">
        <v>22</v>
      </c>
      <c r="D263" s="26" t="s">
        <v>23</v>
      </c>
      <c r="E263" s="27" t="str">
        <f>HYPERLINK("https://www.compass.com/building/229-e-4th-st-manhattan-ny-10009/281898874983952453/","229 E 4th St")</f>
        <v>229 E 4th St</v>
      </c>
      <c r="F263" s="25" t="s">
        <v>24</v>
      </c>
      <c r="G263" s="28">
        <v>995000.0</v>
      </c>
      <c r="H263" s="29"/>
      <c r="I263" s="28">
        <v>1089.0</v>
      </c>
      <c r="J263" s="28">
        <v>0.0</v>
      </c>
      <c r="K263" s="25" t="s">
        <v>25</v>
      </c>
      <c r="L263" s="26">
        <v>5.0</v>
      </c>
      <c r="M263" s="26">
        <v>2.0</v>
      </c>
      <c r="N263" s="26">
        <v>1.0</v>
      </c>
      <c r="O263" s="26">
        <v>0.0</v>
      </c>
      <c r="P263" s="30"/>
      <c r="Q263" s="35">
        <v>78.0</v>
      </c>
      <c r="R263" s="32">
        <v>45859.0</v>
      </c>
      <c r="S263" s="32">
        <v>45785.0</v>
      </c>
      <c r="T263" s="29"/>
      <c r="U263" s="33"/>
      <c r="V263" s="1"/>
    </row>
    <row r="264" ht="24.0" customHeight="1">
      <c r="A264" s="1"/>
      <c r="B264" s="24" t="str">
        <f>HYPERLINK("https://www.compass.com/listing/62-west-87th-street-unit-1r-manhattan-ny-10024/1865949057360497721/view?agent_id=610d3f3370540700019b0833","62 West 87th Street, Unit 1R")</f>
        <v>62 West 87th Street, Unit 1R</v>
      </c>
      <c r="C264" s="25" t="s">
        <v>22</v>
      </c>
      <c r="D264" s="26" t="s">
        <v>23</v>
      </c>
      <c r="E264" s="27" t="str">
        <f>HYPERLINK("https://www.compass.com/building/62-w-87th-st-manhattan-ny-10024/281967769723946325/","62 W 87th St")</f>
        <v>62 W 87th St</v>
      </c>
      <c r="F264" s="25" t="s">
        <v>29</v>
      </c>
      <c r="G264" s="28">
        <v>900000.0</v>
      </c>
      <c r="H264" s="28">
        <v>1000.0</v>
      </c>
      <c r="I264" s="28">
        <v>2378.0</v>
      </c>
      <c r="J264" s="28">
        <v>0.0</v>
      </c>
      <c r="K264" s="25" t="s">
        <v>25</v>
      </c>
      <c r="L264" s="26">
        <v>5.0</v>
      </c>
      <c r="M264" s="26">
        <v>2.0</v>
      </c>
      <c r="N264" s="26">
        <v>1.0</v>
      </c>
      <c r="O264" s="26">
        <v>0.0</v>
      </c>
      <c r="P264" s="26">
        <v>900.0</v>
      </c>
      <c r="Q264" s="35">
        <v>37.0</v>
      </c>
      <c r="R264" s="32">
        <v>45833.0</v>
      </c>
      <c r="S264" s="32">
        <v>45826.0</v>
      </c>
      <c r="T264" s="29"/>
      <c r="U264" s="33"/>
      <c r="V264" s="1"/>
    </row>
    <row r="265" ht="24.0" customHeight="1">
      <c r="A265" s="1"/>
      <c r="B265" s="24" t="str">
        <f>HYPERLINK("https://www.compass.com/listing/310-lexington-avenue-unit-2d-manhattan-ny-10016/1887076433997178673/view?agent_id=610d3f3370540700019b0833","310 Lexington Avenue, Unit 2D")</f>
        <v>310 Lexington Avenue, Unit 2D</v>
      </c>
      <c r="C265" s="25" t="s">
        <v>22</v>
      </c>
      <c r="D265" s="26" t="s">
        <v>23</v>
      </c>
      <c r="E265" s="27" t="str">
        <f>HYPERLINK("https://www.compass.com/building/310-lexington-ave-manhattan-ny-10016/344163619740214629/","310 Lexington Ave")</f>
        <v>310 Lexington Ave</v>
      </c>
      <c r="F265" s="25" t="s">
        <v>72</v>
      </c>
      <c r="G265" s="28">
        <v>800000.0</v>
      </c>
      <c r="H265" s="29"/>
      <c r="I265" s="28">
        <v>1720.0</v>
      </c>
      <c r="J265" s="28">
        <v>0.0</v>
      </c>
      <c r="K265" s="25" t="s">
        <v>25</v>
      </c>
      <c r="L265" s="26">
        <v>4.0</v>
      </c>
      <c r="M265" s="26">
        <v>2.0</v>
      </c>
      <c r="N265" s="26">
        <v>1.0</v>
      </c>
      <c r="O265" s="26">
        <v>0.0</v>
      </c>
      <c r="P265" s="30"/>
      <c r="Q265" s="35">
        <v>8.0</v>
      </c>
      <c r="R265" s="32">
        <v>45856.0</v>
      </c>
      <c r="S265" s="32">
        <v>45855.0</v>
      </c>
      <c r="T265" s="29"/>
      <c r="U265" s="33"/>
      <c r="V265" s="1"/>
    </row>
    <row r="266" ht="24.0" customHeight="1">
      <c r="A266" s="1"/>
      <c r="B266" s="24" t="str">
        <f>HYPERLINK("https://www.compass.com/listing/298-12th-street-unit-4f-brooklyn-ny-11215/1866092047945036681/view?agent_id=610d3f3370540700019b0833","298 12th Street, Unit 4F")</f>
        <v>298 12th Street, Unit 4F</v>
      </c>
      <c r="C266" s="25" t="s">
        <v>22</v>
      </c>
      <c r="D266" s="26" t="s">
        <v>23</v>
      </c>
      <c r="E266" s="27" t="str">
        <f>HYPERLINK("https://www.compass.com/building/298-12th-st-brooklyn-ny-11215/282506481146876437/","298 12th St")</f>
        <v>298 12th St</v>
      </c>
      <c r="F266" s="25" t="s">
        <v>40</v>
      </c>
      <c r="G266" s="28">
        <v>845000.0</v>
      </c>
      <c r="H266" s="28">
        <v>1166.0</v>
      </c>
      <c r="I266" s="28">
        <v>765.0</v>
      </c>
      <c r="J266" s="28">
        <v>6792.0</v>
      </c>
      <c r="K266" s="25" t="s">
        <v>28</v>
      </c>
      <c r="L266" s="26">
        <v>3.0</v>
      </c>
      <c r="M266" s="26">
        <v>2.0</v>
      </c>
      <c r="N266" s="26">
        <v>1.0</v>
      </c>
      <c r="O266" s="26">
        <v>0.0</v>
      </c>
      <c r="P266" s="26">
        <v>725.0</v>
      </c>
      <c r="Q266" s="35">
        <v>37.0</v>
      </c>
      <c r="R266" s="32">
        <v>45856.0</v>
      </c>
      <c r="S266" s="32">
        <v>45826.0</v>
      </c>
      <c r="T266" s="29"/>
      <c r="U266" s="33"/>
      <c r="V266" s="1"/>
    </row>
    <row r="267" ht="24.0" customHeight="1">
      <c r="A267" s="1"/>
      <c r="B267" s="24" t="str">
        <f>HYPERLINK("https://www.compass.com/listing/353-west-11th-street-unit-2b-manhattan-ny-10014/1837264202939516225/view?agent_id=610d3f3370540700019b0833","353 West 11th Street, Unit 2B")</f>
        <v>353 West 11th Street, Unit 2B</v>
      </c>
      <c r="C267" s="25" t="s">
        <v>22</v>
      </c>
      <c r="D267" s="26" t="s">
        <v>23</v>
      </c>
      <c r="E267" s="27" t="str">
        <f>HYPERLINK("https://www.compass.com/building/west-village-houses-manhattan-ny/294844504607527829/","West Village Houses")</f>
        <v>West Village Houses</v>
      </c>
      <c r="F267" s="25" t="s">
        <v>26</v>
      </c>
      <c r="G267" s="28">
        <v>1150000.0</v>
      </c>
      <c r="H267" s="29"/>
      <c r="I267" s="28">
        <v>1387.0</v>
      </c>
      <c r="J267" s="28">
        <v>0.0</v>
      </c>
      <c r="K267" s="25" t="s">
        <v>25</v>
      </c>
      <c r="L267" s="26">
        <v>4.0</v>
      </c>
      <c r="M267" s="26">
        <v>2.0</v>
      </c>
      <c r="N267" s="26">
        <v>1.0</v>
      </c>
      <c r="O267" s="26">
        <v>0.0</v>
      </c>
      <c r="P267" s="30"/>
      <c r="Q267" s="35">
        <v>77.0</v>
      </c>
      <c r="R267" s="32">
        <v>45858.0</v>
      </c>
      <c r="S267" s="32">
        <v>45786.0</v>
      </c>
      <c r="T267" s="29"/>
      <c r="U267" s="33"/>
      <c r="V267" s="1"/>
    </row>
    <row r="268" ht="24.0" customHeight="1">
      <c r="A268" s="1"/>
      <c r="B268" s="24" t="str">
        <f>HYPERLINK("https://www.compass.com/listing/55-avenue-c-unit-1-manhattan-ny-10009/1818946745894717233/view?agent_id=610d3f3370540700019b0833","55 Avenue C, Unit 1")</f>
        <v>55 Avenue C, Unit 1</v>
      </c>
      <c r="C268" s="25" t="s">
        <v>22</v>
      </c>
      <c r="D268" s="26" t="s">
        <v>23</v>
      </c>
      <c r="E268" s="27" t="str">
        <f>HYPERLINK("https://www.compass.com/building/55-avenue-c-manhattan-ny-10009/389270682556089877/","55 Avenue C")</f>
        <v>55 Avenue C</v>
      </c>
      <c r="F268" s="25" t="s">
        <v>24</v>
      </c>
      <c r="G268" s="28">
        <v>825000.0</v>
      </c>
      <c r="H268" s="29"/>
      <c r="I268" s="28">
        <v>300.0</v>
      </c>
      <c r="J268" s="28">
        <v>0.0</v>
      </c>
      <c r="K268" s="25" t="s">
        <v>25</v>
      </c>
      <c r="L268" s="26">
        <v>4.0</v>
      </c>
      <c r="M268" s="26">
        <v>2.0</v>
      </c>
      <c r="N268" s="26">
        <v>1.0</v>
      </c>
      <c r="O268" s="26">
        <v>0.0</v>
      </c>
      <c r="P268" s="30"/>
      <c r="Q268" s="35">
        <v>102.0</v>
      </c>
      <c r="R268" s="32">
        <v>45862.0</v>
      </c>
      <c r="S268" s="32">
        <v>45761.0</v>
      </c>
      <c r="T268" s="29"/>
      <c r="U268" s="33"/>
      <c r="V268" s="1"/>
    </row>
    <row r="269" ht="24.0" customHeight="1">
      <c r="A269" s="1"/>
      <c r="B269" s="24" t="str">
        <f>HYPERLINK("https://www.compass.com/listing/109-west-82nd-street-unit-3a-manhattan-ny-10024/1861121530399644841/view?agent_id=610d3f3370540700019b0833","109 West 82nd Street, Unit 3A")</f>
        <v>109 West 82nd Street, Unit 3A</v>
      </c>
      <c r="C269" s="25" t="s">
        <v>22</v>
      </c>
      <c r="D269" s="26" t="s">
        <v>23</v>
      </c>
      <c r="E269" s="27" t="str">
        <f>HYPERLINK("https://www.compass.com/building/109-w-82nd-st-manhattan-ny-10024/282061139980878325/","109 W 82nd St")</f>
        <v>109 W 82nd St</v>
      </c>
      <c r="F269" s="25" t="s">
        <v>29</v>
      </c>
      <c r="G269" s="28">
        <v>1150000.0</v>
      </c>
      <c r="H269" s="29"/>
      <c r="I269" s="28">
        <v>1561.0</v>
      </c>
      <c r="J269" s="28">
        <v>0.0</v>
      </c>
      <c r="K269" s="25" t="s">
        <v>25</v>
      </c>
      <c r="L269" s="26">
        <v>4.0</v>
      </c>
      <c r="M269" s="26">
        <v>2.0</v>
      </c>
      <c r="N269" s="26">
        <v>1.0</v>
      </c>
      <c r="O269" s="26">
        <v>0.0</v>
      </c>
      <c r="P269" s="30"/>
      <c r="Q269" s="35">
        <v>44.0</v>
      </c>
      <c r="R269" s="32">
        <v>45854.0</v>
      </c>
      <c r="S269" s="32">
        <v>45819.0</v>
      </c>
      <c r="T269" s="29"/>
      <c r="U269" s="33"/>
      <c r="V269" s="1"/>
    </row>
    <row r="270" ht="24.0" customHeight="1">
      <c r="A270" s="1"/>
      <c r="B270" s="24" t="str">
        <f>HYPERLINK("https://www.compass.com/listing/2107-bedford-avenue-unit-b11-brooklyn-ny-11226/1890151417736954945/view?agent_id=610d3f3370540700019b0833","2107 Bedford Avenue, Unit B11")</f>
        <v>2107 Bedford Avenue, Unit B11</v>
      </c>
      <c r="C270" s="25" t="s">
        <v>22</v>
      </c>
      <c r="D270" s="26" t="s">
        <v>23</v>
      </c>
      <c r="E270" s="27" t="str">
        <f>HYPERLINK("https://www.compass.com/building/2107-bedford-ave-brooklyn-ny-11226/293534993647515813/","2107 Bedford Ave")</f>
        <v>2107 Bedford Ave</v>
      </c>
      <c r="F270" s="25" t="s">
        <v>112</v>
      </c>
      <c r="G270" s="28">
        <v>575000.0</v>
      </c>
      <c r="H270" s="28">
        <v>775.0</v>
      </c>
      <c r="I270" s="28">
        <v>897.0</v>
      </c>
      <c r="J270" s="28">
        <v>4224.0</v>
      </c>
      <c r="K270" s="25" t="s">
        <v>28</v>
      </c>
      <c r="L270" s="26">
        <v>4.0</v>
      </c>
      <c r="M270" s="26">
        <v>2.0</v>
      </c>
      <c r="N270" s="26">
        <v>1.0</v>
      </c>
      <c r="O270" s="26">
        <v>0.0</v>
      </c>
      <c r="P270" s="26">
        <v>742.0</v>
      </c>
      <c r="Q270" s="35">
        <v>4.0</v>
      </c>
      <c r="R270" s="32">
        <v>45862.0</v>
      </c>
      <c r="S270" s="32">
        <v>45859.0</v>
      </c>
      <c r="T270" s="29"/>
      <c r="U270" s="33"/>
      <c r="V270" s="1"/>
    </row>
    <row r="271" ht="24.0" customHeight="1">
      <c r="A271" s="1"/>
      <c r="B271" s="24" t="str">
        <f>HYPERLINK("https://www.compass.com/listing/1208-pacific-street-unit-2h-brooklyn-ny-11216/1880582995548475057/view?agent_id=610d3f3370540700019b0833","1208 Pacific Street, Unit 2H")</f>
        <v>1208 Pacific Street, Unit 2H</v>
      </c>
      <c r="C271" s="25" t="s">
        <v>22</v>
      </c>
      <c r="D271" s="26" t="s">
        <v>23</v>
      </c>
      <c r="E271" s="27" t="str">
        <f>HYPERLINK("https://www.compass.com/building/1208-pacific-st-brooklyn-ny-11216/294838484682264149/","1208 Pacific St")</f>
        <v>1208 Pacific St</v>
      </c>
      <c r="F271" s="25" t="s">
        <v>113</v>
      </c>
      <c r="G271" s="28">
        <v>699000.0</v>
      </c>
      <c r="H271" s="28">
        <v>790.0</v>
      </c>
      <c r="I271" s="28">
        <v>653.0</v>
      </c>
      <c r="J271" s="28">
        <v>4404.0</v>
      </c>
      <c r="K271" s="25" t="s">
        <v>28</v>
      </c>
      <c r="L271" s="26">
        <v>4.0</v>
      </c>
      <c r="M271" s="26">
        <v>2.0</v>
      </c>
      <c r="N271" s="26">
        <v>1.0</v>
      </c>
      <c r="O271" s="26">
        <v>0.0</v>
      </c>
      <c r="P271" s="26">
        <v>885.0</v>
      </c>
      <c r="Q271" s="35">
        <v>17.0</v>
      </c>
      <c r="R271" s="32">
        <v>45858.0</v>
      </c>
      <c r="S271" s="32">
        <v>45846.0</v>
      </c>
      <c r="T271" s="29"/>
      <c r="U271" s="33"/>
      <c r="V271" s="1"/>
    </row>
    <row r="272" ht="24.0" customHeight="1">
      <c r="A272" s="1"/>
      <c r="B272" s="24" t="str">
        <f>HYPERLINK("https://www.compass.com/listing/420-central-park-west-unit-2b-manhattan-ny-10025/1849688712589102993/view?agent_id=610d3f3370540700019b0833","420 Central Park West, Unit 2B")</f>
        <v>420 Central Park West, Unit 2B</v>
      </c>
      <c r="C272" s="25" t="s">
        <v>22</v>
      </c>
      <c r="D272" s="26" t="s">
        <v>23</v>
      </c>
      <c r="E272" s="27" t="str">
        <f>HYPERLINK("https://www.compass.com/building/jadam-condominium-manhattan-ny/281971852266528517/","Jadam Condominium")</f>
        <v>Jadam Condominium</v>
      </c>
      <c r="F272" s="25" t="s">
        <v>29</v>
      </c>
      <c r="G272" s="28">
        <v>1200000.0</v>
      </c>
      <c r="H272" s="28">
        <v>1279.0</v>
      </c>
      <c r="I272" s="28">
        <v>1444.0</v>
      </c>
      <c r="J272" s="28">
        <v>5172.0</v>
      </c>
      <c r="K272" s="25" t="s">
        <v>28</v>
      </c>
      <c r="L272" s="26">
        <v>5.0</v>
      </c>
      <c r="M272" s="26">
        <v>2.0</v>
      </c>
      <c r="N272" s="26">
        <v>1.0</v>
      </c>
      <c r="O272" s="26">
        <v>0.0</v>
      </c>
      <c r="P272" s="26">
        <v>938.0</v>
      </c>
      <c r="Q272" s="35">
        <v>60.0</v>
      </c>
      <c r="R272" s="32">
        <v>45853.0</v>
      </c>
      <c r="S272" s="32">
        <v>45803.0</v>
      </c>
      <c r="T272" s="29"/>
      <c r="U272" s="33"/>
      <c r="V272" s="1"/>
    </row>
    <row r="273" ht="24.0" customHeight="1">
      <c r="A273" s="1"/>
      <c r="B273" s="24" t="str">
        <f>HYPERLINK("https://www.compass.com/listing/350-bleecker-street-unit-4s-manhattan-ny-10014/1834295465200674625/view?agent_id=610d3f3370540700019b0833","350 Bleecker Street, Unit 4S")</f>
        <v>350 Bleecker Street, Unit 4S</v>
      </c>
      <c r="C273" s="25" t="s">
        <v>22</v>
      </c>
      <c r="D273" s="26" t="s">
        <v>23</v>
      </c>
      <c r="E273" s="27" t="str">
        <f>HYPERLINK("https://www.compass.com/building/350-bleecker-st-manhattan-ny-10014/281933070641183925/","350 Bleecker St")</f>
        <v>350 Bleecker St</v>
      </c>
      <c r="F273" s="25" t="s">
        <v>26</v>
      </c>
      <c r="G273" s="28">
        <v>1799000.0</v>
      </c>
      <c r="H273" s="29"/>
      <c r="I273" s="28">
        <v>2603.0</v>
      </c>
      <c r="J273" s="28">
        <v>0.0</v>
      </c>
      <c r="K273" s="25" t="s">
        <v>25</v>
      </c>
      <c r="L273" s="26">
        <v>4.0</v>
      </c>
      <c r="M273" s="26">
        <v>2.0</v>
      </c>
      <c r="N273" s="26">
        <v>1.0</v>
      </c>
      <c r="O273" s="26">
        <v>0.0</v>
      </c>
      <c r="P273" s="30"/>
      <c r="Q273" s="35">
        <v>81.0</v>
      </c>
      <c r="R273" s="32">
        <v>45860.0</v>
      </c>
      <c r="S273" s="32">
        <v>45782.0</v>
      </c>
      <c r="T273" s="29"/>
      <c r="U273" s="33"/>
      <c r="V273" s="1"/>
    </row>
    <row r="274" ht="24.0" customHeight="1">
      <c r="A274" s="1"/>
      <c r="B274" s="24" t="str">
        <f>HYPERLINK("https://www.compass.com/listing/201-west-16th-street-unit-12dg-manhattan-ny-10011/1811582809857546481/view?agent_id=610d3f3370540700019b0833","201 West 16th Street, Unit 12DG")</f>
        <v>201 West 16th Street, Unit 12DG</v>
      </c>
      <c r="C274" s="25" t="s">
        <v>22</v>
      </c>
      <c r="D274" s="26" t="s">
        <v>23</v>
      </c>
      <c r="E274" s="27" t="str">
        <f>HYPERLINK("https://www.compass.com/building/201-w-16th-st-manhattan-ny-10011/292798477774118389/","201 W 16th St")</f>
        <v>201 W 16th St</v>
      </c>
      <c r="F274" s="25" t="s">
        <v>27</v>
      </c>
      <c r="G274" s="28">
        <v>1499000.0</v>
      </c>
      <c r="H274" s="29"/>
      <c r="I274" s="28">
        <v>3112.0</v>
      </c>
      <c r="J274" s="28">
        <v>0.0</v>
      </c>
      <c r="K274" s="25" t="s">
        <v>25</v>
      </c>
      <c r="L274" s="26">
        <v>4.0</v>
      </c>
      <c r="M274" s="26">
        <v>2.0</v>
      </c>
      <c r="N274" s="26">
        <v>1.0</v>
      </c>
      <c r="O274" s="26">
        <v>0.0</v>
      </c>
      <c r="P274" s="30"/>
      <c r="Q274" s="35">
        <v>109.0</v>
      </c>
      <c r="R274" s="32">
        <v>45847.0</v>
      </c>
      <c r="S274" s="32">
        <v>45754.0</v>
      </c>
      <c r="T274" s="29"/>
      <c r="U274" s="33"/>
      <c r="V274" s="1"/>
    </row>
    <row r="275" ht="24.0" customHeight="1">
      <c r="A275" s="1"/>
      <c r="B275" s="24" t="str">
        <f>HYPERLINK("https://www.compass.com/listing/504-west-111th-street-unit-11-manhattan-ny-10025/1881654017190484065/view?agent_id=610d3f3370540700019b0833","504 West 111th Street, Unit 11")</f>
        <v>504 West 111th Street, Unit 11</v>
      </c>
      <c r="C275" s="25" t="s">
        <v>22</v>
      </c>
      <c r="D275" s="26" t="s">
        <v>23</v>
      </c>
      <c r="E275" s="27" t="str">
        <f>HYPERLINK("https://www.compass.com/building/504-w-111th-st-manhattan-ny-10025/281972176947601397/","504 W 111th St")</f>
        <v>504 W 111th St</v>
      </c>
      <c r="F275" s="25" t="s">
        <v>41</v>
      </c>
      <c r="G275" s="28">
        <v>950000.0</v>
      </c>
      <c r="H275" s="29"/>
      <c r="I275" s="28">
        <v>2398.0</v>
      </c>
      <c r="J275" s="28">
        <v>0.0</v>
      </c>
      <c r="K275" s="25" t="s">
        <v>25</v>
      </c>
      <c r="L275" s="26">
        <v>4.0</v>
      </c>
      <c r="M275" s="26">
        <v>2.0</v>
      </c>
      <c r="N275" s="26">
        <v>1.0</v>
      </c>
      <c r="O275" s="26">
        <v>0.0</v>
      </c>
      <c r="P275" s="30"/>
      <c r="Q275" s="35">
        <v>15.0</v>
      </c>
      <c r="R275" s="32">
        <v>45862.0</v>
      </c>
      <c r="S275" s="32">
        <v>45848.0</v>
      </c>
      <c r="T275" s="29"/>
      <c r="U275" s="33"/>
      <c r="V275" s="1"/>
    </row>
    <row r="276" ht="24.0" customHeight="1">
      <c r="A276" s="1"/>
      <c r="B276" s="24" t="str">
        <f>HYPERLINK("https://www.compass.com/listing/134-west-82nd-street-unit-2c-manhattan-ny-10024/1862484850530799497/view?agent_id=610d3f3370540700019b0833","134 West 82nd Street, Unit 2C")</f>
        <v>134 West 82nd Street, Unit 2C</v>
      </c>
      <c r="C276" s="25" t="s">
        <v>22</v>
      </c>
      <c r="D276" s="26" t="s">
        <v>23</v>
      </c>
      <c r="E276" s="27" t="str">
        <f>HYPERLINK("https://www.compass.com/building/134-w-82nd-st-manhattan-ny-10024/281924611031997109/","134 W 82nd St")</f>
        <v>134 W 82nd St</v>
      </c>
      <c r="F276" s="25" t="s">
        <v>29</v>
      </c>
      <c r="G276" s="28">
        <v>585000.0</v>
      </c>
      <c r="H276" s="29"/>
      <c r="I276" s="28">
        <v>1541.0</v>
      </c>
      <c r="J276" s="28">
        <v>0.0</v>
      </c>
      <c r="K276" s="25" t="s">
        <v>25</v>
      </c>
      <c r="L276" s="26">
        <v>4.0</v>
      </c>
      <c r="M276" s="26">
        <v>2.0</v>
      </c>
      <c r="N276" s="26">
        <v>1.0</v>
      </c>
      <c r="O276" s="26">
        <v>0.0</v>
      </c>
      <c r="P276" s="30"/>
      <c r="Q276" s="35">
        <v>42.0</v>
      </c>
      <c r="R276" s="32">
        <v>45821.0</v>
      </c>
      <c r="S276" s="32">
        <v>45821.0</v>
      </c>
      <c r="T276" s="29"/>
      <c r="U276" s="33"/>
      <c r="V276" s="1"/>
    </row>
    <row r="277" ht="24.0" customHeight="1">
      <c r="A277" s="1"/>
      <c r="B277" s="24" t="str">
        <f>HYPERLINK("https://www.compass.com/listing/11-riverside-drive-unit-11ve-manhattan-ny-10023/1845819324215771153/view?agent_id=610d3f3370540700019b0833","11 Riverside Drive, Unit 11VE")</f>
        <v>11 Riverside Drive, Unit 11VE</v>
      </c>
      <c r="C277" s="25" t="s">
        <v>22</v>
      </c>
      <c r="D277" s="26" t="s">
        <v>23</v>
      </c>
      <c r="E277" s="27" t="str">
        <f>HYPERLINK("https://www.compass.com/building/schwab-manhattan-ny/281956307722900517/","Schwab")</f>
        <v>Schwab</v>
      </c>
      <c r="F277" s="25" t="s">
        <v>29</v>
      </c>
      <c r="G277" s="28">
        <v>1295000.0</v>
      </c>
      <c r="H277" s="29"/>
      <c r="I277" s="28">
        <v>2353.0</v>
      </c>
      <c r="J277" s="28">
        <v>0.0</v>
      </c>
      <c r="K277" s="25" t="s">
        <v>25</v>
      </c>
      <c r="L277" s="26">
        <v>4.0</v>
      </c>
      <c r="M277" s="26">
        <v>2.0</v>
      </c>
      <c r="N277" s="26">
        <v>1.0</v>
      </c>
      <c r="O277" s="26">
        <v>0.0</v>
      </c>
      <c r="P277" s="30"/>
      <c r="Q277" s="35">
        <v>65.0</v>
      </c>
      <c r="R277" s="32">
        <v>45863.0</v>
      </c>
      <c r="S277" s="32">
        <v>45798.0</v>
      </c>
      <c r="T277" s="29"/>
      <c r="U277" s="33"/>
      <c r="V277" s="1"/>
    </row>
    <row r="278" ht="24.0" customHeight="1">
      <c r="A278" s="1"/>
      <c r="B278" s="24" t="str">
        <f>HYPERLINK("https://www.compass.com/listing/145-east-15th-street-unit-1f-manhattan-ny-10003/1795161489882856409/view?agent_id=610d3f3370540700019b0833","145 East 15th Street, Unit 1F")</f>
        <v>145 East 15th Street, Unit 1F</v>
      </c>
      <c r="C278" s="25" t="s">
        <v>22</v>
      </c>
      <c r="D278" s="26" t="s">
        <v>23</v>
      </c>
      <c r="E278" s="27" t="str">
        <f>HYPERLINK("https://www.compass.com/building/gramercy-arms-manhattan-ny/281889782529790293/","Gramercy Arms")</f>
        <v>Gramercy Arms</v>
      </c>
      <c r="F278" s="25" t="s">
        <v>48</v>
      </c>
      <c r="G278" s="28">
        <v>995000.0</v>
      </c>
      <c r="H278" s="29"/>
      <c r="I278" s="28">
        <v>1526.0</v>
      </c>
      <c r="J278" s="28">
        <v>0.0</v>
      </c>
      <c r="K278" s="25" t="s">
        <v>25</v>
      </c>
      <c r="L278" s="26">
        <v>5.0</v>
      </c>
      <c r="M278" s="26">
        <v>2.0</v>
      </c>
      <c r="N278" s="26">
        <v>1.0</v>
      </c>
      <c r="O278" s="26">
        <v>0.0</v>
      </c>
      <c r="P278" s="30"/>
      <c r="Q278" s="35">
        <v>135.0</v>
      </c>
      <c r="R278" s="32">
        <v>45860.0</v>
      </c>
      <c r="S278" s="32">
        <v>45728.0</v>
      </c>
      <c r="T278" s="29"/>
      <c r="U278" s="33"/>
      <c r="V278" s="1"/>
    </row>
    <row r="279" ht="24.0" customHeight="1">
      <c r="A279" s="1"/>
      <c r="B279" s="24" t="str">
        <f>HYPERLINK("https://www.compass.com/listing/west-street-unit-2b-manhattan-ny-10014/1811845391952413681/view?agent_id=610d3f3370540700019b0833","West Street, Unit 2B")</f>
        <v>West Street, Unit 2B</v>
      </c>
      <c r="C279" s="25" t="s">
        <v>22</v>
      </c>
      <c r="D279" s="26" t="s">
        <v>23</v>
      </c>
      <c r="E279" s="26" t="s">
        <v>114</v>
      </c>
      <c r="F279" s="25" t="s">
        <v>26</v>
      </c>
      <c r="G279" s="28">
        <v>1275000.0</v>
      </c>
      <c r="H279" s="29"/>
      <c r="I279" s="28">
        <v>1565.0</v>
      </c>
      <c r="J279" s="28">
        <v>0.0</v>
      </c>
      <c r="K279" s="25" t="s">
        <v>25</v>
      </c>
      <c r="L279" s="26">
        <v>4.0</v>
      </c>
      <c r="M279" s="26">
        <v>2.0</v>
      </c>
      <c r="N279" s="26">
        <v>1.0</v>
      </c>
      <c r="O279" s="26">
        <v>0.0</v>
      </c>
      <c r="P279" s="30"/>
      <c r="Q279" s="35">
        <v>112.0</v>
      </c>
      <c r="R279" s="32">
        <v>45862.0</v>
      </c>
      <c r="S279" s="32">
        <v>45751.0</v>
      </c>
      <c r="T279" s="29"/>
      <c r="U279" s="33"/>
      <c r="V279" s="1"/>
    </row>
    <row r="280" ht="24.0" customHeight="1">
      <c r="A280" s="1"/>
      <c r="B280" s="24" t="str">
        <f>HYPERLINK("https://www.compass.com/listing/215-west-92nd-street-unit-13i-manhattan-ny-10025/1852055550636370657/view?agent_id=610d3f3370540700019b0833","215 West 92nd Street, Unit 13I")</f>
        <v>215 West 92nd Street, Unit 13I</v>
      </c>
      <c r="C280" s="25" t="s">
        <v>22</v>
      </c>
      <c r="D280" s="26" t="s">
        <v>23</v>
      </c>
      <c r="E280" s="27" t="str">
        <f>HYPERLINK("https://www.compass.com/building/the-clayton-manhattan-ny/292877538030611381/","The Clayton")</f>
        <v>The Clayton</v>
      </c>
      <c r="F280" s="25" t="s">
        <v>29</v>
      </c>
      <c r="G280" s="28">
        <v>1200000.0</v>
      </c>
      <c r="H280" s="28">
        <v>1043.0</v>
      </c>
      <c r="I280" s="28">
        <v>2517.0</v>
      </c>
      <c r="J280" s="28">
        <v>0.0</v>
      </c>
      <c r="K280" s="25" t="s">
        <v>25</v>
      </c>
      <c r="L280" s="26">
        <v>4.0</v>
      </c>
      <c r="M280" s="26">
        <v>2.0</v>
      </c>
      <c r="N280" s="26">
        <v>1.0</v>
      </c>
      <c r="O280" s="26">
        <v>0.0</v>
      </c>
      <c r="P280" s="34">
        <v>1150.0</v>
      </c>
      <c r="Q280" s="35">
        <v>52.0</v>
      </c>
      <c r="R280" s="32">
        <v>45814.0</v>
      </c>
      <c r="S280" s="32">
        <v>45811.0</v>
      </c>
      <c r="T280" s="29"/>
      <c r="U280" s="33"/>
      <c r="V280" s="1"/>
    </row>
    <row r="281" ht="24.0" customHeight="1">
      <c r="A281" s="1"/>
      <c r="B281" s="24" t="str">
        <f>HYPERLINK("https://www.compass.com/listing/741-west-end-avenue-unit-3c-manhattan-ny-10025/1861905269917451561/view?agent_id=610d3f3370540700019b0833","741 West End Avenue, Unit 3C")</f>
        <v>741 West End Avenue, Unit 3C</v>
      </c>
      <c r="C281" s="25" t="s">
        <v>22</v>
      </c>
      <c r="D281" s="26" t="s">
        <v>23</v>
      </c>
      <c r="E281" s="27" t="str">
        <f>HYPERLINK("https://www.compass.com/building/741-west-end-ave-manhattan-ny-10025/281925997408853637/","741 West End Ave")</f>
        <v>741 West End Ave</v>
      </c>
      <c r="F281" s="25" t="s">
        <v>29</v>
      </c>
      <c r="G281" s="28">
        <v>625000.0</v>
      </c>
      <c r="H281" s="29"/>
      <c r="I281" s="28">
        <v>1354.0</v>
      </c>
      <c r="J281" s="28">
        <v>0.0</v>
      </c>
      <c r="K281" s="25" t="s">
        <v>25</v>
      </c>
      <c r="L281" s="26">
        <v>4.0</v>
      </c>
      <c r="M281" s="26">
        <v>2.0</v>
      </c>
      <c r="N281" s="26">
        <v>1.0</v>
      </c>
      <c r="O281" s="26">
        <v>0.0</v>
      </c>
      <c r="P281" s="30"/>
      <c r="Q281" s="35">
        <v>43.0</v>
      </c>
      <c r="R281" s="32">
        <v>45861.0</v>
      </c>
      <c r="S281" s="32">
        <v>45820.0</v>
      </c>
      <c r="T281" s="29"/>
      <c r="U281" s="33"/>
      <c r="V281" s="1"/>
    </row>
    <row r="282" ht="24.0" customHeight="1">
      <c r="A282" s="1"/>
      <c r="B282" s="24" t="str">
        <f>HYPERLINK("https://www.compass.com/listing/472-bainbridge-street-unit-4a-brooklyn-ny-11233/1820252751288508745/view?agent_id=610d3f3370540700019b0833","472 Bainbridge Street, Unit 4A")</f>
        <v>472 Bainbridge Street, Unit 4A</v>
      </c>
      <c r="C282" s="25" t="s">
        <v>22</v>
      </c>
      <c r="D282" s="26" t="s">
        <v>23</v>
      </c>
      <c r="E282" s="27" t="str">
        <f>HYPERLINK("https://www.compass.com/building/472-bainbridge-st-brooklyn-ny-11233/293421816955863749/","472 Bainbridge St")</f>
        <v>472 Bainbridge St</v>
      </c>
      <c r="F282" s="25" t="s">
        <v>51</v>
      </c>
      <c r="G282" s="28">
        <v>560000.0</v>
      </c>
      <c r="H282" s="28">
        <v>560.0</v>
      </c>
      <c r="I282" s="28">
        <v>324.0</v>
      </c>
      <c r="J282" s="28">
        <v>0.0</v>
      </c>
      <c r="K282" s="25" t="s">
        <v>28</v>
      </c>
      <c r="L282" s="26">
        <v>5.0</v>
      </c>
      <c r="M282" s="26">
        <v>2.0</v>
      </c>
      <c r="N282" s="26">
        <v>1.0</v>
      </c>
      <c r="O282" s="30"/>
      <c r="P282" s="34">
        <v>1000.0</v>
      </c>
      <c r="Q282" s="35">
        <v>101.0</v>
      </c>
      <c r="R282" s="32">
        <v>45764.0</v>
      </c>
      <c r="S282" s="32">
        <v>45762.0</v>
      </c>
      <c r="T282" s="29"/>
      <c r="U282" s="33"/>
      <c r="V282" s="1"/>
    </row>
    <row r="283" ht="24.0" customHeight="1">
      <c r="A283" s="1"/>
      <c r="B283" s="24" t="str">
        <f>HYPERLINK("https://www.compass.com/listing/290-east-2nd-street-unit-2d-manhattan-ny-10009/1764366515894695649/view?agent_id=610d3f3370540700019b0833","290 East 2nd Street, Unit 2D")</f>
        <v>290 East 2nd Street, Unit 2D</v>
      </c>
      <c r="C283" s="25" t="s">
        <v>22</v>
      </c>
      <c r="D283" s="26" t="s">
        <v>23</v>
      </c>
      <c r="E283" s="27" t="str">
        <f>HYPERLINK("https://www.compass.com/building/290-e-2nd-st-manhattan-ny-10009/281899345979128005/","290 E 2nd St")</f>
        <v>290 E 2nd St</v>
      </c>
      <c r="F283" s="25" t="s">
        <v>24</v>
      </c>
      <c r="G283" s="28">
        <v>750000.0</v>
      </c>
      <c r="H283" s="28">
        <v>769.0</v>
      </c>
      <c r="I283" s="28">
        <v>678.0</v>
      </c>
      <c r="J283" s="28">
        <v>0.0</v>
      </c>
      <c r="K283" s="25" t="s">
        <v>25</v>
      </c>
      <c r="L283" s="26">
        <v>4.0</v>
      </c>
      <c r="M283" s="26">
        <v>2.0</v>
      </c>
      <c r="N283" s="26">
        <v>1.0</v>
      </c>
      <c r="O283" s="30"/>
      <c r="P283" s="26">
        <v>975.0</v>
      </c>
      <c r="Q283" s="35">
        <v>178.0</v>
      </c>
      <c r="R283" s="32">
        <v>45686.0</v>
      </c>
      <c r="S283" s="32">
        <v>45685.0</v>
      </c>
      <c r="T283" s="29"/>
      <c r="U283" s="33"/>
      <c r="V283" s="1"/>
    </row>
    <row r="284" ht="24.0" customHeight="1">
      <c r="A284" s="1"/>
      <c r="B284" s="24" t="str">
        <f>HYPERLINK("https://www.compass.com/listing/418-central-park-west-unit-22-manhattan-ny-10025/1835632442492137865/view?agent_id=610d3f3370540700019b0833","418 Central Park West, Unit 22")</f>
        <v>418 Central Park West, Unit 22</v>
      </c>
      <c r="C284" s="25" t="s">
        <v>22</v>
      </c>
      <c r="D284" s="26" t="s">
        <v>23</v>
      </c>
      <c r="E284" s="27" t="str">
        <f>HYPERLINK("https://www.compass.com/building/418-central-park-west-manhattan-ny-10025/281925923337444885/","418 Central Park West")</f>
        <v>418 Central Park West</v>
      </c>
      <c r="F284" s="25" t="s">
        <v>29</v>
      </c>
      <c r="G284" s="28">
        <v>1295000.0</v>
      </c>
      <c r="H284" s="28">
        <v>1545.0</v>
      </c>
      <c r="I284" s="28">
        <v>1981.0</v>
      </c>
      <c r="J284" s="28">
        <v>10596.0</v>
      </c>
      <c r="K284" s="25" t="s">
        <v>28</v>
      </c>
      <c r="L284" s="26">
        <v>4.0</v>
      </c>
      <c r="M284" s="26">
        <v>2.0</v>
      </c>
      <c r="N284" s="26">
        <v>1.0</v>
      </c>
      <c r="O284" s="26">
        <v>0.0</v>
      </c>
      <c r="P284" s="26">
        <v>838.0</v>
      </c>
      <c r="Q284" s="35">
        <v>43.0</v>
      </c>
      <c r="R284" s="32">
        <v>45858.0</v>
      </c>
      <c r="S284" s="32">
        <v>45784.0</v>
      </c>
      <c r="T284" s="29"/>
      <c r="U284" s="33"/>
      <c r="V284" s="1"/>
    </row>
    <row r="285" ht="24.0" customHeight="1">
      <c r="A285" s="1"/>
      <c r="B285" s="24" t="str">
        <f>HYPERLINK("https://www.compass.com/listing/78-bedford-street-unit-phc-manhattan-ny-10014/1819526658360458081/view?agent_id=610d3f3370540700019b0833","78 Bedford Street, Unit PHC")</f>
        <v>78 Bedford Street, Unit PHC</v>
      </c>
      <c r="C285" s="25" t="s">
        <v>22</v>
      </c>
      <c r="D285" s="26" t="s">
        <v>23</v>
      </c>
      <c r="E285" s="27" t="str">
        <f>HYPERLINK("https://www.compass.com/building/78-bedford-st-manhattan-ny-10014/292831124927861573/","78 Bedford St")</f>
        <v>78 Bedford St</v>
      </c>
      <c r="F285" s="25" t="s">
        <v>26</v>
      </c>
      <c r="G285" s="28">
        <v>1475000.0</v>
      </c>
      <c r="H285" s="28">
        <v>2634.0</v>
      </c>
      <c r="I285" s="28">
        <v>1184.0</v>
      </c>
      <c r="J285" s="28">
        <v>7884.0</v>
      </c>
      <c r="K285" s="25" t="s">
        <v>28</v>
      </c>
      <c r="L285" s="26">
        <v>4.0</v>
      </c>
      <c r="M285" s="26">
        <v>2.0</v>
      </c>
      <c r="N285" s="26">
        <v>1.0</v>
      </c>
      <c r="O285" s="26">
        <v>0.0</v>
      </c>
      <c r="P285" s="26">
        <v>560.0</v>
      </c>
      <c r="Q285" s="35">
        <v>92.0</v>
      </c>
      <c r="R285" s="32">
        <v>45859.0</v>
      </c>
      <c r="S285" s="32">
        <v>45771.0</v>
      </c>
      <c r="T285" s="29"/>
      <c r="U285" s="33"/>
      <c r="V285" s="1"/>
    </row>
    <row r="286" ht="24.0" customHeight="1">
      <c r="A286" s="1"/>
      <c r="B286" s="24" t="str">
        <f>HYPERLINK("https://www.compass.com/listing/261-west-22nd-street-unit-20-manhattan-ny-10011/1817557227463255081/view?agent_id=610d3f3370540700019b0833","261 West 22nd Street, Unit 20")</f>
        <v>261 West 22nd Street, Unit 20</v>
      </c>
      <c r="C286" s="25" t="s">
        <v>22</v>
      </c>
      <c r="D286" s="26" t="s">
        <v>23</v>
      </c>
      <c r="E286" s="27" t="str">
        <f>HYPERLINK("https://www.compass.com/building/261-w-22nd-st-manhattan-ny-10011/281908158908093653/","261 W 22nd St")</f>
        <v>261 W 22nd St</v>
      </c>
      <c r="F286" s="25" t="s">
        <v>27</v>
      </c>
      <c r="G286" s="28">
        <v>799000.0</v>
      </c>
      <c r="H286" s="29"/>
      <c r="I286" s="28">
        <v>1615.0</v>
      </c>
      <c r="J286" s="28">
        <v>0.0</v>
      </c>
      <c r="K286" s="25" t="s">
        <v>25</v>
      </c>
      <c r="L286" s="26">
        <v>5.0</v>
      </c>
      <c r="M286" s="26">
        <v>2.0</v>
      </c>
      <c r="N286" s="26">
        <v>1.0</v>
      </c>
      <c r="O286" s="26">
        <v>0.0</v>
      </c>
      <c r="P286" s="26">
        <v>0.0</v>
      </c>
      <c r="Q286" s="35">
        <v>105.0</v>
      </c>
      <c r="R286" s="32">
        <v>45861.0</v>
      </c>
      <c r="S286" s="32">
        <v>45758.0</v>
      </c>
      <c r="T286" s="29"/>
      <c r="U286" s="33"/>
      <c r="V286" s="1"/>
    </row>
    <row r="287" ht="24.0" customHeight="1">
      <c r="A287" s="1"/>
      <c r="B287" s="24" t="str">
        <f>HYPERLINK("https://www.compass.com/listing/327-east-3rd-street-unit-5a-manhattan-ny-10009/1825570015461805321/view?agent_id=610d3f3370540700019b0833","327 East 3rd Street, Unit 5A")</f>
        <v>327 East 3rd Street, Unit 5A</v>
      </c>
      <c r="C287" s="25" t="s">
        <v>22</v>
      </c>
      <c r="D287" s="26" t="s">
        <v>23</v>
      </c>
      <c r="E287" s="27" t="str">
        <f>HYPERLINK("https://www.compass.com/building/327-e-3rd-st-manhattan-ny-10009/281899616352350661/","327 E 3rd St")</f>
        <v>327 E 3rd St</v>
      </c>
      <c r="F287" s="25" t="s">
        <v>24</v>
      </c>
      <c r="G287" s="28">
        <v>585000.0</v>
      </c>
      <c r="H287" s="29"/>
      <c r="I287" s="28">
        <v>416.0</v>
      </c>
      <c r="J287" s="28">
        <v>0.0</v>
      </c>
      <c r="K287" s="25" t="s">
        <v>25</v>
      </c>
      <c r="L287" s="26">
        <v>4.0</v>
      </c>
      <c r="M287" s="26">
        <v>2.0</v>
      </c>
      <c r="N287" s="26">
        <v>1.0</v>
      </c>
      <c r="O287" s="26">
        <v>0.0</v>
      </c>
      <c r="P287" s="30"/>
      <c r="Q287" s="35">
        <v>36.0</v>
      </c>
      <c r="R287" s="32">
        <v>45862.0</v>
      </c>
      <c r="S287" s="32">
        <v>45770.0</v>
      </c>
      <c r="T287" s="29"/>
      <c r="U287" s="33"/>
      <c r="V287" s="1"/>
    </row>
    <row r="288" ht="24.0" customHeight="1">
      <c r="A288" s="1"/>
      <c r="B288" s="24" t="str">
        <f>HYPERLINK("https://www.compass.com/listing/328-west-17th-street-unit-5e-manhattan-ny-10011/1803902226497095097/view?agent_id=610d3f3370540700019b0833","328 West 17th Street, Unit 5E")</f>
        <v>328 West 17th Street, Unit 5E</v>
      </c>
      <c r="C288" s="25" t="s">
        <v>22</v>
      </c>
      <c r="D288" s="26" t="s">
        <v>23</v>
      </c>
      <c r="E288" s="27" t="str">
        <f>HYPERLINK("https://www.compass.com/building/328-w-17th-st-manhattan-ny-10011/281908845054288005/","328 W 17th St")</f>
        <v>328 W 17th St</v>
      </c>
      <c r="F288" s="25" t="s">
        <v>27</v>
      </c>
      <c r="G288" s="28">
        <v>1492000.0</v>
      </c>
      <c r="H288" s="28">
        <v>1658.0</v>
      </c>
      <c r="I288" s="28">
        <v>1907.0</v>
      </c>
      <c r="J288" s="28">
        <v>0.0</v>
      </c>
      <c r="K288" s="25" t="s">
        <v>25</v>
      </c>
      <c r="L288" s="26">
        <v>4.0</v>
      </c>
      <c r="M288" s="26">
        <v>2.0</v>
      </c>
      <c r="N288" s="26">
        <v>1.0</v>
      </c>
      <c r="O288" s="26">
        <v>0.0</v>
      </c>
      <c r="P288" s="26">
        <v>900.0</v>
      </c>
      <c r="Q288" s="35">
        <v>123.0</v>
      </c>
      <c r="R288" s="32">
        <v>45860.0</v>
      </c>
      <c r="S288" s="32">
        <v>45740.0</v>
      </c>
      <c r="T288" s="29"/>
      <c r="U288" s="33"/>
      <c r="V288" s="1"/>
    </row>
    <row r="289" ht="24.0" customHeight="1">
      <c r="A289" s="1"/>
      <c r="B289" s="24" t="str">
        <f>HYPERLINK("https://www.compass.com/listing/316-west-82nd-street-unit-5f-manhattan-ny-10024/1841998102767485833/view?agent_id=610d3f3370540700019b0833","316 West 82nd Street, Unit 5F")</f>
        <v>316 West 82nd Street, Unit 5F</v>
      </c>
      <c r="C289" s="25" t="s">
        <v>22</v>
      </c>
      <c r="D289" s="26" t="s">
        <v>23</v>
      </c>
      <c r="E289" s="27" t="str">
        <f>HYPERLINK("https://www.compass.com/building/316-w-82nd-st-manhattan-ny-10024/281965270950559877/","316 W 82nd St")</f>
        <v>316 W 82nd St</v>
      </c>
      <c r="F289" s="25" t="s">
        <v>29</v>
      </c>
      <c r="G289" s="28">
        <v>820000.0</v>
      </c>
      <c r="H289" s="29"/>
      <c r="I289" s="28">
        <v>2222.0</v>
      </c>
      <c r="J289" s="28">
        <v>0.0</v>
      </c>
      <c r="K289" s="25" t="s">
        <v>25</v>
      </c>
      <c r="L289" s="26">
        <v>5.0</v>
      </c>
      <c r="M289" s="26">
        <v>2.0</v>
      </c>
      <c r="N289" s="26">
        <v>1.0</v>
      </c>
      <c r="O289" s="30"/>
      <c r="P289" s="26">
        <v>0.0</v>
      </c>
      <c r="Q289" s="35">
        <v>71.0</v>
      </c>
      <c r="R289" s="32">
        <v>45793.0</v>
      </c>
      <c r="S289" s="32">
        <v>45792.0</v>
      </c>
      <c r="T289" s="29"/>
      <c r="U289" s="33"/>
      <c r="V289" s="1"/>
    </row>
    <row r="290" ht="24.0" customHeight="1">
      <c r="A290" s="1"/>
      <c r="B290" s="24" t="str">
        <f>HYPERLINK("https://www.compass.com/listing/127-west-82nd-street-unit-8c-manhattan-ny-10024/1827409096895445009/view?agent_id=610d3f3370540700019b0833","127 West 82nd Street, Unit 8C")</f>
        <v>127 West 82nd Street, Unit 8C</v>
      </c>
      <c r="C290" s="25" t="s">
        <v>22</v>
      </c>
      <c r="D290" s="26" t="s">
        <v>23</v>
      </c>
      <c r="E290" s="27" t="str">
        <f>HYPERLINK("https://www.compass.com/building/127-w-82nd-st-manhattan-ny-10024/292823056169088405/","127 W 82nd St")</f>
        <v>127 W 82nd St</v>
      </c>
      <c r="F290" s="25" t="s">
        <v>29</v>
      </c>
      <c r="G290" s="28">
        <v>1395000.0</v>
      </c>
      <c r="H290" s="28">
        <v>1744.0</v>
      </c>
      <c r="I290" s="28">
        <v>1631.0</v>
      </c>
      <c r="J290" s="28">
        <v>10008.0</v>
      </c>
      <c r="K290" s="25" t="s">
        <v>28</v>
      </c>
      <c r="L290" s="26">
        <v>5.0</v>
      </c>
      <c r="M290" s="26">
        <v>2.0</v>
      </c>
      <c r="N290" s="26">
        <v>1.0</v>
      </c>
      <c r="O290" s="30"/>
      <c r="P290" s="26">
        <v>800.0</v>
      </c>
      <c r="Q290" s="35">
        <v>54.0</v>
      </c>
      <c r="R290" s="32">
        <v>45860.0</v>
      </c>
      <c r="S290" s="32">
        <v>45809.0</v>
      </c>
      <c r="T290" s="29"/>
      <c r="U290" s="33"/>
      <c r="V290" s="1"/>
    </row>
    <row r="291" ht="24.0" customHeight="1">
      <c r="A291" s="1"/>
      <c r="B291" s="24" t="str">
        <f>HYPERLINK("https://www.compass.com/listing/399-east-8th-street-unit-8c-manhattan-ny-10009/1750878817591586313/view?agent_id=610d3f3370540700019b0833","399 East 8th Street, Unit 8C")</f>
        <v>399 East 8th Street, Unit 8C</v>
      </c>
      <c r="C291" s="25" t="s">
        <v>22</v>
      </c>
      <c r="D291" s="26" t="s">
        <v>23</v>
      </c>
      <c r="E291" s="27" t="str">
        <f>HYPERLINK("https://www.compass.com/building/three99-on-eighth-manhattan-ny/281899849236886213/","THREE99 On Eighth")</f>
        <v>THREE99 On Eighth</v>
      </c>
      <c r="F291" s="25" t="s">
        <v>24</v>
      </c>
      <c r="G291" s="28">
        <v>1285000.0</v>
      </c>
      <c r="H291" s="28">
        <v>1760.0</v>
      </c>
      <c r="I291" s="28">
        <v>647.0</v>
      </c>
      <c r="J291" s="28">
        <v>708.0</v>
      </c>
      <c r="K291" s="25" t="s">
        <v>28</v>
      </c>
      <c r="L291" s="26">
        <v>4.0</v>
      </c>
      <c r="M291" s="26">
        <v>2.0</v>
      </c>
      <c r="N291" s="26">
        <v>1.0</v>
      </c>
      <c r="O291" s="26">
        <v>0.0</v>
      </c>
      <c r="P291" s="26">
        <v>730.0</v>
      </c>
      <c r="Q291" s="35">
        <v>158.0</v>
      </c>
      <c r="R291" s="32">
        <v>45861.0</v>
      </c>
      <c r="S291" s="32">
        <v>45667.0</v>
      </c>
      <c r="T291" s="29"/>
      <c r="U291" s="33"/>
      <c r="V291" s="1"/>
    </row>
    <row r="292" ht="24.0" customHeight="1">
      <c r="A292" s="1"/>
      <c r="B292" s="24" t="str">
        <f>HYPERLINK("https://www.compass.com/listing/89-state-street-unit-1-brooklyn-ny-11201/1853994753108599465/view?agent_id=610d3f3370540700019b0833","89 State Street, Unit 1")</f>
        <v>89 State Street, Unit 1</v>
      </c>
      <c r="C292" s="25" t="s">
        <v>22</v>
      </c>
      <c r="D292" s="26" t="s">
        <v>23</v>
      </c>
      <c r="E292" s="27" t="str">
        <f>HYPERLINK("https://www.compass.com/building/89-state-st-brooklyn-ny-11201/282500143696129157/","89 State St")</f>
        <v>89 State St</v>
      </c>
      <c r="F292" s="25" t="s">
        <v>52</v>
      </c>
      <c r="G292" s="28">
        <v>1825000.0</v>
      </c>
      <c r="H292" s="29"/>
      <c r="I292" s="28">
        <v>1875.0</v>
      </c>
      <c r="J292" s="28">
        <v>0.0</v>
      </c>
      <c r="K292" s="25" t="s">
        <v>25</v>
      </c>
      <c r="L292" s="26">
        <v>5.0</v>
      </c>
      <c r="M292" s="26">
        <v>2.0</v>
      </c>
      <c r="N292" s="26">
        <v>1.0</v>
      </c>
      <c r="O292" s="26">
        <v>0.0</v>
      </c>
      <c r="P292" s="30"/>
      <c r="Q292" s="35">
        <v>54.0</v>
      </c>
      <c r="R292" s="32">
        <v>45848.0</v>
      </c>
      <c r="S292" s="32">
        <v>45809.0</v>
      </c>
      <c r="T292" s="29"/>
      <c r="U292" s="33"/>
      <c r="V292" s="1"/>
    </row>
    <row r="293" ht="24.0" customHeight="1">
      <c r="A293" s="1"/>
      <c r="B293" s="24" t="str">
        <f>HYPERLINK("https://www.compass.com/listing/357-west-end-avenue-unit-2-manhattan-ny-10024/1847137633909214345/view?agent_id=610d3f3370540700019b0833","357 West End Avenue, Unit 2")</f>
        <v>357 West End Avenue, Unit 2</v>
      </c>
      <c r="C293" s="25" t="s">
        <v>22</v>
      </c>
      <c r="D293" s="26" t="s">
        <v>23</v>
      </c>
      <c r="E293" s="27" t="str">
        <f>HYPERLINK("https://www.compass.com/building/357-west-end-ave-manhattan-ny-10024/281966303655313029/","357 West End Ave")</f>
        <v>357 West End Ave</v>
      </c>
      <c r="F293" s="25" t="s">
        <v>29</v>
      </c>
      <c r="G293" s="28">
        <v>875000.0</v>
      </c>
      <c r="H293" s="29"/>
      <c r="I293" s="28">
        <v>2238.0</v>
      </c>
      <c r="J293" s="28">
        <v>0.0</v>
      </c>
      <c r="K293" s="25" t="s">
        <v>25</v>
      </c>
      <c r="L293" s="26">
        <v>5.0</v>
      </c>
      <c r="M293" s="26">
        <v>2.0</v>
      </c>
      <c r="N293" s="26">
        <v>1.0</v>
      </c>
      <c r="O293" s="26">
        <v>0.0</v>
      </c>
      <c r="P293" s="30"/>
      <c r="Q293" s="35">
        <v>63.0</v>
      </c>
      <c r="R293" s="32">
        <v>45828.0</v>
      </c>
      <c r="S293" s="32">
        <v>45800.0</v>
      </c>
      <c r="T293" s="29"/>
      <c r="U293" s="33"/>
      <c r="V293" s="1"/>
    </row>
    <row r="294" ht="24.0" customHeight="1">
      <c r="A294" s="1"/>
      <c r="B294" s="24" t="str">
        <f>HYPERLINK("https://www.compass.com/listing/467-west-46th-street-unit-4n-manhattan-ny-10036/1783475768558383217/view?agent_id=610d3f3370540700019b0833","467 West 46th Street, Unit 4N")</f>
        <v>467 West 46th Street, Unit 4N</v>
      </c>
      <c r="C294" s="25" t="s">
        <v>22</v>
      </c>
      <c r="D294" s="26" t="s">
        <v>23</v>
      </c>
      <c r="E294" s="27" t="str">
        <f>HYPERLINK("https://www.compass.com/building/467-w-46th-st-manhattan-ny-10036/386376851501822789/","467 W 46th St")</f>
        <v>467 W 46th St</v>
      </c>
      <c r="F294" s="25" t="s">
        <v>47</v>
      </c>
      <c r="G294" s="28">
        <v>499000.0</v>
      </c>
      <c r="H294" s="29"/>
      <c r="I294" s="28">
        <v>358.0</v>
      </c>
      <c r="J294" s="28">
        <v>0.0</v>
      </c>
      <c r="K294" s="25" t="s">
        <v>25</v>
      </c>
      <c r="L294" s="26">
        <v>4.0</v>
      </c>
      <c r="M294" s="26">
        <v>2.0</v>
      </c>
      <c r="N294" s="26">
        <v>1.0</v>
      </c>
      <c r="O294" s="26">
        <v>0.0</v>
      </c>
      <c r="P294" s="30"/>
      <c r="Q294" s="35">
        <v>22.0</v>
      </c>
      <c r="R294" s="32">
        <v>45844.0</v>
      </c>
      <c r="S294" s="32">
        <v>45841.0</v>
      </c>
      <c r="T294" s="29"/>
      <c r="U294" s="33"/>
      <c r="V294" s="1"/>
    </row>
    <row r="295" ht="24.0" customHeight="1">
      <c r="A295" s="1"/>
      <c r="B295" s="24" t="str">
        <f>HYPERLINK("https://www.compass.com/listing/536-east-13th-street-unit-6f-manhattan-ny-10009/1809396028931964169/view?agent_id=610d3f3370540700019b0833","536 East 13th Street, Unit 6F")</f>
        <v>536 East 13th Street, Unit 6F</v>
      </c>
      <c r="C295" s="25" t="s">
        <v>22</v>
      </c>
      <c r="D295" s="26" t="s">
        <v>23</v>
      </c>
      <c r="E295" s="27" t="str">
        <f>HYPERLINK("https://www.compass.com/building/536-e-13th-st-manhattan-ny-10009/281900929068843109/","536 E 13th St")</f>
        <v>536 E 13th St</v>
      </c>
      <c r="F295" s="25" t="s">
        <v>24</v>
      </c>
      <c r="G295" s="28">
        <v>1700000.0</v>
      </c>
      <c r="H295" s="28">
        <v>1963.0</v>
      </c>
      <c r="I295" s="28">
        <v>2252.0</v>
      </c>
      <c r="J295" s="28">
        <v>20052.0</v>
      </c>
      <c r="K295" s="25" t="s">
        <v>28</v>
      </c>
      <c r="L295" s="26">
        <v>4.0</v>
      </c>
      <c r="M295" s="26">
        <v>2.0</v>
      </c>
      <c r="N295" s="26">
        <v>1.0</v>
      </c>
      <c r="O295" s="30"/>
      <c r="P295" s="26">
        <v>866.0</v>
      </c>
      <c r="Q295" s="35">
        <v>116.0</v>
      </c>
      <c r="R295" s="32">
        <v>45748.0</v>
      </c>
      <c r="S295" s="32">
        <v>45747.0</v>
      </c>
      <c r="T295" s="29"/>
      <c r="U295" s="33"/>
      <c r="V295" s="1"/>
    </row>
    <row r="296" ht="24.0" customHeight="1">
      <c r="A296" s="1"/>
      <c r="B296" s="24" t="str">
        <f>HYPERLINK("https://www.compass.com/listing/11-riverside-drive-unit-15tw-manhattan-ny-10023/1827050375279288009/view?agent_id=610d3f3370540700019b0833","11 Riverside Drive, Unit 15TW")</f>
        <v>11 Riverside Drive, Unit 15TW</v>
      </c>
      <c r="C296" s="25" t="s">
        <v>22</v>
      </c>
      <c r="D296" s="26" t="s">
        <v>23</v>
      </c>
      <c r="E296" s="27" t="str">
        <f>HYPERLINK("https://www.compass.com/building/schwab-manhattan-ny/281956307722900517/","Schwab")</f>
        <v>Schwab</v>
      </c>
      <c r="F296" s="25" t="s">
        <v>29</v>
      </c>
      <c r="G296" s="28">
        <v>1095000.0</v>
      </c>
      <c r="H296" s="29"/>
      <c r="I296" s="28">
        <v>2424.0</v>
      </c>
      <c r="J296" s="28">
        <v>0.0</v>
      </c>
      <c r="K296" s="25" t="s">
        <v>25</v>
      </c>
      <c r="L296" s="26">
        <v>4.0</v>
      </c>
      <c r="M296" s="26">
        <v>2.0</v>
      </c>
      <c r="N296" s="26">
        <v>1.0</v>
      </c>
      <c r="O296" s="26">
        <v>0.0</v>
      </c>
      <c r="P296" s="30"/>
      <c r="Q296" s="35">
        <v>91.0</v>
      </c>
      <c r="R296" s="32">
        <v>45863.0</v>
      </c>
      <c r="S296" s="32">
        <v>45772.0</v>
      </c>
      <c r="T296" s="29"/>
      <c r="U296" s="33"/>
      <c r="V296" s="1"/>
    </row>
    <row r="297" ht="24.0" customHeight="1">
      <c r="A297" s="1"/>
      <c r="B297" s="24" t="str">
        <f>HYPERLINK("https://www.compass.com/listing/745-east-6th-street-unit-1b-manhattan-ny-10009/1795823073173095785/view?agent_id=610d3f3370540700019b0833","745 East 6th Street, Unit 1B")</f>
        <v>745 East 6th Street, Unit 1B</v>
      </c>
      <c r="C297" s="25" t="s">
        <v>22</v>
      </c>
      <c r="D297" s="26" t="s">
        <v>23</v>
      </c>
      <c r="E297" s="27" t="str">
        <f>HYPERLINK("https://www.compass.com/building/745-e-6th-st-manhattan-ny-10009/281901461779004133/","745 E 6th St")</f>
        <v>745 E 6th St</v>
      </c>
      <c r="F297" s="25" t="s">
        <v>24</v>
      </c>
      <c r="G297" s="28">
        <v>545000.0</v>
      </c>
      <c r="H297" s="29"/>
      <c r="I297" s="28">
        <v>1170.0</v>
      </c>
      <c r="J297" s="28">
        <v>0.0</v>
      </c>
      <c r="K297" s="25" t="s">
        <v>25</v>
      </c>
      <c r="L297" s="26">
        <v>4.0</v>
      </c>
      <c r="M297" s="26">
        <v>2.0</v>
      </c>
      <c r="N297" s="26">
        <v>1.0</v>
      </c>
      <c r="O297" s="26">
        <v>0.0</v>
      </c>
      <c r="P297" s="30"/>
      <c r="Q297" s="35">
        <v>134.0</v>
      </c>
      <c r="R297" s="32">
        <v>45861.0</v>
      </c>
      <c r="S297" s="32">
        <v>45729.0</v>
      </c>
      <c r="T297" s="29"/>
      <c r="U297" s="33"/>
      <c r="V297" s="1"/>
    </row>
    <row r="298" ht="24.0" customHeight="1">
      <c r="A298" s="1"/>
      <c r="B298" s="24" t="str">
        <f>HYPERLINK("https://www.compass.com/listing/300-west-53rd-street-unit-4j-manhattan-ny-10019/1844148660806372993/view?agent_id=610d3f3370540700019b0833","300 West 53rd Street, Unit 4J")</f>
        <v>300 West 53rd Street, Unit 4J</v>
      </c>
      <c r="C298" s="25" t="s">
        <v>22</v>
      </c>
      <c r="D298" s="26" t="s">
        <v>23</v>
      </c>
      <c r="E298" s="27" t="str">
        <f>HYPERLINK("https://www.compass.com/building/the-300-west-53rd-condominium-manhattan-ny/282064171917413125/","The 300 West 53rd Condominium")</f>
        <v>The 300 West 53rd Condominium</v>
      </c>
      <c r="F298" s="25" t="s">
        <v>47</v>
      </c>
      <c r="G298" s="28">
        <v>895000.0</v>
      </c>
      <c r="H298" s="28">
        <v>957.0</v>
      </c>
      <c r="I298" s="28">
        <v>2552.0</v>
      </c>
      <c r="J298" s="28">
        <v>16224.0</v>
      </c>
      <c r="K298" s="25" t="s">
        <v>28</v>
      </c>
      <c r="L298" s="26">
        <v>4.0</v>
      </c>
      <c r="M298" s="26">
        <v>2.0</v>
      </c>
      <c r="N298" s="26">
        <v>1.0</v>
      </c>
      <c r="O298" s="30"/>
      <c r="P298" s="26">
        <v>935.0</v>
      </c>
      <c r="Q298" s="35">
        <v>68.0</v>
      </c>
      <c r="R298" s="32">
        <v>45796.0</v>
      </c>
      <c r="S298" s="32">
        <v>45795.0</v>
      </c>
      <c r="T298" s="29"/>
      <c r="U298" s="33"/>
      <c r="V298" s="1"/>
    </row>
    <row r="299" ht="24.0" customHeight="1">
      <c r="A299" s="1"/>
      <c r="B299" s="24" t="str">
        <f>HYPERLINK("https://www.compass.com/listing/340-east-74th-street-unit-9g-manhattan-ny-10021/1867625835544244553/view?agent_id=610d3f3370540700019b0833","340 East 74th Street, Unit 9G")</f>
        <v>340 East 74th Street, Unit 9G</v>
      </c>
      <c r="C299" s="25" t="s">
        <v>22</v>
      </c>
      <c r="D299" s="26" t="s">
        <v>23</v>
      </c>
      <c r="E299" s="27" t="str">
        <f>HYPERLINK("https://www.compass.com/building/the-avon-house-manhattan-ny/281950564361765013/","The Avon House")</f>
        <v>The Avon House</v>
      </c>
      <c r="F299" s="25" t="s">
        <v>64</v>
      </c>
      <c r="G299" s="28">
        <v>875000.0</v>
      </c>
      <c r="H299" s="28">
        <v>972.0</v>
      </c>
      <c r="I299" s="28">
        <v>2266.0</v>
      </c>
      <c r="J299" s="28">
        <v>0.0</v>
      </c>
      <c r="K299" s="25" t="s">
        <v>25</v>
      </c>
      <c r="L299" s="26">
        <v>4.0</v>
      </c>
      <c r="M299" s="26">
        <v>2.0</v>
      </c>
      <c r="N299" s="26">
        <v>1.0</v>
      </c>
      <c r="O299" s="26">
        <v>0.0</v>
      </c>
      <c r="P299" s="26">
        <v>900.0</v>
      </c>
      <c r="Q299" s="35">
        <v>35.0</v>
      </c>
      <c r="R299" s="32">
        <v>45862.0</v>
      </c>
      <c r="S299" s="32">
        <v>45828.0</v>
      </c>
      <c r="T299" s="29"/>
      <c r="U299" s="33"/>
      <c r="V299" s="1"/>
    </row>
    <row r="300" ht="24.0" customHeight="1">
      <c r="A300" s="1"/>
      <c r="B300" s="24" t="str">
        <f>HYPERLINK("https://www.compass.com/listing/365-west-20th-street-unit-14e-manhattan-ny-10011/1808895421418514561/view?agent_id=610d3f3370540700019b0833","365 West 20th Street, Unit 14E")</f>
        <v>365 West 20th Street, Unit 14E</v>
      </c>
      <c r="C300" s="25" t="s">
        <v>22</v>
      </c>
      <c r="D300" s="26" t="s">
        <v>23</v>
      </c>
      <c r="E300" s="27" t="str">
        <f>HYPERLINK("https://www.compass.com/building/365-w-20th-st-manhattan-ny-10011/292805231895410229/","365 W 20th St")</f>
        <v>365 W 20th St</v>
      </c>
      <c r="F300" s="25" t="s">
        <v>27</v>
      </c>
      <c r="G300" s="28">
        <v>1275000.0</v>
      </c>
      <c r="H300" s="29"/>
      <c r="I300" s="28">
        <v>0.0</v>
      </c>
      <c r="J300" s="28">
        <v>0.0</v>
      </c>
      <c r="K300" s="25" t="s">
        <v>25</v>
      </c>
      <c r="L300" s="26">
        <v>4.0</v>
      </c>
      <c r="M300" s="26">
        <v>2.0</v>
      </c>
      <c r="N300" s="26">
        <v>1.0</v>
      </c>
      <c r="O300" s="30"/>
      <c r="P300" s="30"/>
      <c r="Q300" s="35">
        <v>116.0</v>
      </c>
      <c r="R300" s="32">
        <v>45747.0</v>
      </c>
      <c r="S300" s="32">
        <v>45747.0</v>
      </c>
      <c r="T300" s="29"/>
      <c r="U300" s="33"/>
      <c r="V300" s="1"/>
    </row>
    <row r="301" ht="24.0" customHeight="1">
      <c r="A301" s="1"/>
      <c r="B301" s="24" t="str">
        <f>HYPERLINK("https://www.compass.com/listing/411-west-21st-street-unit-3-manhattan-ny-10011/1798642336053339841/view?agent_id=610d3f3370540700019b0833","411 West 21st Street, Unit 3")</f>
        <v>411 West 21st Street, Unit 3</v>
      </c>
      <c r="C301" s="25" t="s">
        <v>22</v>
      </c>
      <c r="D301" s="26" t="s">
        <v>23</v>
      </c>
      <c r="E301" s="27" t="str">
        <f>HYPERLINK("https://www.compass.com/building/411-west-21st-street-manhattan-ny/281910101172839765/","411 West 21st Street")</f>
        <v>411 West 21st Street</v>
      </c>
      <c r="F301" s="25" t="s">
        <v>27</v>
      </c>
      <c r="G301" s="28">
        <v>1499000.0</v>
      </c>
      <c r="H301" s="28">
        <v>1428.0</v>
      </c>
      <c r="I301" s="28">
        <v>1489.0</v>
      </c>
      <c r="J301" s="28">
        <v>0.0</v>
      </c>
      <c r="K301" s="25" t="s">
        <v>25</v>
      </c>
      <c r="L301" s="26">
        <v>4.0</v>
      </c>
      <c r="M301" s="26">
        <v>2.0</v>
      </c>
      <c r="N301" s="26">
        <v>1.0</v>
      </c>
      <c r="O301" s="26">
        <v>0.0</v>
      </c>
      <c r="P301" s="34">
        <v>1050.0</v>
      </c>
      <c r="Q301" s="35">
        <v>130.0</v>
      </c>
      <c r="R301" s="32">
        <v>45860.0</v>
      </c>
      <c r="S301" s="32">
        <v>45733.0</v>
      </c>
      <c r="T301" s="29"/>
      <c r="U301" s="33"/>
      <c r="V301" s="1"/>
    </row>
    <row r="302" ht="24.0" customHeight="1">
      <c r="A302" s="1"/>
      <c r="B302" s="24" t="str">
        <f>HYPERLINK("https://www.compass.com/listing/201-east-17th-street-unit-10c-manhattan-ny-10003/1836328253534239289/view?agent_id=610d3f3370540700019b0833","201 East 17th Street, Unit 10C")</f>
        <v>201 East 17th Street, Unit 10C</v>
      </c>
      <c r="C302" s="25" t="s">
        <v>22</v>
      </c>
      <c r="D302" s="26" t="s">
        <v>23</v>
      </c>
      <c r="E302" s="27" t="str">
        <f>HYPERLINK("https://www.compass.com/building/park-towers-manhattan-ny/282066712851943989/","Park Towers")</f>
        <v>Park Towers</v>
      </c>
      <c r="F302" s="25" t="s">
        <v>48</v>
      </c>
      <c r="G302" s="28">
        <v>1449000.0</v>
      </c>
      <c r="H302" s="29"/>
      <c r="I302" s="28">
        <v>2449.0</v>
      </c>
      <c r="J302" s="28">
        <v>0.0</v>
      </c>
      <c r="K302" s="25" t="s">
        <v>25</v>
      </c>
      <c r="L302" s="26">
        <v>2.0</v>
      </c>
      <c r="M302" s="26">
        <v>2.0</v>
      </c>
      <c r="N302" s="26">
        <v>1.0</v>
      </c>
      <c r="O302" s="30"/>
      <c r="P302" s="30"/>
      <c r="Q302" s="35">
        <v>79.0</v>
      </c>
      <c r="R302" s="32">
        <v>45801.0</v>
      </c>
      <c r="S302" s="32">
        <v>45784.0</v>
      </c>
      <c r="T302" s="29"/>
      <c r="U302" s="33"/>
      <c r="V302" s="1"/>
    </row>
    <row r="303" ht="24.0" customHeight="1">
      <c r="A303" s="1"/>
      <c r="B303" s="24" t="str">
        <f>HYPERLINK("https://www.compass.com/listing/30-park-place-unit-56c-manhattan-ny-10007/1809603014478982521/view?agent_id=610d3f3370540700019b0833","30 Park Place, Unit 56C")</f>
        <v>30 Park Place, Unit 56C</v>
      </c>
      <c r="C303" s="25" t="s">
        <v>22</v>
      </c>
      <c r="D303" s="26" t="s">
        <v>23</v>
      </c>
      <c r="E303" s="27" t="str">
        <f>HYPERLINK("https://www.compass.com/building/30-park-pl-manhattan-ny-10007/281896912905317605/","30 Park Pl")</f>
        <v>30 Park Pl</v>
      </c>
      <c r="F303" s="25" t="s">
        <v>60</v>
      </c>
      <c r="G303" s="28">
        <v>4800000.0</v>
      </c>
      <c r="H303" s="28">
        <v>3111.0</v>
      </c>
      <c r="I303" s="28">
        <v>4549.0</v>
      </c>
      <c r="J303" s="28">
        <v>38604.0</v>
      </c>
      <c r="K303" s="25" t="s">
        <v>28</v>
      </c>
      <c r="L303" s="26">
        <v>4.0</v>
      </c>
      <c r="M303" s="26">
        <v>2.0</v>
      </c>
      <c r="N303" s="30"/>
      <c r="O303" s="30"/>
      <c r="P303" s="34">
        <v>1543.0</v>
      </c>
      <c r="Q303" s="35">
        <v>1431.0</v>
      </c>
      <c r="R303" s="32">
        <v>44432.0</v>
      </c>
      <c r="S303" s="32">
        <v>44432.0</v>
      </c>
      <c r="T303" s="29"/>
      <c r="U303" s="33"/>
      <c r="V303" s="1"/>
    </row>
    <row r="304" ht="24.0" customHeight="1">
      <c r="A304" s="1"/>
      <c r="B304" s="24" t="str">
        <f>HYPERLINK("https://www.compass.com/listing/1050-hancock-street-unit-4d-brooklyn-ny-11221/1817530069252458633/view?agent_id=610d3f3370540700019b0833","1050 Hancock Street, Unit 4D")</f>
        <v>1050 Hancock Street, Unit 4D</v>
      </c>
      <c r="C304" s="25" t="s">
        <v>22</v>
      </c>
      <c r="D304" s="26" t="s">
        <v>23</v>
      </c>
      <c r="E304" s="27" t="str">
        <f>HYPERLINK("https://www.compass.com/building/1050-hancock-st-brooklyn-ny-11221/293527600507180741/","1050 Hancock St")</f>
        <v>1050 Hancock St</v>
      </c>
      <c r="F304" s="25" t="s">
        <v>82</v>
      </c>
      <c r="G304" s="28">
        <v>375000.0</v>
      </c>
      <c r="H304" s="29"/>
      <c r="I304" s="28">
        <v>757.0</v>
      </c>
      <c r="J304" s="28">
        <v>0.0</v>
      </c>
      <c r="K304" s="25" t="s">
        <v>25</v>
      </c>
      <c r="L304" s="26">
        <v>5.0</v>
      </c>
      <c r="M304" s="26">
        <v>2.0</v>
      </c>
      <c r="N304" s="26">
        <v>1.0</v>
      </c>
      <c r="O304" s="30"/>
      <c r="P304" s="26">
        <v>0.0</v>
      </c>
      <c r="Q304" s="35">
        <v>105.0</v>
      </c>
      <c r="R304" s="32">
        <v>45759.0</v>
      </c>
      <c r="S304" s="32">
        <v>45758.0</v>
      </c>
      <c r="T304" s="29"/>
      <c r="U304" s="33"/>
      <c r="V304" s="1"/>
    </row>
    <row r="305" ht="24.0" customHeight="1">
      <c r="A305" s="1"/>
      <c r="B305" s="24" t="str">
        <f>HYPERLINK("https://www.compass.com/listing/327-101st-street-unit-c-brooklyn-ny-11209/1891537328371367153/view?agent_id=610d3f3370540700019b0833","327 101st Street, Unit C")</f>
        <v>327 101st Street, Unit C</v>
      </c>
      <c r="C305" s="25" t="s">
        <v>22</v>
      </c>
      <c r="D305" s="26" t="s">
        <v>23</v>
      </c>
      <c r="E305" s="27" t="str">
        <f>HYPERLINK("https://www.compass.com/building/327-101st-st-brooklyn-ny-11209/293535008570854757/","327 101st St")</f>
        <v>327 101st St</v>
      </c>
      <c r="F305" s="25" t="s">
        <v>55</v>
      </c>
      <c r="G305" s="28">
        <v>675000.0</v>
      </c>
      <c r="H305" s="28">
        <v>785.0</v>
      </c>
      <c r="I305" s="28">
        <v>883.0</v>
      </c>
      <c r="J305" s="28">
        <v>7595.0</v>
      </c>
      <c r="K305" s="25" t="s">
        <v>28</v>
      </c>
      <c r="L305" s="26">
        <v>3.0</v>
      </c>
      <c r="M305" s="26">
        <v>2.0</v>
      </c>
      <c r="N305" s="26">
        <v>1.0</v>
      </c>
      <c r="O305" s="30"/>
      <c r="P305" s="26">
        <v>860.0</v>
      </c>
      <c r="Q305" s="35">
        <v>1.0</v>
      </c>
      <c r="R305" s="32">
        <v>45861.0</v>
      </c>
      <c r="S305" s="32">
        <v>45861.0</v>
      </c>
      <c r="T305" s="29"/>
      <c r="U305" s="33"/>
      <c r="V305" s="1"/>
    </row>
    <row r="306" ht="24.0" customHeight="1">
      <c r="A306" s="1"/>
      <c r="B306" s="24" t="str">
        <f>HYPERLINK("https://www.compass.com/listing/125-eastern-parkway-unit-4c-brooklyn-ny-11238/1850255446351214641/view?agent_id=610d3f3370540700019b0833","125 Eastern Parkway, Unit 4C")</f>
        <v>125 Eastern Parkway, Unit 4C</v>
      </c>
      <c r="C306" s="25" t="s">
        <v>22</v>
      </c>
      <c r="D306" s="26" t="s">
        <v>23</v>
      </c>
      <c r="E306" s="27" t="str">
        <f>HYPERLINK("https://www.compass.com/building/the-theodore-roosevelt-brooklyn-ny/293425839066913541/","The Theodore Roosevelt")</f>
        <v>The Theodore Roosevelt</v>
      </c>
      <c r="F306" s="25" t="s">
        <v>39</v>
      </c>
      <c r="G306" s="28">
        <v>449900.0</v>
      </c>
      <c r="H306" s="28">
        <v>454.0</v>
      </c>
      <c r="I306" s="28">
        <v>1681.0</v>
      </c>
      <c r="J306" s="29"/>
      <c r="K306" s="25" t="s">
        <v>25</v>
      </c>
      <c r="L306" s="26">
        <v>4.0</v>
      </c>
      <c r="M306" s="26">
        <v>2.0</v>
      </c>
      <c r="N306" s="26">
        <v>1.0</v>
      </c>
      <c r="O306" s="30"/>
      <c r="P306" s="26">
        <v>990.0</v>
      </c>
      <c r="Q306" s="35">
        <v>59.0</v>
      </c>
      <c r="R306" s="32">
        <v>45855.0</v>
      </c>
      <c r="S306" s="32">
        <v>45804.0</v>
      </c>
      <c r="T306" s="29"/>
      <c r="U306" s="33"/>
      <c r="V306" s="1"/>
    </row>
    <row r="307" ht="24.0" customHeight="1">
      <c r="A307" s="1"/>
      <c r="B307" s="24" t="str">
        <f>HYPERLINK("https://www.compass.com/listing/150-sullivan-street-unit-1-manhattan-ny-10012/1806369141057878985/view?agent_id=610d3f3370540700019b0833","150 Sullivan Street, Unit 1")</f>
        <v>150 Sullivan Street, Unit 1</v>
      </c>
      <c r="C307" s="25" t="s">
        <v>22</v>
      </c>
      <c r="D307" s="26" t="s">
        <v>23</v>
      </c>
      <c r="E307" s="27" t="str">
        <f>HYPERLINK("https://www.compass.com/building/150-sullivan-st-manhattan-ny-10012/281913203322022197/","150 Sullivan St")</f>
        <v>150 Sullivan St</v>
      </c>
      <c r="F307" s="25" t="s">
        <v>53</v>
      </c>
      <c r="G307" s="28">
        <v>1250000.0</v>
      </c>
      <c r="H307" s="29"/>
      <c r="I307" s="28">
        <v>2003.0</v>
      </c>
      <c r="J307" s="28">
        <v>0.0</v>
      </c>
      <c r="K307" s="25" t="s">
        <v>25</v>
      </c>
      <c r="L307" s="26">
        <v>4.0</v>
      </c>
      <c r="M307" s="26">
        <v>2.0</v>
      </c>
      <c r="N307" s="26">
        <v>1.0</v>
      </c>
      <c r="O307" s="30"/>
      <c r="P307" s="30"/>
      <c r="Q307" s="35">
        <v>120.0</v>
      </c>
      <c r="R307" s="32">
        <v>45744.0</v>
      </c>
      <c r="S307" s="32">
        <v>45743.0</v>
      </c>
      <c r="T307" s="29"/>
      <c r="U307" s="33"/>
      <c r="V307" s="1"/>
    </row>
    <row r="308" ht="24.0" customHeight="1">
      <c r="A308" s="1"/>
      <c r="B308" s="24" t="str">
        <f>HYPERLINK("https://www.compass.com/listing/102-prospect-park-west-unit-2-brooklyn-ny-11215/1841424477513440065/view?agent_id=610d3f3370540700019b0833","102 Prospect Park West, Unit 2")</f>
        <v>102 Prospect Park West, Unit 2</v>
      </c>
      <c r="C308" s="25" t="s">
        <v>22</v>
      </c>
      <c r="D308" s="26" t="s">
        <v>23</v>
      </c>
      <c r="E308" s="27" t="str">
        <f>HYPERLINK("https://www.compass.com/building/102-prospect-park-west-brooklyn-ny-11215/282498886654832869/","102 Prospect Park West")</f>
        <v>102 Prospect Park West</v>
      </c>
      <c r="F308" s="25" t="s">
        <v>40</v>
      </c>
      <c r="G308" s="28">
        <v>1750000.0</v>
      </c>
      <c r="H308" s="28">
        <v>1207.0</v>
      </c>
      <c r="I308" s="28">
        <v>1369.0</v>
      </c>
      <c r="J308" s="29"/>
      <c r="K308" s="25" t="s">
        <v>25</v>
      </c>
      <c r="L308" s="26">
        <v>5.0</v>
      </c>
      <c r="M308" s="26">
        <v>2.0</v>
      </c>
      <c r="N308" s="26">
        <v>1.0</v>
      </c>
      <c r="O308" s="30"/>
      <c r="P308" s="34">
        <v>1450.0</v>
      </c>
      <c r="Q308" s="35">
        <v>71.0</v>
      </c>
      <c r="R308" s="32">
        <v>45857.0</v>
      </c>
      <c r="S308" s="32">
        <v>45792.0</v>
      </c>
      <c r="T308" s="29"/>
      <c r="U308" s="33"/>
      <c r="V308" s="1"/>
    </row>
    <row r="309" ht="24.0" customHeight="1">
      <c r="A309" s="1"/>
      <c r="B309" s="24" t="str">
        <f>HYPERLINK("https://www.compass.com/listing/65-west-107th-street-unit-4d-manhattan-ny-10025/1836462727173805529/view?agent_id=610d3f3370540700019b0833","65 West 107th Street, Unit 4D")</f>
        <v>65 West 107th Street, Unit 4D</v>
      </c>
      <c r="C309" s="25" t="s">
        <v>22</v>
      </c>
      <c r="D309" s="26" t="s">
        <v>23</v>
      </c>
      <c r="E309" s="27" t="str">
        <f>HYPERLINK("https://www.compass.com/building/65-w-107th-st-manhattan-ny-10025/282066496291642261/","65 W 107th St")</f>
        <v>65 W 107th St</v>
      </c>
      <c r="F309" s="25" t="s">
        <v>29</v>
      </c>
      <c r="G309" s="28">
        <v>625000.0</v>
      </c>
      <c r="H309" s="28">
        <v>1175.0</v>
      </c>
      <c r="I309" s="28">
        <v>892.0</v>
      </c>
      <c r="J309" s="28">
        <v>4296.0</v>
      </c>
      <c r="K309" s="25" t="s">
        <v>28</v>
      </c>
      <c r="L309" s="26">
        <v>4.0</v>
      </c>
      <c r="M309" s="26">
        <v>2.0</v>
      </c>
      <c r="N309" s="26">
        <v>1.0</v>
      </c>
      <c r="O309" s="26">
        <v>0.0</v>
      </c>
      <c r="P309" s="26">
        <v>532.0</v>
      </c>
      <c r="Q309" s="35">
        <v>78.0</v>
      </c>
      <c r="R309" s="32">
        <v>45854.0</v>
      </c>
      <c r="S309" s="32">
        <v>45785.0</v>
      </c>
      <c r="T309" s="29"/>
      <c r="U309" s="33"/>
      <c r="V309" s="1"/>
    </row>
    <row r="310" ht="24.0" customHeight="1">
      <c r="A310" s="1"/>
      <c r="B310" s="24" t="str">
        <f>HYPERLINK("https://www.compass.com/listing/205-east-10th-street-unit-2b-manhattan-ny-10003/1804735907844430185/view?agent_id=610d3f3370540700019b0833","205 East 10th Street, Unit 2B")</f>
        <v>205 East 10th Street, Unit 2B</v>
      </c>
      <c r="C310" s="25" t="s">
        <v>22</v>
      </c>
      <c r="D310" s="26" t="s">
        <v>23</v>
      </c>
      <c r="E310" s="27" t="str">
        <f>HYPERLINK("https://www.compass.com/building/205-e-10th-st-manhattan-ny-10003/281890490469584357/","205 E 10th St")</f>
        <v>205 E 10th St</v>
      </c>
      <c r="F310" s="25" t="s">
        <v>24</v>
      </c>
      <c r="G310" s="28">
        <v>1200000.0</v>
      </c>
      <c r="H310" s="28">
        <v>1200.0</v>
      </c>
      <c r="I310" s="28">
        <v>2301.0</v>
      </c>
      <c r="J310" s="28">
        <v>0.0</v>
      </c>
      <c r="K310" s="25" t="s">
        <v>25</v>
      </c>
      <c r="L310" s="26">
        <v>4.0</v>
      </c>
      <c r="M310" s="26">
        <v>2.0</v>
      </c>
      <c r="N310" s="26">
        <v>1.0</v>
      </c>
      <c r="O310" s="26">
        <v>0.0</v>
      </c>
      <c r="P310" s="34">
        <v>1000.0</v>
      </c>
      <c r="Q310" s="35">
        <v>122.0</v>
      </c>
      <c r="R310" s="32">
        <v>45862.0</v>
      </c>
      <c r="S310" s="32">
        <v>45741.0</v>
      </c>
      <c r="T310" s="29"/>
      <c r="U310" s="33"/>
      <c r="V310" s="1"/>
    </row>
    <row r="311" ht="24.0" customHeight="1">
      <c r="A311" s="1"/>
      <c r="B311" s="24" t="str">
        <f>HYPERLINK("https://www.compass.com/listing/40-west-15th-street-unit-1c-manhattan-ny-10011/1804577537300605473/view?agent_id=610d3f3370540700019b0833","40 West 15th Street, Unit 1C")</f>
        <v>40 West 15th Street, Unit 1C</v>
      </c>
      <c r="C311" s="25" t="s">
        <v>22</v>
      </c>
      <c r="D311" s="26" t="s">
        <v>23</v>
      </c>
      <c r="E311" s="27" t="str">
        <f>HYPERLINK("https://www.compass.com/building/the-e-f-caldwell-co-building-manhattan-ny/292805300505835461/","The E. F Caldwell &amp; Co Building")</f>
        <v>The E. F Caldwell &amp; Co Building</v>
      </c>
      <c r="F311" s="25" t="s">
        <v>115</v>
      </c>
      <c r="G311" s="28">
        <v>1600000.0</v>
      </c>
      <c r="H311" s="28">
        <v>914.0</v>
      </c>
      <c r="I311" s="28">
        <v>3413.0</v>
      </c>
      <c r="J311" s="28">
        <v>0.0</v>
      </c>
      <c r="K311" s="25" t="s">
        <v>25</v>
      </c>
      <c r="L311" s="26">
        <v>3.0</v>
      </c>
      <c r="M311" s="26">
        <v>2.0</v>
      </c>
      <c r="N311" s="26">
        <v>1.0</v>
      </c>
      <c r="O311" s="26">
        <v>0.0</v>
      </c>
      <c r="P311" s="34">
        <v>1750.0</v>
      </c>
      <c r="Q311" s="35">
        <v>122.0</v>
      </c>
      <c r="R311" s="32">
        <v>45863.0</v>
      </c>
      <c r="S311" s="32">
        <v>45741.0</v>
      </c>
      <c r="T311" s="29"/>
      <c r="U311" s="33"/>
      <c r="V311" s="1"/>
    </row>
    <row r="312" ht="24.0" customHeight="1">
      <c r="A312" s="1"/>
      <c r="B312" s="24" t="str">
        <f>HYPERLINK("https://www.compass.com/listing/300-east-71st-street-unit-11n-manhattan-ny-10021/1862146887733235641/view?agent_id=610d3f3370540700019b0833","300 East 71st Street, Unit 11N")</f>
        <v>300 East 71st Street, Unit 11N</v>
      </c>
      <c r="C312" s="25" t="s">
        <v>22</v>
      </c>
      <c r="D312" s="26" t="s">
        <v>23</v>
      </c>
      <c r="E312" s="27" t="str">
        <f>HYPERLINK("https://www.compass.com/building/the-theso-manhattan-ny/292850351952958069/","The Theso")</f>
        <v>The Theso</v>
      </c>
      <c r="F312" s="25" t="s">
        <v>64</v>
      </c>
      <c r="G312" s="28">
        <v>1099000.0</v>
      </c>
      <c r="H312" s="28">
        <v>1099.0</v>
      </c>
      <c r="I312" s="28">
        <v>2170.0</v>
      </c>
      <c r="J312" s="28">
        <v>0.0</v>
      </c>
      <c r="K312" s="25" t="s">
        <v>25</v>
      </c>
      <c r="L312" s="26">
        <v>4.0</v>
      </c>
      <c r="M312" s="26">
        <v>2.0</v>
      </c>
      <c r="N312" s="26">
        <v>1.0</v>
      </c>
      <c r="O312" s="26">
        <v>0.0</v>
      </c>
      <c r="P312" s="34">
        <v>1000.0</v>
      </c>
      <c r="Q312" s="35">
        <v>38.0</v>
      </c>
      <c r="R312" s="32">
        <v>45853.0</v>
      </c>
      <c r="S312" s="32">
        <v>45825.0</v>
      </c>
      <c r="T312" s="29"/>
      <c r="U312" s="33"/>
      <c r="V312" s="1"/>
    </row>
    <row r="313" ht="24.0" customHeight="1">
      <c r="A313" s="1"/>
      <c r="B313" s="24" t="str">
        <f>HYPERLINK("https://www.compass.com/listing/100-prince-street-unit-5w-manhattan-ny-10012/1783601890663399601/view?agent_id=610d3f3370540700019b0833","100 Prince Street, Unit 5W")</f>
        <v>100 Prince Street, Unit 5W</v>
      </c>
      <c r="C313" s="25" t="s">
        <v>22</v>
      </c>
      <c r="D313" s="26" t="s">
        <v>23</v>
      </c>
      <c r="E313" s="27" t="str">
        <f>HYPERLINK("https://www.compass.com/building/100-prince-st-manhattan-ny-10012/281912288946971909/","100 Prince St")</f>
        <v>100 Prince St</v>
      </c>
      <c r="F313" s="25" t="s">
        <v>53</v>
      </c>
      <c r="G313" s="28">
        <v>5000000.0</v>
      </c>
      <c r="H313" s="28">
        <v>1969.0</v>
      </c>
      <c r="I313" s="28">
        <v>1750.0</v>
      </c>
      <c r="J313" s="28">
        <v>0.0</v>
      </c>
      <c r="K313" s="25" t="s">
        <v>25</v>
      </c>
      <c r="L313" s="26">
        <v>3.0</v>
      </c>
      <c r="M313" s="26">
        <v>2.0</v>
      </c>
      <c r="N313" s="26">
        <v>1.0</v>
      </c>
      <c r="O313" s="26">
        <v>0.0</v>
      </c>
      <c r="P313" s="34">
        <v>2540.0</v>
      </c>
      <c r="Q313" s="35">
        <v>151.0</v>
      </c>
      <c r="R313" s="32">
        <v>45862.0</v>
      </c>
      <c r="S313" s="32">
        <v>45712.0</v>
      </c>
      <c r="T313" s="29"/>
      <c r="U313" s="33"/>
      <c r="V313" s="1"/>
    </row>
    <row r="314" ht="24.0" customHeight="1">
      <c r="A314" s="1"/>
      <c r="B314" s="24" t="str">
        <f>HYPERLINK("https://www.compass.com/listing/136-east-76th-street-unit-10c-manhattan-ny-10021/1865354829634588953/view?agent_id=610d3f3370540700019b0833","136 East 76th Street, Unit 10C")</f>
        <v>136 East 76th Street, Unit 10C</v>
      </c>
      <c r="C314" s="25" t="s">
        <v>22</v>
      </c>
      <c r="D314" s="26" t="s">
        <v>23</v>
      </c>
      <c r="E314" s="27" t="str">
        <f>HYPERLINK("https://www.compass.com/building/136-e-76th-st-manhattan-ny-10021/281947634925630469/","136 E 76th St")</f>
        <v>136 E 76th St</v>
      </c>
      <c r="F314" s="25" t="s">
        <v>64</v>
      </c>
      <c r="G314" s="28">
        <v>950000.0</v>
      </c>
      <c r="H314" s="29"/>
      <c r="I314" s="28">
        <v>2449.0</v>
      </c>
      <c r="J314" s="28">
        <v>0.0</v>
      </c>
      <c r="K314" s="25" t="s">
        <v>25</v>
      </c>
      <c r="L314" s="26">
        <v>4.0</v>
      </c>
      <c r="M314" s="26">
        <v>2.0</v>
      </c>
      <c r="N314" s="26">
        <v>1.0</v>
      </c>
      <c r="O314" s="26">
        <v>0.0</v>
      </c>
      <c r="P314" s="30"/>
      <c r="Q314" s="35">
        <v>38.0</v>
      </c>
      <c r="R314" s="32">
        <v>45861.0</v>
      </c>
      <c r="S314" s="32">
        <v>45825.0</v>
      </c>
      <c r="T314" s="29"/>
      <c r="U314" s="33"/>
      <c r="V314" s="1"/>
    </row>
    <row r="315" ht="24.0" customHeight="1">
      <c r="A315" s="1"/>
      <c r="B315" s="24" t="str">
        <f>HYPERLINK("https://www.compass.com/listing/531-east-83rd-street-unit-2a-manhattan-ny-10028/1871561265550133961/view?agent_id=610d3f3370540700019b0833","531 East 83rd Street, Unit 2A")</f>
        <v>531 East 83rd Street, Unit 2A</v>
      </c>
      <c r="C315" s="25" t="s">
        <v>22</v>
      </c>
      <c r="D315" s="26" t="s">
        <v>23</v>
      </c>
      <c r="E315" s="27" t="str">
        <f>HYPERLINK("https://www.compass.com/building/531-e-83rd-st-manhattan-ny-10028/281987607213223125/","531 E 83rd St")</f>
        <v>531 E 83rd St</v>
      </c>
      <c r="F315" s="25" t="s">
        <v>44</v>
      </c>
      <c r="G315" s="28">
        <v>625000.0</v>
      </c>
      <c r="H315" s="29"/>
      <c r="I315" s="28">
        <v>1503.0</v>
      </c>
      <c r="J315" s="28">
        <v>0.0</v>
      </c>
      <c r="K315" s="25" t="s">
        <v>25</v>
      </c>
      <c r="L315" s="26">
        <v>4.0</v>
      </c>
      <c r="M315" s="26">
        <v>2.0</v>
      </c>
      <c r="N315" s="26">
        <v>1.0</v>
      </c>
      <c r="O315" s="26">
        <v>0.0</v>
      </c>
      <c r="P315" s="26">
        <v>0.0</v>
      </c>
      <c r="Q315" s="35">
        <v>29.0</v>
      </c>
      <c r="R315" s="32">
        <v>45862.0</v>
      </c>
      <c r="S315" s="32">
        <v>45834.0</v>
      </c>
      <c r="T315" s="29"/>
      <c r="U315" s="33"/>
      <c r="V315" s="1"/>
    </row>
    <row r="316" ht="24.0" customHeight="1">
      <c r="A316" s="1"/>
      <c r="B316" s="24" t="str">
        <f>HYPERLINK("https://www.compass.com/listing/11-west-81st-street-unit-4c-manhattan-ny-10024/1669070156983779201/view?agent_id=610d3f3370540700019b0833","11 West 81st Street, Unit 4C")</f>
        <v>11 West 81st Street, Unit 4C</v>
      </c>
      <c r="C316" s="25" t="s">
        <v>22</v>
      </c>
      <c r="D316" s="26" t="s">
        <v>23</v>
      </c>
      <c r="E316" s="27" t="str">
        <f>HYPERLINK("https://www.compass.com/building/the-hayden-house-manhattan-ny/281961703502063653/","The Hayden House")</f>
        <v>The Hayden House</v>
      </c>
      <c r="F316" s="25" t="s">
        <v>29</v>
      </c>
      <c r="G316" s="28">
        <v>1350000.0</v>
      </c>
      <c r="H316" s="29"/>
      <c r="I316" s="28">
        <v>2211.0</v>
      </c>
      <c r="J316" s="28">
        <v>0.0</v>
      </c>
      <c r="K316" s="25" t="s">
        <v>25</v>
      </c>
      <c r="L316" s="26">
        <v>4.0</v>
      </c>
      <c r="M316" s="26">
        <v>2.0</v>
      </c>
      <c r="N316" s="26">
        <v>1.0</v>
      </c>
      <c r="O316" s="30"/>
      <c r="P316" s="30"/>
      <c r="Q316" s="35">
        <v>271.0</v>
      </c>
      <c r="R316" s="32">
        <v>45705.0</v>
      </c>
      <c r="S316" s="32">
        <v>45554.0</v>
      </c>
      <c r="T316" s="29"/>
      <c r="U316" s="33"/>
      <c r="V316" s="1"/>
    </row>
    <row r="317" ht="24.0" customHeight="1">
      <c r="A317" s="1"/>
      <c r="B317" s="24" t="str">
        <f>HYPERLINK("https://www.compass.com/listing/298-12th-street-unit-2f-brooklyn-ny-11215/1854391381887889809/view?agent_id=610d3f3370540700019b0833","298 12th Street, Unit 2F")</f>
        <v>298 12th Street, Unit 2F</v>
      </c>
      <c r="C317" s="25" t="s">
        <v>22</v>
      </c>
      <c r="D317" s="26" t="s">
        <v>23</v>
      </c>
      <c r="E317" s="27" t="str">
        <f>HYPERLINK("https://www.compass.com/building/298-12th-st-brooklyn-ny-11215/282506481146876437/","298 12th St")</f>
        <v>298 12th St</v>
      </c>
      <c r="F317" s="25" t="s">
        <v>40</v>
      </c>
      <c r="G317" s="28">
        <v>790000.0</v>
      </c>
      <c r="H317" s="28">
        <v>1129.0</v>
      </c>
      <c r="I317" s="28">
        <v>728.0</v>
      </c>
      <c r="J317" s="28">
        <v>6672.0</v>
      </c>
      <c r="K317" s="25" t="s">
        <v>28</v>
      </c>
      <c r="L317" s="26">
        <v>3.0</v>
      </c>
      <c r="M317" s="26">
        <v>2.0</v>
      </c>
      <c r="N317" s="26">
        <v>1.0</v>
      </c>
      <c r="O317" s="26">
        <v>0.0</v>
      </c>
      <c r="P317" s="26">
        <v>700.0</v>
      </c>
      <c r="Q317" s="35">
        <v>53.0</v>
      </c>
      <c r="R317" s="32">
        <v>45856.0</v>
      </c>
      <c r="S317" s="32">
        <v>45810.0</v>
      </c>
      <c r="T317" s="29"/>
      <c r="U317" s="33"/>
      <c r="V317" s="1"/>
    </row>
    <row r="318" ht="24.0" customHeight="1">
      <c r="A318" s="1"/>
      <c r="B318" s="24" t="str">
        <f>HYPERLINK("https://www.compass.com/listing/323-park-avenue-south-unit-5b-manhattan-ny-10010/1861869894855054849/view?agent_id=610d3f3370540700019b0833","323 Park Avenue South, Unit 5B")</f>
        <v>323 Park Avenue South, Unit 5B</v>
      </c>
      <c r="C318" s="25" t="s">
        <v>22</v>
      </c>
      <c r="D318" s="26" t="s">
        <v>23</v>
      </c>
      <c r="E318" s="27" t="str">
        <f>HYPERLINK("https://www.compass.com/building/323-park-ave-s-manhattan-ny-10010/281902874043105941/","323 Park Ave S")</f>
        <v>323 Park Ave S</v>
      </c>
      <c r="F318" s="25" t="s">
        <v>115</v>
      </c>
      <c r="G318" s="28">
        <v>2995000.0</v>
      </c>
      <c r="H318" s="28">
        <v>2269.0</v>
      </c>
      <c r="I318" s="28">
        <v>4140.0</v>
      </c>
      <c r="J318" s="28">
        <v>17136.0</v>
      </c>
      <c r="K318" s="25" t="s">
        <v>28</v>
      </c>
      <c r="L318" s="26">
        <v>6.0</v>
      </c>
      <c r="M318" s="26">
        <v>2.0</v>
      </c>
      <c r="N318" s="30"/>
      <c r="O318" s="30"/>
      <c r="P318" s="34">
        <v>1320.0</v>
      </c>
      <c r="Q318" s="35">
        <v>1661.0</v>
      </c>
      <c r="R318" s="32">
        <v>44282.0</v>
      </c>
      <c r="S318" s="32">
        <v>44202.0</v>
      </c>
      <c r="T318" s="29"/>
      <c r="U318" s="33"/>
      <c r="V318" s="1"/>
    </row>
    <row r="319" ht="24.0" customHeight="1">
      <c r="A319" s="1"/>
      <c r="B319" s="24" t="str">
        <f>HYPERLINK("https://www.compass.com/listing/241-west-97th-street-unit-5n-manhattan-ny-10025/1620792035517762257/view?agent_id=610d3f3370540700019b0833","241 West 97th Street, Unit 5N")</f>
        <v>241 West 97th Street, Unit 5N</v>
      </c>
      <c r="C319" s="25" t="s">
        <v>22</v>
      </c>
      <c r="D319" s="26" t="s">
        <v>23</v>
      </c>
      <c r="E319" s="27" t="str">
        <f>HYPERLINK("https://www.compass.com/building/sabrina-manhattan-ny/282058526048680533/","Sabrina")</f>
        <v>Sabrina</v>
      </c>
      <c r="F319" s="25" t="s">
        <v>29</v>
      </c>
      <c r="G319" s="28">
        <v>1599000.0</v>
      </c>
      <c r="H319" s="28">
        <v>1390.0</v>
      </c>
      <c r="I319" s="28">
        <v>2295.0</v>
      </c>
      <c r="J319" s="28">
        <v>13308.0</v>
      </c>
      <c r="K319" s="25" t="s">
        <v>28</v>
      </c>
      <c r="L319" s="26">
        <v>5.0</v>
      </c>
      <c r="M319" s="26">
        <v>2.0</v>
      </c>
      <c r="N319" s="26">
        <v>1.0</v>
      </c>
      <c r="O319" s="30"/>
      <c r="P319" s="34">
        <v>1150.0</v>
      </c>
      <c r="Q319" s="35">
        <v>377.0</v>
      </c>
      <c r="R319" s="32">
        <v>45488.0</v>
      </c>
      <c r="S319" s="32">
        <v>45486.0</v>
      </c>
      <c r="T319" s="29"/>
      <c r="U319" s="33"/>
      <c r="V319" s="1"/>
    </row>
    <row r="320" ht="24.0" customHeight="1">
      <c r="A320" s="1"/>
      <c r="B320" s="24" t="str">
        <f>HYPERLINK("https://www.compass.com/listing/24-west-69th-street-unit-6b-manhattan-ny-10023/1799350335306977385/view?agent_id=610d3f3370540700019b0833","24 West 69th Street, Unit 6B")</f>
        <v>24 West 69th Street, Unit 6B</v>
      </c>
      <c r="C320" s="25" t="s">
        <v>22</v>
      </c>
      <c r="D320" s="26" t="s">
        <v>23</v>
      </c>
      <c r="E320" s="27" t="str">
        <f>HYPERLINK("https://www.compass.com/building/24-w-69th-st-manhattan-ny-10023/281958774552470405/","24 W 69th St")</f>
        <v>24 W 69th St</v>
      </c>
      <c r="F320" s="25" t="s">
        <v>29</v>
      </c>
      <c r="G320" s="28">
        <v>1500000.0</v>
      </c>
      <c r="H320" s="29"/>
      <c r="I320" s="28">
        <v>2177.0</v>
      </c>
      <c r="J320" s="28">
        <v>0.0</v>
      </c>
      <c r="K320" s="25" t="s">
        <v>25</v>
      </c>
      <c r="L320" s="26">
        <v>4.0</v>
      </c>
      <c r="M320" s="26">
        <v>2.0</v>
      </c>
      <c r="N320" s="26">
        <v>1.0</v>
      </c>
      <c r="O320" s="26">
        <v>0.0</v>
      </c>
      <c r="P320" s="30"/>
      <c r="Q320" s="35">
        <v>129.0</v>
      </c>
      <c r="R320" s="32">
        <v>45831.0</v>
      </c>
      <c r="S320" s="32">
        <v>45734.0</v>
      </c>
      <c r="T320" s="29"/>
      <c r="U320" s="33"/>
      <c r="V320" s="1"/>
    </row>
    <row r="321" ht="24.0" customHeight="1">
      <c r="A321" s="1"/>
      <c r="B321" s="24" t="str">
        <f>HYPERLINK("https://www.compass.com/listing/599-west-end-avenue-unit-12b-manhattan-ny-10024/1846269835037200457/view?agent_id=610d3f3370540700019b0833","599 West End Avenue, Unit 12B")</f>
        <v>599 West End Avenue, Unit 12B</v>
      </c>
      <c r="C321" s="25" t="s">
        <v>22</v>
      </c>
      <c r="D321" s="26" t="s">
        <v>23</v>
      </c>
      <c r="E321" s="27" t="str">
        <f>HYPERLINK("https://www.compass.com/building/599-west-end-ave-manhattan-ny-10024/281925578204947237/","599 West End Ave")</f>
        <v>599 West End Ave</v>
      </c>
      <c r="F321" s="25" t="s">
        <v>29</v>
      </c>
      <c r="G321" s="28">
        <v>799500.0</v>
      </c>
      <c r="H321" s="28">
        <v>1142.0</v>
      </c>
      <c r="I321" s="28">
        <v>2159.0</v>
      </c>
      <c r="J321" s="28">
        <v>0.0</v>
      </c>
      <c r="K321" s="25" t="s">
        <v>25</v>
      </c>
      <c r="L321" s="26">
        <v>4.0</v>
      </c>
      <c r="M321" s="26">
        <v>2.0</v>
      </c>
      <c r="N321" s="26">
        <v>1.0</v>
      </c>
      <c r="O321" s="26">
        <v>0.0</v>
      </c>
      <c r="P321" s="26">
        <v>700.0</v>
      </c>
      <c r="Q321" s="35">
        <v>59.0</v>
      </c>
      <c r="R321" s="32">
        <v>45861.0</v>
      </c>
      <c r="S321" s="32">
        <v>45804.0</v>
      </c>
      <c r="T321" s="29"/>
      <c r="U321" s="33"/>
      <c r="V321" s="1"/>
    </row>
    <row r="322" ht="24.0" customHeight="1">
      <c r="A322" s="1"/>
      <c r="B322" s="24" t="str">
        <f>HYPERLINK("https://www.compass.com/listing/145-prospect-park-west-unit-4d-brooklyn-ny-11215/1858989525557034849/view?agent_id=610d3f3370540700019b0833","145 Prospect Park West, Unit 4D")</f>
        <v>145 Prospect Park West, Unit 4D</v>
      </c>
      <c r="C322" s="25" t="s">
        <v>22</v>
      </c>
      <c r="D322" s="26" t="s">
        <v>23</v>
      </c>
      <c r="E322" s="27" t="str">
        <f>HYPERLINK("https://www.compass.com/building/145-prospect-park-west-brooklyn-ny-11215/282507668378177333/","145 Prospect Park West")</f>
        <v>145 Prospect Park West</v>
      </c>
      <c r="F322" s="25" t="s">
        <v>40</v>
      </c>
      <c r="G322" s="28">
        <v>849000.0</v>
      </c>
      <c r="H322" s="28">
        <v>1617.0</v>
      </c>
      <c r="I322" s="28">
        <v>1167.0</v>
      </c>
      <c r="J322" s="28">
        <v>9381.0</v>
      </c>
      <c r="K322" s="25" t="s">
        <v>28</v>
      </c>
      <c r="L322" s="26">
        <v>4.0</v>
      </c>
      <c r="M322" s="26">
        <v>2.0</v>
      </c>
      <c r="N322" s="26">
        <v>1.0</v>
      </c>
      <c r="O322" s="30"/>
      <c r="P322" s="26">
        <v>525.0</v>
      </c>
      <c r="Q322" s="35">
        <v>46.0</v>
      </c>
      <c r="R322" s="32">
        <v>45862.0</v>
      </c>
      <c r="S322" s="32">
        <v>45816.0</v>
      </c>
      <c r="T322" s="29"/>
      <c r="U322" s="33"/>
      <c r="V322" s="1"/>
    </row>
    <row r="323" ht="24.0" customHeight="1">
      <c r="A323" s="1"/>
      <c r="B323" s="24" t="str">
        <f>HYPERLINK("https://www.compass.com/listing/571-macdonough-street-unit-1-brooklyn-ny-11233/1854295483354723833/view?agent_id=610d3f3370540700019b0833","571 MacDonough Street, Unit 1")</f>
        <v>571 MacDonough Street, Unit 1</v>
      </c>
      <c r="C323" s="25" t="s">
        <v>22</v>
      </c>
      <c r="D323" s="26" t="s">
        <v>23</v>
      </c>
      <c r="E323" s="27" t="str">
        <f>HYPERLINK("https://www.compass.com/building/571-macdonough-st-brooklyn-ny-11233/307439508643233637/","571 Macdonough St")</f>
        <v>571 Macdonough St</v>
      </c>
      <c r="F323" s="25" t="s">
        <v>51</v>
      </c>
      <c r="G323" s="28">
        <v>899000.0</v>
      </c>
      <c r="H323" s="28">
        <v>1051.0</v>
      </c>
      <c r="I323" s="28">
        <v>1091.0</v>
      </c>
      <c r="J323" s="28">
        <v>3636.0</v>
      </c>
      <c r="K323" s="25" t="s">
        <v>28</v>
      </c>
      <c r="L323" s="26">
        <v>4.0</v>
      </c>
      <c r="M323" s="26">
        <v>2.0</v>
      </c>
      <c r="N323" s="26">
        <v>1.0</v>
      </c>
      <c r="O323" s="30"/>
      <c r="P323" s="26">
        <v>855.0</v>
      </c>
      <c r="Q323" s="35">
        <v>55.0</v>
      </c>
      <c r="R323" s="32">
        <v>45810.0</v>
      </c>
      <c r="S323" s="32">
        <v>45808.0</v>
      </c>
      <c r="T323" s="29"/>
      <c r="U323" s="33"/>
      <c r="V323" s="1"/>
    </row>
    <row r="324" ht="24.0" customHeight="1">
      <c r="A324" s="1"/>
      <c r="B324" s="24" t="str">
        <f>HYPERLINK("https://www.compass.com/listing/229-west-97th-street-unit-5g-manhattan-ny-10025/1810883999854274417/view?agent_id=610d3f3370540700019b0833","229 West 97th Street, Unit 5G")</f>
        <v>229 West 97th Street, Unit 5G</v>
      </c>
      <c r="C324" s="25" t="s">
        <v>22</v>
      </c>
      <c r="D324" s="26" t="s">
        <v>23</v>
      </c>
      <c r="E324" s="27" t="str">
        <f>HYPERLINK("https://www.compass.com/building/the-powellton-manhattan-ny/281969611929373941/","The Powellton")</f>
        <v>The Powellton</v>
      </c>
      <c r="F324" s="25" t="s">
        <v>29</v>
      </c>
      <c r="G324" s="28">
        <v>995000.0</v>
      </c>
      <c r="H324" s="28">
        <v>1284.0</v>
      </c>
      <c r="I324" s="28">
        <v>1144.0</v>
      </c>
      <c r="J324" s="28">
        <v>0.0</v>
      </c>
      <c r="K324" s="25" t="s">
        <v>25</v>
      </c>
      <c r="L324" s="26">
        <v>3.0</v>
      </c>
      <c r="M324" s="26">
        <v>2.0</v>
      </c>
      <c r="N324" s="26">
        <v>1.0</v>
      </c>
      <c r="O324" s="26">
        <v>0.0</v>
      </c>
      <c r="P324" s="26">
        <v>775.0</v>
      </c>
      <c r="Q324" s="35">
        <v>113.0</v>
      </c>
      <c r="R324" s="32">
        <v>45862.0</v>
      </c>
      <c r="S324" s="32">
        <v>45750.0</v>
      </c>
      <c r="T324" s="29"/>
      <c r="U324" s="33"/>
      <c r="V324" s="1"/>
    </row>
    <row r="325" ht="24.0" customHeight="1">
      <c r="A325" s="1"/>
      <c r="B325" s="24" t="str">
        <f>HYPERLINK("https://www.compass.com/listing/60-remsen-street-unit-9a-brooklyn-ny-11201/1845162556455521105/view?agent_id=610d3f3370540700019b0833","60 Remsen Street, Unit 9A")</f>
        <v>60 Remsen Street, Unit 9A</v>
      </c>
      <c r="C325" s="25" t="s">
        <v>22</v>
      </c>
      <c r="D325" s="26" t="s">
        <v>23</v>
      </c>
      <c r="E325" s="27" t="str">
        <f>HYPERLINK("https://www.compass.com/building/60-remsen-st-brooklyn-ny-11201/282503829893758421/","60 Remsen St")</f>
        <v>60 Remsen St</v>
      </c>
      <c r="F325" s="25" t="s">
        <v>52</v>
      </c>
      <c r="G325" s="28">
        <v>1350000.0</v>
      </c>
      <c r="H325" s="29"/>
      <c r="I325" s="28">
        <v>2003.0</v>
      </c>
      <c r="J325" s="28">
        <v>0.0</v>
      </c>
      <c r="K325" s="25" t="s">
        <v>25</v>
      </c>
      <c r="L325" s="26">
        <v>4.0</v>
      </c>
      <c r="M325" s="26">
        <v>2.0</v>
      </c>
      <c r="N325" s="26">
        <v>1.0</v>
      </c>
      <c r="O325" s="26">
        <v>0.0</v>
      </c>
      <c r="P325" s="30"/>
      <c r="Q325" s="35">
        <v>66.0</v>
      </c>
      <c r="R325" s="32">
        <v>45830.0</v>
      </c>
      <c r="S325" s="32">
        <v>45797.0</v>
      </c>
      <c r="T325" s="29"/>
      <c r="U325" s="33"/>
      <c r="V325" s="1"/>
    </row>
    <row r="326" ht="24.0" customHeight="1">
      <c r="A326" s="1"/>
      <c r="B326" s="24" t="str">
        <f>HYPERLINK("https://www.compass.com/listing/333-east-80th-street-unit-3g-manhattan-ny-10075/1867439888760598369/view?agent_id=610d3f3370540700019b0833","333 East 80th Street, Unit 3G")</f>
        <v>333 East 80th Street, Unit 3G</v>
      </c>
      <c r="C326" s="25" t="s">
        <v>22</v>
      </c>
      <c r="D326" s="26" t="s">
        <v>23</v>
      </c>
      <c r="E326" s="27" t="str">
        <f>HYPERLINK("https://www.compass.com/building/333-e-80th-st-manhattan-ny-10075/282044117481969141/","333 E 80th St")</f>
        <v>333 E 80th St</v>
      </c>
      <c r="F326" s="25" t="s">
        <v>44</v>
      </c>
      <c r="G326" s="28">
        <v>995000.0</v>
      </c>
      <c r="H326" s="29"/>
      <c r="I326" s="28">
        <v>2084.0</v>
      </c>
      <c r="J326" s="28">
        <v>0.0</v>
      </c>
      <c r="K326" s="25" t="s">
        <v>25</v>
      </c>
      <c r="L326" s="26">
        <v>5.0</v>
      </c>
      <c r="M326" s="26">
        <v>2.0</v>
      </c>
      <c r="N326" s="26">
        <v>1.0</v>
      </c>
      <c r="O326" s="26">
        <v>0.0</v>
      </c>
      <c r="P326" s="30"/>
      <c r="Q326" s="35">
        <v>35.0</v>
      </c>
      <c r="R326" s="32">
        <v>45863.0</v>
      </c>
      <c r="S326" s="32">
        <v>45828.0</v>
      </c>
      <c r="T326" s="29"/>
      <c r="U326" s="33"/>
      <c r="V326" s="1"/>
    </row>
    <row r="327" ht="24.0" customHeight="1">
      <c r="A327" s="1"/>
      <c r="B327" s="24" t="str">
        <f>HYPERLINK("https://www.compass.com/listing/3850-sedgwick-avenue-unit-11f-bronx-ny-10463/1892898647637152057/view?agent_id=610d3f3370540700019b0833","3850 Sedgwick Avenue, Unit 11F")</f>
        <v>3850 Sedgwick Avenue, Unit 11F</v>
      </c>
      <c r="C327" s="25" t="s">
        <v>22</v>
      </c>
      <c r="D327" s="26" t="s">
        <v>23</v>
      </c>
      <c r="E327" s="27" t="str">
        <f>HYPERLINK("https://www.compass.com/building/3850-sedgwick-ave-bronx-ny-10463/293528096584356885/","3850 Sedgwick Ave")</f>
        <v>3850 Sedgwick Ave</v>
      </c>
      <c r="F327" s="25" t="s">
        <v>116</v>
      </c>
      <c r="G327" s="28">
        <v>325000.0</v>
      </c>
      <c r="H327" s="28">
        <v>394.0</v>
      </c>
      <c r="I327" s="28">
        <v>1035.0</v>
      </c>
      <c r="J327" s="29"/>
      <c r="K327" s="25" t="s">
        <v>25</v>
      </c>
      <c r="L327" s="26">
        <v>4.0</v>
      </c>
      <c r="M327" s="26">
        <v>2.0</v>
      </c>
      <c r="N327" s="26">
        <v>1.0</v>
      </c>
      <c r="O327" s="30"/>
      <c r="P327" s="26">
        <v>825.0</v>
      </c>
      <c r="Q327" s="35">
        <v>0.0</v>
      </c>
      <c r="R327" s="32">
        <v>45863.0</v>
      </c>
      <c r="S327" s="32">
        <v>45863.0</v>
      </c>
      <c r="T327" s="29"/>
      <c r="U327" s="33"/>
      <c r="V327" s="1"/>
    </row>
    <row r="328" ht="24.0" customHeight="1">
      <c r="A328" s="1"/>
      <c r="B328" s="24" t="str">
        <f>HYPERLINK("https://www.compass.com/listing/353-2nd-street-unit-4l-brooklyn-ny-11215/1834372677589419457/view?agent_id=610d3f3370540700019b0833","353 2nd Street, Unit 4L")</f>
        <v>353 2nd Street, Unit 4L</v>
      </c>
      <c r="C328" s="25" t="s">
        <v>22</v>
      </c>
      <c r="D328" s="26" t="s">
        <v>23</v>
      </c>
      <c r="E328" s="27" t="str">
        <f>HYPERLINK("https://www.compass.com/building/353-2nd-st-brooklyn-ny-11215/307448872393568533/","353 2nd St")</f>
        <v>353 2nd St</v>
      </c>
      <c r="F328" s="25" t="s">
        <v>40</v>
      </c>
      <c r="G328" s="28">
        <v>1495000.0</v>
      </c>
      <c r="H328" s="29"/>
      <c r="I328" s="28">
        <v>1178.0</v>
      </c>
      <c r="J328" s="28">
        <v>0.0</v>
      </c>
      <c r="K328" s="25" t="s">
        <v>25</v>
      </c>
      <c r="L328" s="26">
        <v>5.0</v>
      </c>
      <c r="M328" s="26">
        <v>2.0</v>
      </c>
      <c r="N328" s="26">
        <v>1.0</v>
      </c>
      <c r="O328" s="26">
        <v>0.0</v>
      </c>
      <c r="P328" s="30"/>
      <c r="Q328" s="35">
        <v>81.0</v>
      </c>
      <c r="R328" s="32">
        <v>45830.0</v>
      </c>
      <c r="S328" s="32">
        <v>45782.0</v>
      </c>
      <c r="T328" s="29"/>
      <c r="U328" s="33"/>
      <c r="V328" s="1"/>
    </row>
    <row r="329" ht="24.0" customHeight="1">
      <c r="A329" s="1"/>
      <c r="B329" s="24" t="str">
        <f>HYPERLINK("https://www.compass.com/listing/702-west-end-avenue-unit-2b-manhattan-ny-10025/1786486464428371873/view?agent_id=610d3f3370540700019b0833","702 West End Avenue, Unit 2B")</f>
        <v>702 West End Avenue, Unit 2B</v>
      </c>
      <c r="C329" s="25" t="s">
        <v>22</v>
      </c>
      <c r="D329" s="26" t="s">
        <v>23</v>
      </c>
      <c r="E329" s="27" t="str">
        <f>HYPERLINK("https://www.compass.com/building/702-west-end-ave-manhattan-ny-10025/281973033541918005/","702 West End Ave")</f>
        <v>702 West End Ave</v>
      </c>
      <c r="F329" s="25" t="s">
        <v>29</v>
      </c>
      <c r="G329" s="28">
        <v>849000.0</v>
      </c>
      <c r="H329" s="28">
        <v>849.0</v>
      </c>
      <c r="I329" s="28">
        <v>1594.0</v>
      </c>
      <c r="J329" s="28">
        <v>0.0</v>
      </c>
      <c r="K329" s="25" t="s">
        <v>25</v>
      </c>
      <c r="L329" s="26">
        <v>4.0</v>
      </c>
      <c r="M329" s="26">
        <v>2.0</v>
      </c>
      <c r="N329" s="26">
        <v>1.0</v>
      </c>
      <c r="O329" s="26">
        <v>0.0</v>
      </c>
      <c r="P329" s="34">
        <v>1000.0</v>
      </c>
      <c r="Q329" s="35">
        <v>147.0</v>
      </c>
      <c r="R329" s="32">
        <v>45862.0</v>
      </c>
      <c r="S329" s="32">
        <v>45716.0</v>
      </c>
      <c r="T329" s="29"/>
      <c r="U329" s="33"/>
      <c r="V329" s="1"/>
    </row>
    <row r="330" ht="24.0" customHeight="1">
      <c r="A330" s="1"/>
      <c r="B330" s="24" t="str">
        <f>HYPERLINK("https://www.compass.com/listing/662-10th-avenue-unit-4n-manhattan-ny-10036/1783655471081318361/view?agent_id=610d3f3370540700019b0833","662 10th Avenue, Unit 4N")</f>
        <v>662 10th Avenue, Unit 4N</v>
      </c>
      <c r="C330" s="25" t="s">
        <v>22</v>
      </c>
      <c r="D330" s="26" t="s">
        <v>23</v>
      </c>
      <c r="E330" s="27" t="str">
        <f>HYPERLINK("https://www.compass.com/building/662-10th-ave-manhattan-ny-10036/282063099886866821/","662 10th Ave")</f>
        <v>662 10th Ave</v>
      </c>
      <c r="F330" s="25" t="s">
        <v>47</v>
      </c>
      <c r="G330" s="28">
        <v>499000.0</v>
      </c>
      <c r="H330" s="29"/>
      <c r="I330" s="28">
        <v>358.0</v>
      </c>
      <c r="J330" s="28">
        <v>0.0</v>
      </c>
      <c r="K330" s="25" t="s">
        <v>25</v>
      </c>
      <c r="L330" s="26">
        <v>4.0</v>
      </c>
      <c r="M330" s="26">
        <v>2.0</v>
      </c>
      <c r="N330" s="26">
        <v>1.0</v>
      </c>
      <c r="O330" s="30"/>
      <c r="P330" s="30"/>
      <c r="Q330" s="35">
        <v>150.0</v>
      </c>
      <c r="R330" s="32">
        <v>45712.0</v>
      </c>
      <c r="S330" s="32">
        <v>45712.0</v>
      </c>
      <c r="T330" s="29"/>
      <c r="U330" s="33"/>
      <c r="V330" s="1"/>
    </row>
    <row r="331" ht="24.0" customHeight="1">
      <c r="A331" s="1"/>
      <c r="B331" s="24" t="str">
        <f>HYPERLINK("https://www.compass.com/listing/240-ocean-parkway-unit-2d-brooklyn-ny-11218/1885341033444428217/view?agent_id=610d3f3370540700019b0833","240 Ocean Parkway, Unit 2D")</f>
        <v>240 Ocean Parkway, Unit 2D</v>
      </c>
      <c r="C331" s="25" t="s">
        <v>22</v>
      </c>
      <c r="D331" s="26" t="s">
        <v>23</v>
      </c>
      <c r="E331" s="27" t="str">
        <f>HYPERLINK("https://www.compass.com/building/240-ocean-pkwy-brooklyn-ny-11218/293527137321747477/","240 Ocean Pkwy")</f>
        <v>240 Ocean Pkwy</v>
      </c>
      <c r="F331" s="25" t="s">
        <v>117</v>
      </c>
      <c r="G331" s="28">
        <v>425000.0</v>
      </c>
      <c r="H331" s="28">
        <v>407.0</v>
      </c>
      <c r="I331" s="28">
        <v>1079.0</v>
      </c>
      <c r="J331" s="28">
        <v>0.0</v>
      </c>
      <c r="K331" s="25" t="s">
        <v>25</v>
      </c>
      <c r="L331" s="26">
        <v>4.0</v>
      </c>
      <c r="M331" s="26">
        <v>2.0</v>
      </c>
      <c r="N331" s="26">
        <v>1.0</v>
      </c>
      <c r="O331" s="30"/>
      <c r="P331" s="34">
        <v>1044.0</v>
      </c>
      <c r="Q331" s="35">
        <v>11.0</v>
      </c>
      <c r="R331" s="32">
        <v>45853.0</v>
      </c>
      <c r="S331" s="32">
        <v>45852.0</v>
      </c>
      <c r="T331" s="29"/>
      <c r="U331" s="33"/>
      <c r="V331" s="1"/>
    </row>
    <row r="332" ht="24.0" customHeight="1">
      <c r="A332" s="1"/>
      <c r="B332" s="24" t="str">
        <f>HYPERLINK("https://www.compass.com/listing/760-west-end-avenue-unit-1a-manhattan-ny-10025/1826196073827817281/view?agent_id=610d3f3370540700019b0833","760 West End Avenue, Unit 1A")</f>
        <v>760 West End Avenue, Unit 1A</v>
      </c>
      <c r="C332" s="25" t="s">
        <v>22</v>
      </c>
      <c r="D332" s="26" t="s">
        <v>23</v>
      </c>
      <c r="E332" s="27" t="str">
        <f>HYPERLINK("https://www.compass.com/building/760-west-end-ave-manhattan-ny-10025/281973168288128101/","760 West End Ave")</f>
        <v>760 West End Ave</v>
      </c>
      <c r="F332" s="25" t="s">
        <v>29</v>
      </c>
      <c r="G332" s="28">
        <v>799000.0</v>
      </c>
      <c r="H332" s="29"/>
      <c r="I332" s="28">
        <v>2072.0</v>
      </c>
      <c r="J332" s="28">
        <v>0.0</v>
      </c>
      <c r="K332" s="25" t="s">
        <v>25</v>
      </c>
      <c r="L332" s="26">
        <v>5.0</v>
      </c>
      <c r="M332" s="26">
        <v>2.0</v>
      </c>
      <c r="N332" s="26">
        <v>1.0</v>
      </c>
      <c r="O332" s="26">
        <v>0.0</v>
      </c>
      <c r="P332" s="30"/>
      <c r="Q332" s="35">
        <v>90.0</v>
      </c>
      <c r="R332" s="32">
        <v>45858.0</v>
      </c>
      <c r="S332" s="32">
        <v>45771.0</v>
      </c>
      <c r="T332" s="29"/>
      <c r="U332" s="33"/>
      <c r="V332" s="1"/>
    </row>
    <row r="333" ht="24.0" customHeight="1">
      <c r="A333" s="1"/>
      <c r="B333" s="24" t="str">
        <f>HYPERLINK("https://www.compass.com/listing/47-west-76th-street-unit-2-manhattan-ny-10024/1876004083031144297/view?agent_id=610d3f3370540700019b0833","47 West 76th Street, Unit 2")</f>
        <v>47 West 76th Street, Unit 2</v>
      </c>
      <c r="C333" s="25" t="s">
        <v>22</v>
      </c>
      <c r="D333" s="26" t="s">
        <v>23</v>
      </c>
      <c r="E333" s="27" t="str">
        <f>HYPERLINK("https://www.compass.com/building/47-w-76th-st-manhattan-ny-10024/281960752653345797/","47 W 76th St")</f>
        <v>47 W 76th St</v>
      </c>
      <c r="F333" s="36"/>
      <c r="G333" s="28">
        <v>1575000.0</v>
      </c>
      <c r="H333" s="29"/>
      <c r="I333" s="28">
        <v>2335.0</v>
      </c>
      <c r="J333" s="28">
        <v>0.0</v>
      </c>
      <c r="K333" s="25" t="s">
        <v>25</v>
      </c>
      <c r="L333" s="26">
        <v>4.0</v>
      </c>
      <c r="M333" s="26">
        <v>2.0</v>
      </c>
      <c r="N333" s="30"/>
      <c r="O333" s="30"/>
      <c r="P333" s="30"/>
      <c r="Q333" s="35">
        <v>2007.0</v>
      </c>
      <c r="R333" s="32">
        <v>43762.0</v>
      </c>
      <c r="S333" s="32">
        <v>43762.0</v>
      </c>
      <c r="T333" s="29"/>
      <c r="U333" s="33"/>
      <c r="V333" s="1"/>
    </row>
    <row r="334" ht="24.0" customHeight="1">
      <c r="A334" s="1"/>
      <c r="B334" s="24" t="str">
        <f>HYPERLINK("https://www.compass.com/listing/160-wadsworth-avenue-unit-605-manhattan-ny-10033/1814021117795858185/view?agent_id=610d3f3370540700019b0833","160 Wadsworth Avenue, Unit 605")</f>
        <v>160 Wadsworth Avenue, Unit 605</v>
      </c>
      <c r="C334" s="25" t="s">
        <v>22</v>
      </c>
      <c r="D334" s="26" t="s">
        <v>23</v>
      </c>
      <c r="E334" s="27" t="str">
        <f>HYPERLINK("https://www.compass.com/building/broadway-condominium-manhattan-ny/282059964812394661/","Broadway Condominium")</f>
        <v>Broadway Condominium</v>
      </c>
      <c r="F334" s="25" t="s">
        <v>77</v>
      </c>
      <c r="G334" s="28">
        <v>488000.0</v>
      </c>
      <c r="H334" s="28">
        <v>668.0</v>
      </c>
      <c r="I334" s="28">
        <v>900.0</v>
      </c>
      <c r="J334" s="28">
        <v>4189.0</v>
      </c>
      <c r="K334" s="25" t="s">
        <v>28</v>
      </c>
      <c r="L334" s="26">
        <v>5.0</v>
      </c>
      <c r="M334" s="26">
        <v>2.0</v>
      </c>
      <c r="N334" s="26">
        <v>1.0</v>
      </c>
      <c r="O334" s="30"/>
      <c r="P334" s="26">
        <v>731.0</v>
      </c>
      <c r="Q334" s="35">
        <v>109.0</v>
      </c>
      <c r="R334" s="32">
        <v>45758.0</v>
      </c>
      <c r="S334" s="32">
        <v>45754.0</v>
      </c>
      <c r="T334" s="29"/>
      <c r="U334" s="33"/>
      <c r="V334" s="1"/>
    </row>
    <row r="335" ht="24.0" customHeight="1">
      <c r="A335" s="1"/>
      <c r="B335" s="24" t="str">
        <f>HYPERLINK("https://www.compass.com/listing/67-69-st-nicholas-avenue-unit-21-manhattan-ny-10026/1880994395073169937/view?agent_id=610d3f3370540700019b0833","67-69 St Nicholas Avenue, Unit 21")</f>
        <v>67-69 St Nicholas Avenue, Unit 21</v>
      </c>
      <c r="C335" s="25" t="s">
        <v>22</v>
      </c>
      <c r="D335" s="26" t="s">
        <v>23</v>
      </c>
      <c r="E335" s="27" t="str">
        <f>HYPERLINK("https://www.compass.com/building/67-69-st-nicholas-ave-manhattan-ny-10026/441147080401259213/","67-69 St Nicholas Ave")</f>
        <v>67-69 St Nicholas Ave</v>
      </c>
      <c r="F335" s="25" t="s">
        <v>45</v>
      </c>
      <c r="G335" s="28">
        <v>799999.0</v>
      </c>
      <c r="H335" s="29"/>
      <c r="I335" s="28">
        <v>1058.0</v>
      </c>
      <c r="J335" s="28">
        <v>0.0</v>
      </c>
      <c r="K335" s="25" t="s">
        <v>25</v>
      </c>
      <c r="L335" s="26">
        <v>5.0</v>
      </c>
      <c r="M335" s="26">
        <v>2.0</v>
      </c>
      <c r="N335" s="26">
        <v>1.0</v>
      </c>
      <c r="O335" s="26">
        <v>0.0</v>
      </c>
      <c r="P335" s="30"/>
      <c r="Q335" s="35">
        <v>17.0</v>
      </c>
      <c r="R335" s="32">
        <v>45847.0</v>
      </c>
      <c r="S335" s="32">
        <v>45846.0</v>
      </c>
      <c r="T335" s="29"/>
      <c r="U335" s="33"/>
      <c r="V335" s="1"/>
    </row>
    <row r="336" ht="24.0" customHeight="1">
      <c r="A336" s="1"/>
      <c r="B336" s="24" t="str">
        <f>HYPERLINK("https://www.compass.com/listing/256-putnam-avenue-unit-ph-brooklyn-ny-11216/1827109338368709201/view?agent_id=610d3f3370540700019b0833","256 Putnam Avenue, Unit PH")</f>
        <v>256 Putnam Avenue, Unit PH</v>
      </c>
      <c r="C336" s="25" t="s">
        <v>22</v>
      </c>
      <c r="D336" s="26" t="s">
        <v>23</v>
      </c>
      <c r="E336" s="27" t="str">
        <f>HYPERLINK("https://www.compass.com/building/256-putnam-ave-brooklyn-ny-11216/293528916772077333/","256 Putnam Ave")</f>
        <v>256 Putnam Ave</v>
      </c>
      <c r="F336" s="25" t="s">
        <v>51</v>
      </c>
      <c r="G336" s="28">
        <v>1225000.0</v>
      </c>
      <c r="H336" s="28">
        <v>1531.0</v>
      </c>
      <c r="I336" s="28">
        <v>1066.0</v>
      </c>
      <c r="J336" s="28">
        <v>4452.0</v>
      </c>
      <c r="K336" s="25" t="s">
        <v>118</v>
      </c>
      <c r="L336" s="26">
        <v>4.0</v>
      </c>
      <c r="M336" s="26">
        <v>2.0</v>
      </c>
      <c r="N336" s="26">
        <v>1.0</v>
      </c>
      <c r="O336" s="26">
        <v>0.0</v>
      </c>
      <c r="P336" s="26">
        <v>800.0</v>
      </c>
      <c r="Q336" s="35">
        <v>91.0</v>
      </c>
      <c r="R336" s="32">
        <v>45863.0</v>
      </c>
      <c r="S336" s="32">
        <v>45772.0</v>
      </c>
      <c r="T336" s="29"/>
      <c r="U336" s="33"/>
      <c r="V336" s="1"/>
    </row>
    <row r="337" ht="24.0" customHeight="1">
      <c r="A337" s="1"/>
      <c r="B337" s="24" t="str">
        <f>HYPERLINK("https://www.compass.com/listing/273-bennett-avenue-unit-8b-manhattan-ny-10040/1888296594016153713/view?agent_id=610d3f3370540700019b0833","273 Bennett Avenue, Unit 8B")</f>
        <v>273 Bennett Avenue, Unit 8B</v>
      </c>
      <c r="C337" s="25" t="s">
        <v>22</v>
      </c>
      <c r="D337" s="26" t="s">
        <v>23</v>
      </c>
      <c r="E337" s="27" t="str">
        <f>HYPERLINK("https://www.compass.com/building/fort-tryon-gardens-manhattan-ny/282065323035758757/","Fort Tryon Gardens")</f>
        <v>Fort Tryon Gardens</v>
      </c>
      <c r="F337" s="25" t="s">
        <v>58</v>
      </c>
      <c r="G337" s="28">
        <v>550000.0</v>
      </c>
      <c r="H337" s="28">
        <v>606.0</v>
      </c>
      <c r="I337" s="28">
        <v>1301.0</v>
      </c>
      <c r="J337" s="28">
        <v>0.0</v>
      </c>
      <c r="K337" s="25" t="s">
        <v>25</v>
      </c>
      <c r="L337" s="26">
        <v>4.0</v>
      </c>
      <c r="M337" s="26">
        <v>2.0</v>
      </c>
      <c r="N337" s="26">
        <v>1.0</v>
      </c>
      <c r="O337" s="26">
        <v>0.0</v>
      </c>
      <c r="P337" s="26">
        <v>907.0</v>
      </c>
      <c r="Q337" s="35">
        <v>6.0</v>
      </c>
      <c r="R337" s="32">
        <v>45857.0</v>
      </c>
      <c r="S337" s="32">
        <v>45857.0</v>
      </c>
      <c r="T337" s="29"/>
      <c r="U337" s="33"/>
      <c r="V337" s="1"/>
    </row>
    <row r="338" ht="24.0" customHeight="1">
      <c r="A338" s="1"/>
      <c r="B338" s="24" t="str">
        <f>HYPERLINK("https://www.compass.com/listing/561-broadway-unit-8b-manhattan-ny-10012/1826905013905977721/view?agent_id=610d3f3370540700019b0833","561 Broadway, Unit 8B")</f>
        <v>561 Broadway, Unit 8B</v>
      </c>
      <c r="C338" s="25" t="s">
        <v>22</v>
      </c>
      <c r="D338" s="26" t="s">
        <v>23</v>
      </c>
      <c r="E338" s="27" t="str">
        <f>HYPERLINK("https://www.compass.com/building/561-broadway-88-prince-st-manhattan-ny/293533306362869413/","561 Broadway-88 Prince St")</f>
        <v>561 Broadway-88 Prince St</v>
      </c>
      <c r="F338" s="25" t="s">
        <v>53</v>
      </c>
      <c r="G338" s="28">
        <v>2700000.0</v>
      </c>
      <c r="H338" s="28">
        <v>1500.0</v>
      </c>
      <c r="I338" s="28">
        <v>4284.0</v>
      </c>
      <c r="J338" s="28">
        <v>0.0</v>
      </c>
      <c r="K338" s="25" t="s">
        <v>25</v>
      </c>
      <c r="L338" s="26">
        <v>4.0</v>
      </c>
      <c r="M338" s="26">
        <v>2.0</v>
      </c>
      <c r="N338" s="26">
        <v>1.0</v>
      </c>
      <c r="O338" s="26">
        <v>0.0</v>
      </c>
      <c r="P338" s="34">
        <v>1800.0</v>
      </c>
      <c r="Q338" s="35">
        <v>89.0</v>
      </c>
      <c r="R338" s="32">
        <v>45854.0</v>
      </c>
      <c r="S338" s="32">
        <v>45772.0</v>
      </c>
      <c r="T338" s="29"/>
      <c r="U338" s="33"/>
      <c r="V338" s="1"/>
    </row>
    <row r="339" ht="24.0" customHeight="1">
      <c r="A339" s="1"/>
      <c r="B339" s="24" t="str">
        <f>HYPERLINK("https://www.compass.com/listing/530-f-grand-street-unit-8e-manhattan-ny-10002/1892585650804673449/view?agent_id=610d3f3370540700019b0833","530 F Grand Street, Unit 8E")</f>
        <v>530 F Grand Street, Unit 8E</v>
      </c>
      <c r="C339" s="25" t="s">
        <v>22</v>
      </c>
      <c r="D339" s="26" t="s">
        <v>23</v>
      </c>
      <c r="E339" s="27" t="str">
        <f>HYPERLINK("https://www.compass.com/building/530-f-grand-st-manhattan-ny-10002/389281557562068405/","530 F Grand St")</f>
        <v>530 F Grand St</v>
      </c>
      <c r="F339" s="25" t="s">
        <v>119</v>
      </c>
      <c r="G339" s="28">
        <v>769000.0</v>
      </c>
      <c r="H339" s="28">
        <v>945.0</v>
      </c>
      <c r="I339" s="28">
        <v>1415.0</v>
      </c>
      <c r="J339" s="28">
        <v>0.0</v>
      </c>
      <c r="K339" s="25" t="s">
        <v>25</v>
      </c>
      <c r="L339" s="26">
        <v>4.0</v>
      </c>
      <c r="M339" s="26">
        <v>2.0</v>
      </c>
      <c r="N339" s="26">
        <v>1.0</v>
      </c>
      <c r="O339" s="30"/>
      <c r="P339" s="26">
        <v>814.0</v>
      </c>
      <c r="Q339" s="35">
        <v>1.0</v>
      </c>
      <c r="R339" s="32">
        <v>45863.0</v>
      </c>
      <c r="S339" s="32">
        <v>45862.0</v>
      </c>
      <c r="T339" s="29"/>
      <c r="U339" s="33"/>
      <c r="V339" s="1"/>
    </row>
    <row r="340" ht="24.0" customHeight="1">
      <c r="A340" s="1"/>
      <c r="B340" s="24" t="str">
        <f>HYPERLINK("https://www.compass.com/listing/760-west-end-avenue-unit-1b-manhattan-ny-10025/1819038605708122337/view?agent_id=610d3f3370540700019b0833","760 West End Avenue, Unit 1B")</f>
        <v>760 West End Avenue, Unit 1B</v>
      </c>
      <c r="C340" s="25" t="s">
        <v>22</v>
      </c>
      <c r="D340" s="26" t="s">
        <v>23</v>
      </c>
      <c r="E340" s="27" t="str">
        <f>HYPERLINK("https://www.compass.com/building/760-west-end-ave-manhattan-ny-10025/281973168288128101/","760 West End Ave")</f>
        <v>760 West End Ave</v>
      </c>
      <c r="F340" s="25" t="s">
        <v>29</v>
      </c>
      <c r="G340" s="28">
        <v>720000.0</v>
      </c>
      <c r="H340" s="28">
        <v>720.0</v>
      </c>
      <c r="I340" s="28">
        <v>1734.0</v>
      </c>
      <c r="J340" s="28">
        <v>0.0</v>
      </c>
      <c r="K340" s="25" t="s">
        <v>25</v>
      </c>
      <c r="L340" s="26">
        <v>4.0</v>
      </c>
      <c r="M340" s="26">
        <v>2.0</v>
      </c>
      <c r="N340" s="26">
        <v>1.0</v>
      </c>
      <c r="O340" s="26">
        <v>0.0</v>
      </c>
      <c r="P340" s="34">
        <v>1000.0</v>
      </c>
      <c r="Q340" s="35">
        <v>102.0</v>
      </c>
      <c r="R340" s="32">
        <v>45844.0</v>
      </c>
      <c r="S340" s="32">
        <v>45761.0</v>
      </c>
      <c r="T340" s="29"/>
      <c r="U340" s="33"/>
      <c r="V340" s="1"/>
    </row>
    <row r="341" ht="24.0" customHeight="1">
      <c r="A341" s="1"/>
      <c r="B341" s="24" t="str">
        <f>HYPERLINK("https://www.compass.com/listing/285-lafayette-street-unit-2d-manhattan-ny-10012/1813716862539173097/view?agent_id=610d3f3370540700019b0833","285 Lafayette Street, Unit 2D")</f>
        <v>285 Lafayette Street, Unit 2D</v>
      </c>
      <c r="C341" s="25" t="s">
        <v>22</v>
      </c>
      <c r="D341" s="26" t="s">
        <v>23</v>
      </c>
      <c r="E341" s="27" t="str">
        <f>HYPERLINK("https://www.compass.com/building/285-lafayette-st-manhattan-ny-10012/281914746028978725/","285 Lafayette St")</f>
        <v>285 Lafayette St</v>
      </c>
      <c r="F341" s="25" t="s">
        <v>101</v>
      </c>
      <c r="G341" s="28">
        <v>2850000.0</v>
      </c>
      <c r="H341" s="28">
        <v>1900.0</v>
      </c>
      <c r="I341" s="28">
        <v>2421.0</v>
      </c>
      <c r="J341" s="28">
        <v>12972.0</v>
      </c>
      <c r="K341" s="25" t="s">
        <v>28</v>
      </c>
      <c r="L341" s="26">
        <v>4.0</v>
      </c>
      <c r="M341" s="26">
        <v>2.0</v>
      </c>
      <c r="N341" s="26">
        <v>1.0</v>
      </c>
      <c r="O341" s="26">
        <v>0.0</v>
      </c>
      <c r="P341" s="34">
        <v>1500.0</v>
      </c>
      <c r="Q341" s="35">
        <v>107.0</v>
      </c>
      <c r="R341" s="32">
        <v>45812.0</v>
      </c>
      <c r="S341" s="32">
        <v>45756.0</v>
      </c>
      <c r="T341" s="29"/>
      <c r="U341" s="33"/>
      <c r="V341" s="1"/>
    </row>
    <row r="342" ht="24.0" customHeight="1">
      <c r="A342" s="1"/>
      <c r="B342" s="24" t="str">
        <f>HYPERLINK("https://www.compass.com/listing/175-west-93rd-street-unit-5h-manhattan-ny-10025/1780377313249776081/view?agent_id=610d3f3370540700019b0833","175 West 93rd Street, Unit 5H")</f>
        <v>175 West 93rd Street, Unit 5H</v>
      </c>
      <c r="C342" s="25" t="s">
        <v>22</v>
      </c>
      <c r="D342" s="26" t="s">
        <v>23</v>
      </c>
      <c r="E342" s="27" t="str">
        <f>HYPERLINK("https://www.compass.com/building/the-westwind-manhattan-ny/292824020884175189/","The Westwind")</f>
        <v>The Westwind</v>
      </c>
      <c r="F342" s="25" t="s">
        <v>29</v>
      </c>
      <c r="G342" s="28">
        <v>1250000.0</v>
      </c>
      <c r="H342" s="29"/>
      <c r="I342" s="28">
        <v>2024.0</v>
      </c>
      <c r="J342" s="28">
        <v>0.0</v>
      </c>
      <c r="K342" s="25" t="s">
        <v>25</v>
      </c>
      <c r="L342" s="26">
        <v>4.0</v>
      </c>
      <c r="M342" s="26">
        <v>2.0</v>
      </c>
      <c r="N342" s="26">
        <v>1.0</v>
      </c>
      <c r="O342" s="30"/>
      <c r="P342" s="30"/>
      <c r="Q342" s="35">
        <v>156.0</v>
      </c>
      <c r="R342" s="32">
        <v>45708.0</v>
      </c>
      <c r="S342" s="32">
        <v>45707.0</v>
      </c>
      <c r="T342" s="29"/>
      <c r="U342" s="33"/>
      <c r="V342" s="1"/>
    </row>
    <row r="343" ht="24.0" customHeight="1">
      <c r="A343" s="1"/>
      <c r="B343" s="24" t="str">
        <f>HYPERLINK("https://www.compass.com/listing/54-veronica-place-unit-2d-brooklyn-ny-11226/1834941403082312609/view?agent_id=610d3f3370540700019b0833","54 Veronica Place, Unit 2D")</f>
        <v>54 Veronica Place, Unit 2D</v>
      </c>
      <c r="C343" s="25" t="s">
        <v>22</v>
      </c>
      <c r="D343" s="26" t="s">
        <v>23</v>
      </c>
      <c r="E343" s="27" t="str">
        <f>HYPERLINK("https://www.compass.com/building/54-veronica-pl-brooklyn-ny-11226/307437211557404485/","54 Veronica Pl")</f>
        <v>54 Veronica Pl</v>
      </c>
      <c r="F343" s="25" t="s">
        <v>112</v>
      </c>
      <c r="G343" s="28">
        <v>535000.0</v>
      </c>
      <c r="H343" s="28">
        <v>648.0</v>
      </c>
      <c r="I343" s="28">
        <v>425.0</v>
      </c>
      <c r="J343" s="28">
        <v>0.0</v>
      </c>
      <c r="K343" s="25" t="s">
        <v>28</v>
      </c>
      <c r="L343" s="26">
        <v>4.0</v>
      </c>
      <c r="M343" s="26">
        <v>2.0</v>
      </c>
      <c r="N343" s="26">
        <v>1.0</v>
      </c>
      <c r="O343" s="30"/>
      <c r="P343" s="26">
        <v>826.0</v>
      </c>
      <c r="Q343" s="35">
        <v>81.0</v>
      </c>
      <c r="R343" s="32">
        <v>45783.0</v>
      </c>
      <c r="S343" s="32">
        <v>45782.0</v>
      </c>
      <c r="T343" s="29"/>
      <c r="U343" s="33"/>
      <c r="V343" s="1"/>
    </row>
    <row r="344" ht="24.0" customHeight="1">
      <c r="A344" s="1"/>
      <c r="B344" s="24" t="str">
        <f>HYPERLINK("https://www.compass.com/listing/3260-netherland-avenue-unit-5c-bronx-ny-10463/1890419337570411057/view?agent_id=610d3f3370540700019b0833","3260 Netherland Avenue, Unit 5C")</f>
        <v>3260 Netherland Avenue, Unit 5C</v>
      </c>
      <c r="C344" s="25" t="s">
        <v>22</v>
      </c>
      <c r="D344" s="26" t="s">
        <v>23</v>
      </c>
      <c r="E344" s="27" t="str">
        <f>HYPERLINK("https://www.compass.com/building/3260-netherland-ave-bronx-ny-10463/293533732126708853/","3260 Netherland Ave")</f>
        <v>3260 Netherland Ave</v>
      </c>
      <c r="F344" s="25" t="s">
        <v>84</v>
      </c>
      <c r="G344" s="28">
        <v>399000.0</v>
      </c>
      <c r="H344" s="28">
        <v>384.0</v>
      </c>
      <c r="I344" s="28">
        <v>1227.0</v>
      </c>
      <c r="J344" s="28">
        <v>0.0</v>
      </c>
      <c r="K344" s="25" t="s">
        <v>25</v>
      </c>
      <c r="L344" s="26">
        <v>4.0</v>
      </c>
      <c r="M344" s="26">
        <v>2.0</v>
      </c>
      <c r="N344" s="26">
        <v>1.0</v>
      </c>
      <c r="O344" s="30"/>
      <c r="P344" s="34">
        <v>1040.0</v>
      </c>
      <c r="Q344" s="35">
        <v>4.0</v>
      </c>
      <c r="R344" s="32">
        <v>45860.0</v>
      </c>
      <c r="S344" s="32">
        <v>45859.0</v>
      </c>
      <c r="T344" s="29"/>
      <c r="U344" s="33"/>
      <c r="V344" s="1"/>
    </row>
    <row r="345" ht="24.0" customHeight="1">
      <c r="A345" s="1"/>
      <c r="B345" s="24" t="str">
        <f>HYPERLINK("https://www.compass.com/listing/200-rector-place-unit-5u-manhattan-ny-10280/1875515639175106649/view?agent_id=610d3f3370540700019b0833","200 Rector Place, Unit 5U")</f>
        <v>200 Rector Place, Unit 5U</v>
      </c>
      <c r="C345" s="25" t="s">
        <v>22</v>
      </c>
      <c r="D345" s="26" t="s">
        <v>23</v>
      </c>
      <c r="E345" s="27" t="str">
        <f>HYPERLINK("https://www.compass.com/building/liberty-court-manhattan-ny/282053970313115813/","Liberty Court")</f>
        <v>Liberty Court</v>
      </c>
      <c r="F345" s="25" t="s">
        <v>103</v>
      </c>
      <c r="G345" s="28">
        <v>1025000.0</v>
      </c>
      <c r="H345" s="29"/>
      <c r="I345" s="28">
        <v>2738.0</v>
      </c>
      <c r="J345" s="28">
        <v>18396.0</v>
      </c>
      <c r="K345" s="25" t="s">
        <v>28</v>
      </c>
      <c r="L345" s="26">
        <v>5.0</v>
      </c>
      <c r="M345" s="26">
        <v>2.0</v>
      </c>
      <c r="N345" s="26">
        <v>1.0</v>
      </c>
      <c r="O345" s="26">
        <v>0.0</v>
      </c>
      <c r="P345" s="30"/>
      <c r="Q345" s="35">
        <v>24.0</v>
      </c>
      <c r="R345" s="32">
        <v>45863.0</v>
      </c>
      <c r="S345" s="32">
        <v>45839.0</v>
      </c>
      <c r="T345" s="29"/>
      <c r="U345" s="33"/>
      <c r="V345" s="1"/>
    </row>
    <row r="346" ht="24.0" customHeight="1">
      <c r="A346" s="1"/>
      <c r="B346" s="24" t="str">
        <f>HYPERLINK("https://www.compass.com/listing/1065-lexington-avenue-unit-pha-manhattan-ny-10021/1859499283921458329/view?agent_id=610d3f3370540700019b0833","1065 Lexington Avenue, Unit PHA")</f>
        <v>1065 Lexington Avenue, Unit PHA</v>
      </c>
      <c r="C346" s="25" t="s">
        <v>22</v>
      </c>
      <c r="D346" s="26" t="s">
        <v>23</v>
      </c>
      <c r="E346" s="27" t="str">
        <f>HYPERLINK("https://www.compass.com/building/1065-lexington-ave-manhattan-ny-10021/281947606983178885/","1065 Lexington Ave")</f>
        <v>1065 Lexington Ave</v>
      </c>
      <c r="F346" s="25" t="s">
        <v>64</v>
      </c>
      <c r="G346" s="28">
        <v>1795000.0</v>
      </c>
      <c r="H346" s="28">
        <v>1795.0</v>
      </c>
      <c r="I346" s="28">
        <v>6579.0</v>
      </c>
      <c r="J346" s="28">
        <v>0.0</v>
      </c>
      <c r="K346" s="25" t="s">
        <v>25</v>
      </c>
      <c r="L346" s="26">
        <v>4.0</v>
      </c>
      <c r="M346" s="26">
        <v>2.0</v>
      </c>
      <c r="N346" s="26">
        <v>1.0</v>
      </c>
      <c r="O346" s="26">
        <v>0.0</v>
      </c>
      <c r="P346" s="34">
        <v>1000.0</v>
      </c>
      <c r="Q346" s="35">
        <v>46.0</v>
      </c>
      <c r="R346" s="32">
        <v>45817.0</v>
      </c>
      <c r="S346" s="32">
        <v>45817.0</v>
      </c>
      <c r="T346" s="29"/>
      <c r="U346" s="33"/>
      <c r="V346" s="1"/>
    </row>
    <row r="347" ht="24.0" customHeight="1">
      <c r="A347" s="1"/>
      <c r="B347" s="24" t="str">
        <f>HYPERLINK("https://www.compass.com/listing/179-grand-street-unit-2f-manhattan-ny-10013/1861819010507053385/view?agent_id=610d3f3370540700019b0833","179 Grand Street, Unit 2F")</f>
        <v>179 Grand Street, Unit 2F</v>
      </c>
      <c r="C347" s="25" t="s">
        <v>22</v>
      </c>
      <c r="D347" s="26" t="s">
        <v>23</v>
      </c>
      <c r="E347" s="27" t="str">
        <f>HYPERLINK("https://www.compass.com/building/179-grand-st-manhattan-ny-10013/281917770650648421/","179 Grand St")</f>
        <v>179 Grand St</v>
      </c>
      <c r="F347" s="25" t="s">
        <v>120</v>
      </c>
      <c r="G347" s="28">
        <v>1375000.0</v>
      </c>
      <c r="H347" s="28">
        <v>1719.0</v>
      </c>
      <c r="I347" s="28">
        <v>1771.0</v>
      </c>
      <c r="J347" s="28">
        <v>11064.0</v>
      </c>
      <c r="K347" s="25" t="s">
        <v>28</v>
      </c>
      <c r="L347" s="26">
        <v>4.0</v>
      </c>
      <c r="M347" s="26">
        <v>2.0</v>
      </c>
      <c r="N347" s="26">
        <v>1.0</v>
      </c>
      <c r="O347" s="26">
        <v>0.0</v>
      </c>
      <c r="P347" s="26">
        <v>800.0</v>
      </c>
      <c r="Q347" s="35">
        <v>43.0</v>
      </c>
      <c r="R347" s="32">
        <v>45854.0</v>
      </c>
      <c r="S347" s="32">
        <v>45820.0</v>
      </c>
      <c r="T347" s="29"/>
      <c r="U347" s="33"/>
      <c r="V347" s="1"/>
    </row>
    <row r="348" ht="24.0" customHeight="1">
      <c r="A348" s="1"/>
      <c r="B348" s="24" t="str">
        <f>HYPERLINK("https://www.compass.com/listing/20-jackson-place-unit-3ps2-brooklyn-ny-11215/1846576258052861057/view?agent_id=610d3f3370540700019b0833","20 Jackson Place, Unit 3PS2")</f>
        <v>20 Jackson Place, Unit 3PS2</v>
      </c>
      <c r="C348" s="25" t="s">
        <v>22</v>
      </c>
      <c r="D348" s="26" t="s">
        <v>23</v>
      </c>
      <c r="E348" s="27" t="str">
        <f>HYPERLINK("https://www.compass.com/building/20-jackson-pl-brooklyn-ny-11215/282507880626739237/","20 Jackson Pl")</f>
        <v>20 Jackson Pl</v>
      </c>
      <c r="F348" s="25" t="s">
        <v>40</v>
      </c>
      <c r="G348" s="28">
        <v>1375000.0</v>
      </c>
      <c r="H348" s="28">
        <v>1695.0</v>
      </c>
      <c r="I348" s="28">
        <v>616.0</v>
      </c>
      <c r="J348" s="28">
        <v>3924.0</v>
      </c>
      <c r="K348" s="25" t="s">
        <v>28</v>
      </c>
      <c r="L348" s="26">
        <v>5.0</v>
      </c>
      <c r="M348" s="26">
        <v>2.0</v>
      </c>
      <c r="N348" s="26">
        <v>1.0</v>
      </c>
      <c r="O348" s="26">
        <v>0.0</v>
      </c>
      <c r="P348" s="26">
        <v>811.0</v>
      </c>
      <c r="Q348" s="35">
        <v>64.0</v>
      </c>
      <c r="R348" s="32">
        <v>45849.0</v>
      </c>
      <c r="S348" s="32">
        <v>45799.0</v>
      </c>
      <c r="T348" s="29"/>
      <c r="U348" s="33"/>
      <c r="V348" s="1"/>
    </row>
    <row r="349" ht="24.0" customHeight="1">
      <c r="A349" s="1"/>
      <c r="B349" s="24" t="str">
        <f>HYPERLINK("https://www.compass.com/listing/215-west-91st-street-unit-111-manhattan-ny-10024/1815898489902335953/view?agent_id=610d3f3370540700019b0833","215 West 91st Street, Unit 111")</f>
        <v>215 West 91st Street, Unit 111</v>
      </c>
      <c r="C349" s="25" t="s">
        <v>22</v>
      </c>
      <c r="D349" s="26" t="s">
        <v>23</v>
      </c>
      <c r="E349" s="27" t="str">
        <f>HYPERLINK("https://www.compass.com/building/215-w-91st-st-manhattan-ny-10024/294842607616022101/","215 W 91st St")</f>
        <v>215 W 91st St</v>
      </c>
      <c r="F349" s="25" t="s">
        <v>29</v>
      </c>
      <c r="G349" s="28">
        <v>1395000.0</v>
      </c>
      <c r="H349" s="29"/>
      <c r="I349" s="28">
        <v>3518.0</v>
      </c>
      <c r="J349" s="28">
        <v>0.0</v>
      </c>
      <c r="K349" s="25" t="s">
        <v>25</v>
      </c>
      <c r="L349" s="26">
        <v>5.0</v>
      </c>
      <c r="M349" s="26">
        <v>2.0</v>
      </c>
      <c r="N349" s="26">
        <v>1.0</v>
      </c>
      <c r="O349" s="26">
        <v>0.0</v>
      </c>
      <c r="P349" s="26">
        <v>0.0</v>
      </c>
      <c r="Q349" s="35">
        <v>106.0</v>
      </c>
      <c r="R349" s="32">
        <v>45858.0</v>
      </c>
      <c r="S349" s="32">
        <v>45757.0</v>
      </c>
      <c r="T349" s="29"/>
      <c r="U349" s="33"/>
      <c r="V349" s="1"/>
    </row>
    <row r="350" ht="24.0" customHeight="1">
      <c r="A350" s="1"/>
      <c r="B350" s="24" t="str">
        <f>HYPERLINK("https://www.compass.com/listing/287-east-houston-street-unit-6a-manhattan-ny-10002/1884609732692491145/view?agent_id=610d3f3370540700019b0833","287 East Houston Street, Unit 6A")</f>
        <v>287 East Houston Street, Unit 6A</v>
      </c>
      <c r="C350" s="25" t="s">
        <v>22</v>
      </c>
      <c r="D350" s="26" t="s">
        <v>23</v>
      </c>
      <c r="E350" s="27" t="str">
        <f>HYPERLINK("https://www.compass.com/building/287-les-manhattan-ny/281886930822496357/","287/LES")</f>
        <v>287/LES</v>
      </c>
      <c r="F350" s="25" t="s">
        <v>119</v>
      </c>
      <c r="G350" s="28">
        <v>2800000.0</v>
      </c>
      <c r="H350" s="28">
        <v>1931.0</v>
      </c>
      <c r="I350" s="28">
        <v>4612.0</v>
      </c>
      <c r="J350" s="28">
        <v>28992.0</v>
      </c>
      <c r="K350" s="25" t="s">
        <v>28</v>
      </c>
      <c r="L350" s="26">
        <v>7.0</v>
      </c>
      <c r="M350" s="26">
        <v>2.0</v>
      </c>
      <c r="N350" s="26">
        <v>1.0</v>
      </c>
      <c r="O350" s="30"/>
      <c r="P350" s="34">
        <v>1450.0</v>
      </c>
      <c r="Q350" s="35">
        <v>12.0</v>
      </c>
      <c r="R350" s="32">
        <v>45852.0</v>
      </c>
      <c r="S350" s="32">
        <v>45851.0</v>
      </c>
      <c r="T350" s="29"/>
      <c r="U350" s="33"/>
      <c r="V350" s="1"/>
    </row>
    <row r="351" ht="24.0" customHeight="1">
      <c r="A351" s="1"/>
      <c r="B351" s="24" t="str">
        <f>HYPERLINK("https://www.compass.com/listing/4410-cayuga-avenue-unit-6d-bronx-ny-10471/1891857162405953617/view?agent_id=610d3f3370540700019b0833","4410 Cayuga Avenue, Unit 6D")</f>
        <v>4410 Cayuga Avenue, Unit 6D</v>
      </c>
      <c r="C351" s="25" t="s">
        <v>22</v>
      </c>
      <c r="D351" s="26" t="s">
        <v>23</v>
      </c>
      <c r="E351" s="27" t="str">
        <f>HYPERLINK("https://www.compass.com/building/4410-cayuga-ave-bronx-ny-10471/293526667979198501/","4410 Cayuga Ave")</f>
        <v>4410 Cayuga Ave</v>
      </c>
      <c r="F351" s="25" t="s">
        <v>87</v>
      </c>
      <c r="G351" s="28">
        <v>318000.0</v>
      </c>
      <c r="H351" s="28">
        <v>310.0</v>
      </c>
      <c r="I351" s="28">
        <v>1293.0</v>
      </c>
      <c r="J351" s="28">
        <v>0.0</v>
      </c>
      <c r="K351" s="25" t="s">
        <v>25</v>
      </c>
      <c r="L351" s="26">
        <v>5.0</v>
      </c>
      <c r="M351" s="26">
        <v>2.0</v>
      </c>
      <c r="N351" s="26">
        <v>1.0</v>
      </c>
      <c r="O351" s="30"/>
      <c r="P351" s="34">
        <v>1025.0</v>
      </c>
      <c r="Q351" s="35">
        <v>2.0</v>
      </c>
      <c r="R351" s="32">
        <v>45862.0</v>
      </c>
      <c r="S351" s="32">
        <v>45861.0</v>
      </c>
      <c r="T351" s="29"/>
      <c r="U351" s="33"/>
      <c r="V351" s="1"/>
    </row>
    <row r="352" ht="24.0" customHeight="1">
      <c r="A352" s="1"/>
      <c r="B352" s="24" t="str">
        <f>HYPERLINK("https://www.compass.com/listing/62-east-1st-street-unit-4s-manhattan-ny-10003/1562461359090281985/view?agent_id=610d3f3370540700019b0833","62 East 1st Street, Unit 4S")</f>
        <v>62 East 1st Street, Unit 4S</v>
      </c>
      <c r="C352" s="25" t="s">
        <v>22</v>
      </c>
      <c r="D352" s="26" t="s">
        <v>23</v>
      </c>
      <c r="E352" s="27" t="str">
        <f>HYPERLINK("https://www.compass.com/building/62-e-1st-st-manhattan-ny-10003/281894307579831605/","62 E 1st St")</f>
        <v>62 E 1st St</v>
      </c>
      <c r="F352" s="25" t="s">
        <v>24</v>
      </c>
      <c r="G352" s="28">
        <v>1499000.0</v>
      </c>
      <c r="H352" s="28">
        <v>1460.0</v>
      </c>
      <c r="I352" s="28">
        <v>2545.0</v>
      </c>
      <c r="J352" s="28">
        <v>18780.0</v>
      </c>
      <c r="K352" s="25" t="s">
        <v>28</v>
      </c>
      <c r="L352" s="26">
        <v>4.0</v>
      </c>
      <c r="M352" s="26">
        <v>2.0</v>
      </c>
      <c r="N352" s="26">
        <v>1.0</v>
      </c>
      <c r="O352" s="26">
        <v>0.0</v>
      </c>
      <c r="P352" s="34">
        <v>1027.0</v>
      </c>
      <c r="Q352" s="35">
        <v>418.0</v>
      </c>
      <c r="R352" s="32">
        <v>45855.0</v>
      </c>
      <c r="S352" s="32">
        <v>45407.0</v>
      </c>
      <c r="T352" s="29"/>
      <c r="U352" s="33"/>
      <c r="V352" s="1"/>
    </row>
    <row r="353" ht="24.0" customHeight="1">
      <c r="A353" s="1"/>
      <c r="B353" s="24" t="str">
        <f>HYPERLINK("https://www.compass.com/listing/825-morrison-avenue-unit-19c-bronx-ny-10473/1887052270570056785/view?agent_id=610d3f3370540700019b0833","825 Morrison Avenue, Unit 19C")</f>
        <v>825 Morrison Avenue, Unit 19C</v>
      </c>
      <c r="C353" s="25" t="s">
        <v>22</v>
      </c>
      <c r="D353" s="26" t="s">
        <v>23</v>
      </c>
      <c r="E353" s="27" t="str">
        <f>HYPERLINK("https://www.compass.com/building/825-morrison-ave-bronx-ny-10473/293528118453467941/","825 Morrison Ave")</f>
        <v>825 Morrison Ave</v>
      </c>
      <c r="F353" s="25" t="s">
        <v>121</v>
      </c>
      <c r="G353" s="28">
        <v>375000.0</v>
      </c>
      <c r="H353" s="28">
        <v>417.0</v>
      </c>
      <c r="I353" s="28">
        <v>845.0</v>
      </c>
      <c r="J353" s="29"/>
      <c r="K353" s="25" t="s">
        <v>25</v>
      </c>
      <c r="L353" s="26">
        <v>6.0</v>
      </c>
      <c r="M353" s="26">
        <v>2.0</v>
      </c>
      <c r="N353" s="26">
        <v>1.0</v>
      </c>
      <c r="O353" s="30"/>
      <c r="P353" s="26">
        <v>900.0</v>
      </c>
      <c r="Q353" s="35">
        <v>8.0</v>
      </c>
      <c r="R353" s="32">
        <v>45856.0</v>
      </c>
      <c r="S353" s="32">
        <v>45855.0</v>
      </c>
      <c r="T353" s="29"/>
      <c r="U353" s="33"/>
      <c r="V353" s="1"/>
    </row>
    <row r="354" ht="24.0" customHeight="1">
      <c r="A354" s="1"/>
      <c r="B354" s="24" t="str">
        <f>HYPERLINK("https://www.compass.com/listing/310-east-46th-street-unit-7v-manhattan-ny-10017/1881443907885538929/view?agent_id=610d3f3370540700019b0833","310 East 46th Street, Unit 7V")</f>
        <v>310 East 46th Street, Unit 7V</v>
      </c>
      <c r="C354" s="25" t="s">
        <v>22</v>
      </c>
      <c r="D354" s="26" t="s">
        <v>23</v>
      </c>
      <c r="E354" s="27" t="str">
        <f>HYPERLINK("https://www.compass.com/building/turtle-bay-towers-manhattan-ny/292843173577817381/","Turtle Bay Towers")</f>
        <v>Turtle Bay Towers</v>
      </c>
      <c r="F354" s="25" t="s">
        <v>66</v>
      </c>
      <c r="G354" s="28">
        <v>1200000.0</v>
      </c>
      <c r="H354" s="29"/>
      <c r="I354" s="28">
        <v>2161.0</v>
      </c>
      <c r="J354" s="28">
        <v>0.0</v>
      </c>
      <c r="K354" s="25" t="s">
        <v>49</v>
      </c>
      <c r="L354" s="26">
        <v>4.0</v>
      </c>
      <c r="M354" s="26">
        <v>2.0</v>
      </c>
      <c r="N354" s="26">
        <v>1.0</v>
      </c>
      <c r="O354" s="26">
        <v>0.0</v>
      </c>
      <c r="P354" s="30"/>
      <c r="Q354" s="35">
        <v>16.0</v>
      </c>
      <c r="R354" s="32">
        <v>45848.0</v>
      </c>
      <c r="S354" s="32">
        <v>45847.0</v>
      </c>
      <c r="T354" s="29"/>
      <c r="U354" s="33"/>
      <c r="V354" s="1"/>
    </row>
    <row r="355" ht="24.0" customHeight="1">
      <c r="A355" s="1"/>
      <c r="B355" s="24" t="str">
        <f>HYPERLINK("https://www.compass.com/listing/15-union-square-west-unit-ph8c-manhattan-ny-10003/1809602263211861689/view?agent_id=610d3f3370540700019b0833","15 Union Square West, Unit PH8C")</f>
        <v>15 Union Square West, Unit PH8C</v>
      </c>
      <c r="C355" s="25" t="s">
        <v>22</v>
      </c>
      <c r="D355" s="26" t="s">
        <v>23</v>
      </c>
      <c r="E355" s="27" t="str">
        <f>HYPERLINK("https://www.compass.com/building/15-union-square-west-manhattan-ny/281889842835491205/","15 Union Square West")</f>
        <v>15 Union Square West</v>
      </c>
      <c r="F355" s="25" t="s">
        <v>115</v>
      </c>
      <c r="G355" s="28">
        <v>3500000.0</v>
      </c>
      <c r="H355" s="28">
        <v>1985.0</v>
      </c>
      <c r="I355" s="28">
        <v>10261.0</v>
      </c>
      <c r="J355" s="28">
        <v>44808.0</v>
      </c>
      <c r="K355" s="25" t="s">
        <v>28</v>
      </c>
      <c r="L355" s="26">
        <v>3.0</v>
      </c>
      <c r="M355" s="26">
        <v>2.0</v>
      </c>
      <c r="N355" s="30"/>
      <c r="O355" s="30"/>
      <c r="P355" s="34">
        <v>1763.0</v>
      </c>
      <c r="Q355" s="35">
        <v>1479.0</v>
      </c>
      <c r="R355" s="32">
        <v>44386.0</v>
      </c>
      <c r="S355" s="32">
        <v>44384.0</v>
      </c>
      <c r="T355" s="29"/>
      <c r="U355" s="33"/>
      <c r="V355" s="1"/>
    </row>
    <row r="356" ht="24.0" customHeight="1">
      <c r="A356" s="1"/>
      <c r="B356" s="24" t="str">
        <f>HYPERLINK("https://www.compass.com/listing/20-jackson-place-unit-3-brooklyn-ny-11215/1846574229704638169/view?agent_id=610d3f3370540700019b0833","20 Jackson Place, Unit 3")</f>
        <v>20 Jackson Place, Unit 3</v>
      </c>
      <c r="C356" s="25" t="s">
        <v>22</v>
      </c>
      <c r="D356" s="26" t="s">
        <v>23</v>
      </c>
      <c r="E356" s="27" t="str">
        <f>HYPERLINK("https://www.compass.com/building/20-jackson-pl-brooklyn-ny-11215/282507880626739237/","20 Jackson Pl")</f>
        <v>20 Jackson Pl</v>
      </c>
      <c r="F356" s="25" t="s">
        <v>40</v>
      </c>
      <c r="G356" s="28">
        <v>1175000.0</v>
      </c>
      <c r="H356" s="28">
        <v>1449.0</v>
      </c>
      <c r="I356" s="28">
        <v>566.0</v>
      </c>
      <c r="J356" s="28">
        <v>3480.0</v>
      </c>
      <c r="K356" s="25" t="s">
        <v>28</v>
      </c>
      <c r="L356" s="26">
        <v>5.0</v>
      </c>
      <c r="M356" s="26">
        <v>2.0</v>
      </c>
      <c r="N356" s="26">
        <v>1.0</v>
      </c>
      <c r="O356" s="26">
        <v>0.0</v>
      </c>
      <c r="P356" s="26">
        <v>811.0</v>
      </c>
      <c r="Q356" s="35">
        <v>64.0</v>
      </c>
      <c r="R356" s="32">
        <v>45849.0</v>
      </c>
      <c r="S356" s="32">
        <v>45799.0</v>
      </c>
      <c r="T356" s="29"/>
      <c r="U356" s="33"/>
      <c r="V356" s="1"/>
    </row>
    <row r="357" ht="24.0" customHeight="1">
      <c r="A357" s="1"/>
      <c r="B357" s="24" t="str">
        <f>HYPERLINK("https://www.compass.com/listing/3850-sedgwick-avenue-unit-7a-bronx-ny-10463/1891369052098182665/view?agent_id=610d3f3370540700019b0833","3850 Sedgwick Avenue, Unit 7A")</f>
        <v>3850 Sedgwick Avenue, Unit 7A</v>
      </c>
      <c r="C357" s="25" t="s">
        <v>22</v>
      </c>
      <c r="D357" s="26" t="s">
        <v>23</v>
      </c>
      <c r="E357" s="27" t="str">
        <f>HYPERLINK("https://www.compass.com/building/3850-sedgwick-ave-bronx-ny-10463/293528096584356885/","3850 Sedgwick Ave")</f>
        <v>3850 Sedgwick Ave</v>
      </c>
      <c r="F357" s="25" t="s">
        <v>116</v>
      </c>
      <c r="G357" s="28">
        <v>349000.0</v>
      </c>
      <c r="H357" s="28">
        <v>370.0</v>
      </c>
      <c r="I357" s="28">
        <v>896.0</v>
      </c>
      <c r="J357" s="28">
        <v>0.0</v>
      </c>
      <c r="K357" s="25" t="s">
        <v>25</v>
      </c>
      <c r="L357" s="26">
        <v>4.0</v>
      </c>
      <c r="M357" s="26">
        <v>2.0</v>
      </c>
      <c r="N357" s="26">
        <v>1.0</v>
      </c>
      <c r="O357" s="26">
        <v>0.0</v>
      </c>
      <c r="P357" s="26">
        <v>944.0</v>
      </c>
      <c r="Q357" s="35">
        <v>2.0</v>
      </c>
      <c r="R357" s="32">
        <v>45862.0</v>
      </c>
      <c r="S357" s="32">
        <v>45861.0</v>
      </c>
      <c r="T357" s="29"/>
      <c r="U357" s="33"/>
      <c r="V357" s="1"/>
    </row>
    <row r="358" ht="24.0" customHeight="1">
      <c r="A358" s="1"/>
      <c r="B358" s="24" t="str">
        <f>HYPERLINK("https://www.compass.com/listing/113-union-street-unit-3a-brooklyn-ny-11231/1882122471320934369/view?agent_id=610d3f3370540700019b0833","113 Union Street, Unit 3A")</f>
        <v>113 Union Street, Unit 3A</v>
      </c>
      <c r="C358" s="25" t="s">
        <v>22</v>
      </c>
      <c r="D358" s="26" t="s">
        <v>23</v>
      </c>
      <c r="E358" s="27" t="str">
        <f>HYPERLINK("https://www.compass.com/building/113-union-st-brooklyn-ny-11231/307441258012133701/","113 Union St")</f>
        <v>113 Union St</v>
      </c>
      <c r="F358" s="25" t="s">
        <v>122</v>
      </c>
      <c r="G358" s="28">
        <v>899000.0</v>
      </c>
      <c r="H358" s="28">
        <v>1150.0</v>
      </c>
      <c r="I358" s="28">
        <v>1125.0</v>
      </c>
      <c r="J358" s="28">
        <v>5388.0</v>
      </c>
      <c r="K358" s="25" t="s">
        <v>28</v>
      </c>
      <c r="L358" s="26">
        <v>4.0</v>
      </c>
      <c r="M358" s="26">
        <v>2.0</v>
      </c>
      <c r="N358" s="26">
        <v>1.0</v>
      </c>
      <c r="O358" s="26">
        <v>0.0</v>
      </c>
      <c r="P358" s="26">
        <v>782.0</v>
      </c>
      <c r="Q358" s="35">
        <v>17.0</v>
      </c>
      <c r="R358" s="32">
        <v>45860.0</v>
      </c>
      <c r="S358" s="32">
        <v>45846.0</v>
      </c>
      <c r="T358" s="29"/>
      <c r="U358" s="33"/>
      <c r="V358" s="1"/>
    </row>
    <row r="359" ht="24.0" customHeight="1">
      <c r="A359" s="1"/>
      <c r="B359" s="24" t="str">
        <f>HYPERLINK("https://www.compass.com/listing/2-montague-terrace-unit-4b-brooklyn-ny-11201/1563537239447938305/view?agent_id=610d3f3370540700019b0833","2 Montague Terrace, Unit 4B")</f>
        <v>2 Montague Terrace, Unit 4B</v>
      </c>
      <c r="C359" s="25" t="s">
        <v>22</v>
      </c>
      <c r="D359" s="26" t="s">
        <v>23</v>
      </c>
      <c r="E359" s="27" t="str">
        <f>HYPERLINK("https://www.compass.com/building/2-montague-ter-brooklyn-ny-11201/282503784880487861/","2 Montague Ter")</f>
        <v>2 Montague Ter</v>
      </c>
      <c r="F359" s="25" t="s">
        <v>52</v>
      </c>
      <c r="G359" s="28">
        <v>5500000.0</v>
      </c>
      <c r="H359" s="28">
        <v>2132.0</v>
      </c>
      <c r="I359" s="28">
        <v>5300.0</v>
      </c>
      <c r="J359" s="28">
        <v>0.0</v>
      </c>
      <c r="K359" s="25" t="s">
        <v>25</v>
      </c>
      <c r="L359" s="26">
        <v>7.0</v>
      </c>
      <c r="M359" s="26">
        <v>2.0</v>
      </c>
      <c r="N359" s="30"/>
      <c r="O359" s="30"/>
      <c r="P359" s="34">
        <v>2580.0</v>
      </c>
      <c r="Q359" s="35">
        <v>455.0</v>
      </c>
      <c r="R359" s="32">
        <v>45409.0</v>
      </c>
      <c r="S359" s="32">
        <v>45408.0</v>
      </c>
      <c r="T359" s="29"/>
      <c r="U359" s="33"/>
      <c r="V359" s="1"/>
    </row>
    <row r="360" ht="24.0" customHeight="1">
      <c r="A360" s="1"/>
      <c r="B360" s="24" t="str">
        <f>HYPERLINK("https://www.compass.com/listing/322-6th-street-unit-5-brooklyn-ny-11215/1835777764094712969/view?agent_id=610d3f3370540700019b0833","322 6th Street, Unit 5")</f>
        <v>322 6th Street, Unit 5</v>
      </c>
      <c r="C360" s="25" t="s">
        <v>22</v>
      </c>
      <c r="D360" s="26" t="s">
        <v>23</v>
      </c>
      <c r="E360" s="27" t="str">
        <f>HYPERLINK("https://www.compass.com/building/322-6th-st-brooklyn-ny-11215/282501551338107637/","322 6th St")</f>
        <v>322 6th St</v>
      </c>
      <c r="F360" s="25" t="s">
        <v>40</v>
      </c>
      <c r="G360" s="28">
        <v>675000.0</v>
      </c>
      <c r="H360" s="29"/>
      <c r="I360" s="28">
        <v>1001.0</v>
      </c>
      <c r="J360" s="28">
        <v>0.0</v>
      </c>
      <c r="K360" s="25" t="s">
        <v>25</v>
      </c>
      <c r="L360" s="26">
        <v>4.0</v>
      </c>
      <c r="M360" s="26">
        <v>2.0</v>
      </c>
      <c r="N360" s="26">
        <v>1.0</v>
      </c>
      <c r="O360" s="26">
        <v>0.0</v>
      </c>
      <c r="P360" s="30"/>
      <c r="Q360" s="35">
        <v>79.0</v>
      </c>
      <c r="R360" s="32">
        <v>45862.0</v>
      </c>
      <c r="S360" s="32">
        <v>45784.0</v>
      </c>
      <c r="T360" s="29"/>
      <c r="U360" s="33"/>
      <c r="V360" s="1"/>
    </row>
    <row r="361" ht="24.0" customHeight="1">
      <c r="A361" s="1"/>
      <c r="B361" s="24" t="str">
        <f>HYPERLINK("https://www.compass.com/listing/331-east-92nd-street-unit-4b-manhattan-ny-10128/1871553206072599945/view?agent_id=610d3f3370540700019b0833","331 East 92nd Street, Unit 4B")</f>
        <v>331 East 92nd Street, Unit 4B</v>
      </c>
      <c r="C361" s="25" t="s">
        <v>22</v>
      </c>
      <c r="D361" s="26" t="s">
        <v>23</v>
      </c>
      <c r="E361" s="27" t="str">
        <f>HYPERLINK("https://www.compass.com/building/331-e-92nd-st-manhattan-ny-10128/282051635864168885/","331 E 92nd St")</f>
        <v>331 E 92nd St</v>
      </c>
      <c r="F361" s="25" t="s">
        <v>44</v>
      </c>
      <c r="G361" s="28">
        <v>665000.0</v>
      </c>
      <c r="H361" s="28">
        <v>739.0</v>
      </c>
      <c r="I361" s="28">
        <v>1848.0</v>
      </c>
      <c r="J361" s="28">
        <v>0.0</v>
      </c>
      <c r="K361" s="25" t="s">
        <v>25</v>
      </c>
      <c r="L361" s="26">
        <v>4.0</v>
      </c>
      <c r="M361" s="26">
        <v>2.0</v>
      </c>
      <c r="N361" s="26">
        <v>1.0</v>
      </c>
      <c r="O361" s="26">
        <v>0.0</v>
      </c>
      <c r="P361" s="26">
        <v>900.0</v>
      </c>
      <c r="Q361" s="35">
        <v>25.0</v>
      </c>
      <c r="R361" s="32">
        <v>45845.0</v>
      </c>
      <c r="S361" s="32">
        <v>45838.0</v>
      </c>
      <c r="T361" s="29"/>
      <c r="U361" s="33"/>
      <c r="V361" s="1"/>
    </row>
    <row r="362" ht="24.0" customHeight="1">
      <c r="A362" s="1"/>
      <c r="B362" s="24" t="str">
        <f>HYPERLINK("https://www.compass.com/listing/255-west-108th-street-unit-4d1-manhattan-ny-10025/1780655085294329313/view?agent_id=610d3f3370540700019b0833","255 West 108th Street, Unit 4D1")</f>
        <v>255 West 108th Street, Unit 4D1</v>
      </c>
      <c r="C362" s="25" t="s">
        <v>22</v>
      </c>
      <c r="D362" s="26" t="s">
        <v>23</v>
      </c>
      <c r="E362" s="27" t="str">
        <f>HYPERLINK("https://www.compass.com/building/the-manchester-manhattan-ny/292878019176000053/","The Manchester")</f>
        <v>The Manchester</v>
      </c>
      <c r="F362" s="25" t="s">
        <v>29</v>
      </c>
      <c r="G362" s="28">
        <v>799000.0</v>
      </c>
      <c r="H362" s="29"/>
      <c r="I362" s="28">
        <v>1534.0</v>
      </c>
      <c r="J362" s="28">
        <v>0.0</v>
      </c>
      <c r="K362" s="25" t="s">
        <v>25</v>
      </c>
      <c r="L362" s="26">
        <v>4.0</v>
      </c>
      <c r="M362" s="26">
        <v>2.0</v>
      </c>
      <c r="N362" s="26">
        <v>1.0</v>
      </c>
      <c r="O362" s="30"/>
      <c r="P362" s="30"/>
      <c r="Q362" s="35">
        <v>480.0</v>
      </c>
      <c r="R362" s="32">
        <v>45708.0</v>
      </c>
      <c r="S362" s="32">
        <v>45383.0</v>
      </c>
      <c r="T362" s="29"/>
      <c r="U362" s="33"/>
      <c r="V362" s="1"/>
    </row>
    <row r="363" ht="24.0" customHeight="1">
      <c r="A363" s="1"/>
      <c r="B363" s="24" t="str">
        <f>HYPERLINK("https://www.compass.com/listing/256-putnam-avenue-unit-3-brooklyn-ny-11216/1827109335868649209/view?agent_id=610d3f3370540700019b0833","256 Putnam Avenue, Unit 3")</f>
        <v>256 Putnam Avenue, Unit 3</v>
      </c>
      <c r="C363" s="25" t="s">
        <v>22</v>
      </c>
      <c r="D363" s="26" t="s">
        <v>23</v>
      </c>
      <c r="E363" s="27" t="str">
        <f>HYPERLINK("https://www.compass.com/building/256-putnam-ave-brooklyn-ny-11216/293528916772077333/","256 Putnam Ave")</f>
        <v>256 Putnam Ave</v>
      </c>
      <c r="F363" s="25" t="s">
        <v>51</v>
      </c>
      <c r="G363" s="28">
        <v>1075000.0</v>
      </c>
      <c r="H363" s="28">
        <v>1382.0</v>
      </c>
      <c r="I363" s="28">
        <v>612.0</v>
      </c>
      <c r="J363" s="28">
        <v>2556.0</v>
      </c>
      <c r="K363" s="25" t="s">
        <v>28</v>
      </c>
      <c r="L363" s="26">
        <v>4.0</v>
      </c>
      <c r="M363" s="26">
        <v>2.0</v>
      </c>
      <c r="N363" s="26">
        <v>1.0</v>
      </c>
      <c r="O363" s="26">
        <v>0.0</v>
      </c>
      <c r="P363" s="26">
        <v>778.0</v>
      </c>
      <c r="Q363" s="35">
        <v>84.0</v>
      </c>
      <c r="R363" s="32">
        <v>45824.0</v>
      </c>
      <c r="S363" s="32">
        <v>45772.0</v>
      </c>
      <c r="T363" s="29"/>
      <c r="U363" s="33"/>
      <c r="V363" s="1"/>
    </row>
    <row r="364" ht="24.0" customHeight="1">
      <c r="A364" s="1"/>
      <c r="B364" s="24" t="str">
        <f>HYPERLINK("https://www.compass.com/listing/341-west-70th-street-unit-5d-manhattan-ny-10023/1740154187381735545/view?agent_id=610d3f3370540700019b0833","341 West 70th Street, Unit 5D")</f>
        <v>341 West 70th Street, Unit 5D</v>
      </c>
      <c r="C364" s="25" t="s">
        <v>22</v>
      </c>
      <c r="D364" s="26" t="s">
        <v>23</v>
      </c>
      <c r="E364" s="27" t="str">
        <f>HYPERLINK("https://www.compass.com/building/341-w-70th-st-manhattan-ny-10023/567621785078013597/","341 W 70th St")</f>
        <v>341 W 70th St</v>
      </c>
      <c r="F364" s="25" t="s">
        <v>29</v>
      </c>
      <c r="G364" s="28">
        <v>895000.0</v>
      </c>
      <c r="H364" s="28">
        <v>942.0</v>
      </c>
      <c r="I364" s="28">
        <v>1753.0</v>
      </c>
      <c r="J364" s="28">
        <v>0.0</v>
      </c>
      <c r="K364" s="25" t="s">
        <v>25</v>
      </c>
      <c r="L364" s="26">
        <v>5.0</v>
      </c>
      <c r="M364" s="26">
        <v>2.0</v>
      </c>
      <c r="N364" s="26">
        <v>1.0</v>
      </c>
      <c r="O364" s="30"/>
      <c r="P364" s="26">
        <v>950.0</v>
      </c>
      <c r="Q364" s="35">
        <v>214.0</v>
      </c>
      <c r="R364" s="32">
        <v>45741.0</v>
      </c>
      <c r="S364" s="32">
        <v>45451.0</v>
      </c>
      <c r="T364" s="29"/>
      <c r="U364" s="33"/>
      <c r="V364" s="1"/>
    </row>
    <row r="365" ht="24.0" customHeight="1">
      <c r="A365" s="1"/>
      <c r="B365" s="24" t="str">
        <f>HYPERLINK("https://www.compass.com/listing/165-east-32nd-street-unit-16f-manhattan-ny-10016/1852871080796357409/view?agent_id=610d3f3370540700019b0833","165 East 32nd Street, Unit 16F")</f>
        <v>165 East 32nd Street, Unit 16F</v>
      </c>
      <c r="C365" s="25" t="s">
        <v>22</v>
      </c>
      <c r="D365" s="26" t="s">
        <v>23</v>
      </c>
      <c r="E365" s="27" t="str">
        <f>HYPERLINK("https://www.compass.com/building/165-e-32nd-st-manhattan-ny-10016/281937896800310373/","165 E 32nd St")</f>
        <v>165 E 32nd St</v>
      </c>
      <c r="F365" s="25" t="s">
        <v>107</v>
      </c>
      <c r="G365" s="28">
        <v>869000.0</v>
      </c>
      <c r="H365" s="28">
        <v>915.0</v>
      </c>
      <c r="I365" s="28">
        <v>2177.0</v>
      </c>
      <c r="J365" s="28">
        <v>0.0</v>
      </c>
      <c r="K365" s="25" t="s">
        <v>25</v>
      </c>
      <c r="L365" s="26">
        <v>3.0</v>
      </c>
      <c r="M365" s="26">
        <v>2.0</v>
      </c>
      <c r="N365" s="26">
        <v>1.0</v>
      </c>
      <c r="O365" s="30"/>
      <c r="P365" s="26">
        <v>950.0</v>
      </c>
      <c r="Q365" s="35">
        <v>56.0</v>
      </c>
      <c r="R365" s="32">
        <v>45808.0</v>
      </c>
      <c r="S365" s="32">
        <v>45807.0</v>
      </c>
      <c r="T365" s="29"/>
      <c r="U365" s="33"/>
      <c r="V365" s="1"/>
    </row>
    <row r="366" ht="24.0" customHeight="1">
      <c r="A366" s="1"/>
      <c r="B366" s="24" t="str">
        <f>HYPERLINK("https://www.compass.com/listing/14-prince-street-unit-5j-manhattan-ny-10012/1819038331970642449/view?agent_id=610d3f3370540700019b0833","14 Prince Street, Unit 5J")</f>
        <v>14 Prince Street, Unit 5J</v>
      </c>
      <c r="C366" s="25" t="s">
        <v>22</v>
      </c>
      <c r="D366" s="26" t="s">
        <v>23</v>
      </c>
      <c r="E366" s="27" t="str">
        <f>HYPERLINK("https://www.compass.com/building/14-prince-st-manhattan-ny-10012/281913001785715317/","14 Prince St")</f>
        <v>14 Prince St</v>
      </c>
      <c r="F366" s="25" t="s">
        <v>101</v>
      </c>
      <c r="G366" s="28">
        <v>1500000.0</v>
      </c>
      <c r="H366" s="28">
        <v>1667.0</v>
      </c>
      <c r="I366" s="28">
        <v>2243.0</v>
      </c>
      <c r="J366" s="28">
        <v>10814.0</v>
      </c>
      <c r="K366" s="25" t="s">
        <v>28</v>
      </c>
      <c r="L366" s="26">
        <v>4.0</v>
      </c>
      <c r="M366" s="26">
        <v>2.0</v>
      </c>
      <c r="N366" s="26">
        <v>1.0</v>
      </c>
      <c r="O366" s="26">
        <v>0.0</v>
      </c>
      <c r="P366" s="26">
        <v>900.0</v>
      </c>
      <c r="Q366" s="35">
        <v>102.0</v>
      </c>
      <c r="R366" s="32">
        <v>45860.0</v>
      </c>
      <c r="S366" s="32">
        <v>45761.0</v>
      </c>
      <c r="T366" s="29"/>
      <c r="U366" s="33"/>
      <c r="V366" s="1"/>
    </row>
    <row r="367" ht="24.0" customHeight="1">
      <c r="A367" s="1"/>
      <c r="B367" s="24" t="str">
        <f>HYPERLINK("https://www.compass.com/listing/1190-east-53rd-street-unit-5b-brooklyn-ny-11234/1717942236585443017/view?agent_id=610d3f3370540700019b0833","1190 East 53rd Street, Unit 5B")</f>
        <v>1190 East 53rd Street, Unit 5B</v>
      </c>
      <c r="C367" s="25" t="s">
        <v>22</v>
      </c>
      <c r="D367" s="26" t="s">
        <v>23</v>
      </c>
      <c r="E367" s="27" t="str">
        <f>HYPERLINK("https://www.compass.com/building/1190-e-53rd-st-brooklyn-ny-11234/293531084556151669/","1190 E 53rd St")</f>
        <v>1190 E 53rd St</v>
      </c>
      <c r="F367" s="25" t="s">
        <v>123</v>
      </c>
      <c r="G367" s="28">
        <v>255000.0</v>
      </c>
      <c r="H367" s="28">
        <v>268.0</v>
      </c>
      <c r="I367" s="28">
        <v>1100.0</v>
      </c>
      <c r="J367" s="29"/>
      <c r="K367" s="25" t="s">
        <v>25</v>
      </c>
      <c r="L367" s="26">
        <v>4.0</v>
      </c>
      <c r="M367" s="26">
        <v>2.0</v>
      </c>
      <c r="N367" s="26">
        <v>1.0</v>
      </c>
      <c r="O367" s="30"/>
      <c r="P367" s="26">
        <v>950.0</v>
      </c>
      <c r="Q367" s="35">
        <v>2.0</v>
      </c>
      <c r="R367" s="32">
        <v>45860.0</v>
      </c>
      <c r="S367" s="32">
        <v>45860.0</v>
      </c>
      <c r="T367" s="29"/>
      <c r="U367" s="33"/>
      <c r="V367" s="1"/>
    </row>
    <row r="368" ht="24.0" customHeight="1">
      <c r="A368" s="1"/>
      <c r="B368" s="24" t="str">
        <f>HYPERLINK("https://www.compass.com/listing/4315-webster-avenue-unit-4e-bronx-ny-10470/1889186346563454601/view?agent_id=610d3f3370540700019b0833","4315 Webster Avenue, Unit 4E")</f>
        <v>4315 Webster Avenue, Unit 4E</v>
      </c>
      <c r="C368" s="25" t="s">
        <v>22</v>
      </c>
      <c r="D368" s="26" t="s">
        <v>23</v>
      </c>
      <c r="E368" s="27" t="str">
        <f>HYPERLINK("https://www.compass.com/building/4315-webster-ave-bronx-ny-10470/293534323305450581/","4315 Webster Ave")</f>
        <v>4315 Webster Ave</v>
      </c>
      <c r="F368" s="25" t="s">
        <v>124</v>
      </c>
      <c r="G368" s="28">
        <v>220000.0</v>
      </c>
      <c r="H368" s="28">
        <v>258.0</v>
      </c>
      <c r="I368" s="28">
        <v>1054.0</v>
      </c>
      <c r="J368" s="29"/>
      <c r="K368" s="25" t="s">
        <v>25</v>
      </c>
      <c r="L368" s="26">
        <v>5.0</v>
      </c>
      <c r="M368" s="26">
        <v>2.0</v>
      </c>
      <c r="N368" s="26">
        <v>1.0</v>
      </c>
      <c r="O368" s="30"/>
      <c r="P368" s="26">
        <v>853.0</v>
      </c>
      <c r="Q368" s="35">
        <v>5.0</v>
      </c>
      <c r="R368" s="32">
        <v>45859.0</v>
      </c>
      <c r="S368" s="32">
        <v>45858.0</v>
      </c>
      <c r="T368" s="29"/>
      <c r="U368" s="33"/>
      <c r="V368" s="1"/>
    </row>
    <row r="369" ht="24.0" customHeight="1">
      <c r="A369" s="1"/>
      <c r="B369" s="24" t="str">
        <f>HYPERLINK("https://www.compass.com/listing/170-east-94th-street-unit-6g-manhattan-ny-10128/1854271311773520633/view?agent_id=610d3f3370540700019b0833","170 East 94th Street, Unit 6G")</f>
        <v>170 East 94th Street, Unit 6G</v>
      </c>
      <c r="C369" s="25" t="s">
        <v>22</v>
      </c>
      <c r="D369" s="26" t="s">
        <v>23</v>
      </c>
      <c r="E369" s="27" t="str">
        <f>HYPERLINK("https://www.compass.com/building/170-e-94th-st-manhattan-ny-10128/282048650811564645/","170 E 94th St")</f>
        <v>170 E 94th St</v>
      </c>
      <c r="F369" s="25" t="s">
        <v>44</v>
      </c>
      <c r="G369" s="28">
        <v>795000.0</v>
      </c>
      <c r="H369" s="29"/>
      <c r="I369" s="28">
        <v>1873.0</v>
      </c>
      <c r="J369" s="28">
        <v>0.0</v>
      </c>
      <c r="K369" s="25" t="s">
        <v>25</v>
      </c>
      <c r="L369" s="26">
        <v>4.0</v>
      </c>
      <c r="M369" s="26">
        <v>2.0</v>
      </c>
      <c r="N369" s="26">
        <v>1.0</v>
      </c>
      <c r="O369" s="30"/>
      <c r="P369" s="30"/>
      <c r="Q369" s="35">
        <v>54.0</v>
      </c>
      <c r="R369" s="32">
        <v>45810.0</v>
      </c>
      <c r="S369" s="32">
        <v>45809.0</v>
      </c>
      <c r="T369" s="29"/>
      <c r="U369" s="33"/>
      <c r="V369" s="1"/>
    </row>
    <row r="370" ht="24.0" customHeight="1">
      <c r="A370" s="1"/>
      <c r="B370" s="24" t="str">
        <f>HYPERLINK("https://www.compass.com/listing/315-east-70th-street-unit-9a-manhattan-ny-10021/1842734958740086993/view?agent_id=610d3f3370540700019b0833","315 East 70th Street, Unit 9A")</f>
        <v>315 East 70th Street, Unit 9A</v>
      </c>
      <c r="C370" s="25" t="s">
        <v>22</v>
      </c>
      <c r="D370" s="26" t="s">
        <v>23</v>
      </c>
      <c r="E370" s="27" t="str">
        <f>HYPERLINK("https://www.compass.com/building/315-e-70th-st-manhattan-ny-10021/281950264477418933/","315 E 70th St")</f>
        <v>315 E 70th St</v>
      </c>
      <c r="F370" s="25" t="s">
        <v>64</v>
      </c>
      <c r="G370" s="28">
        <v>960000.0</v>
      </c>
      <c r="H370" s="29"/>
      <c r="I370" s="28">
        <v>2300.0</v>
      </c>
      <c r="J370" s="28">
        <v>0.0</v>
      </c>
      <c r="K370" s="25" t="s">
        <v>25</v>
      </c>
      <c r="L370" s="26">
        <v>4.0</v>
      </c>
      <c r="M370" s="26">
        <v>2.0</v>
      </c>
      <c r="N370" s="26">
        <v>1.0</v>
      </c>
      <c r="O370" s="26">
        <v>0.0</v>
      </c>
      <c r="P370" s="26">
        <v>0.0</v>
      </c>
      <c r="Q370" s="35">
        <v>64.0</v>
      </c>
      <c r="R370" s="32">
        <v>45834.0</v>
      </c>
      <c r="S370" s="32">
        <v>45799.0</v>
      </c>
      <c r="T370" s="29"/>
      <c r="U370" s="33"/>
      <c r="V370" s="1"/>
    </row>
    <row r="371" ht="24.0" customHeight="1">
      <c r="A371" s="1"/>
      <c r="B371" s="24" t="str">
        <f>HYPERLINK("https://www.compass.com/listing/247-west-46th-street-unit-308-manhattan-ny-10036/1882243288046376137/view?agent_id=610d3f3370540700019b0833","247 West 46th Street, Unit 308")</f>
        <v>247 West 46th Street, Unit 308</v>
      </c>
      <c r="C371" s="25" t="s">
        <v>22</v>
      </c>
      <c r="D371" s="26" t="s">
        <v>23</v>
      </c>
      <c r="E371" s="27" t="str">
        <f>HYPERLINK("https://www.compass.com/building/platinum-manhattan-ny/282023529472338773/","Platinum")</f>
        <v>Platinum</v>
      </c>
      <c r="F371" s="25" t="s">
        <v>67</v>
      </c>
      <c r="G371" s="28">
        <v>999000.0</v>
      </c>
      <c r="H371" s="28">
        <v>1249.0</v>
      </c>
      <c r="I371" s="28">
        <v>2328.0</v>
      </c>
      <c r="J371" s="28">
        <v>17700.0</v>
      </c>
      <c r="K371" s="25" t="s">
        <v>28</v>
      </c>
      <c r="L371" s="26">
        <v>4.0</v>
      </c>
      <c r="M371" s="26">
        <v>2.0</v>
      </c>
      <c r="N371" s="26">
        <v>1.0</v>
      </c>
      <c r="O371" s="26">
        <v>0.0</v>
      </c>
      <c r="P371" s="26">
        <v>800.0</v>
      </c>
      <c r="Q371" s="35">
        <v>15.0</v>
      </c>
      <c r="R371" s="32">
        <v>45861.0</v>
      </c>
      <c r="S371" s="32">
        <v>45848.0</v>
      </c>
      <c r="T371" s="29"/>
      <c r="U371" s="33"/>
      <c r="V371" s="1"/>
    </row>
    <row r="372" ht="24.0" customHeight="1">
      <c r="A372" s="1"/>
      <c r="B372" s="24" t="str">
        <f>HYPERLINK("https://www.compass.com/listing/24-65-38th-street-unit-d10-queens-ny-11103/1882776796091452865/view?agent_id=610d3f3370540700019b0833","24-65 38th Street, Unit D10")</f>
        <v>24-65 38th Street, Unit D10</v>
      </c>
      <c r="C372" s="25" t="s">
        <v>22</v>
      </c>
      <c r="D372" s="26" t="s">
        <v>23</v>
      </c>
      <c r="E372" s="27" t="str">
        <f>HYPERLINK("https://www.compass.com/building/astoria-lights-queens-ny/293526867409920213/","Astoria Lights")</f>
        <v>Astoria Lights</v>
      </c>
      <c r="F372" s="25" t="s">
        <v>68</v>
      </c>
      <c r="G372" s="28">
        <v>328000.0</v>
      </c>
      <c r="H372" s="28">
        <v>469.0</v>
      </c>
      <c r="I372" s="28">
        <v>771.0</v>
      </c>
      <c r="J372" s="29"/>
      <c r="K372" s="25" t="s">
        <v>25</v>
      </c>
      <c r="L372" s="26">
        <v>4.0</v>
      </c>
      <c r="M372" s="26">
        <v>2.0</v>
      </c>
      <c r="N372" s="26">
        <v>1.0</v>
      </c>
      <c r="O372" s="30"/>
      <c r="P372" s="26">
        <v>700.0</v>
      </c>
      <c r="Q372" s="35">
        <v>14.0</v>
      </c>
      <c r="R372" s="32">
        <v>45850.0</v>
      </c>
      <c r="S372" s="32">
        <v>45849.0</v>
      </c>
      <c r="T372" s="29"/>
      <c r="U372" s="33"/>
      <c r="V372" s="1"/>
    </row>
    <row r="373" ht="24.0" customHeight="1">
      <c r="A373" s="1"/>
      <c r="B373" s="24" t="str">
        <f>HYPERLINK("https://www.compass.com/listing/325-east-80th-street-unit-1f-manhattan-ny-10075/1857473655290392177/view?agent_id=610d3f3370540700019b0833","325 East 80th Street, Unit 1F")</f>
        <v>325 East 80th Street, Unit 1F</v>
      </c>
      <c r="C373" s="25" t="s">
        <v>22</v>
      </c>
      <c r="D373" s="26" t="s">
        <v>23</v>
      </c>
      <c r="E373" s="27" t="str">
        <f>HYPERLINK("https://www.compass.com/building/325-e-80th-st-manhattan-ny-10075/282044042806582997/","325 E 80th St")</f>
        <v>325 E 80th St</v>
      </c>
      <c r="F373" s="25" t="s">
        <v>44</v>
      </c>
      <c r="G373" s="28">
        <v>925000.0</v>
      </c>
      <c r="H373" s="29"/>
      <c r="I373" s="28">
        <v>1788.0</v>
      </c>
      <c r="J373" s="28">
        <v>0.0</v>
      </c>
      <c r="K373" s="25" t="s">
        <v>25</v>
      </c>
      <c r="L373" s="26">
        <v>5.0</v>
      </c>
      <c r="M373" s="26">
        <v>2.0</v>
      </c>
      <c r="N373" s="26">
        <v>1.0</v>
      </c>
      <c r="O373" s="26">
        <v>0.0</v>
      </c>
      <c r="P373" s="30"/>
      <c r="Q373" s="35">
        <v>49.0</v>
      </c>
      <c r="R373" s="32">
        <v>45863.0</v>
      </c>
      <c r="S373" s="32">
        <v>45814.0</v>
      </c>
      <c r="T373" s="29"/>
      <c r="U373" s="33"/>
      <c r="V373" s="1"/>
    </row>
    <row r="374" ht="24.0" customHeight="1">
      <c r="A374" s="1"/>
      <c r="B374" s="24" t="str">
        <f>HYPERLINK("https://www.compass.com/listing/394-15th-street-unit-3r-brooklyn-ny-11215/1824097844399368633/view?agent_id=610d3f3370540700019b0833","394 15th Street, Unit 3R")</f>
        <v>394 15th Street, Unit 3R</v>
      </c>
      <c r="C374" s="25" t="s">
        <v>22</v>
      </c>
      <c r="D374" s="26" t="s">
        <v>23</v>
      </c>
      <c r="E374" s="27" t="str">
        <f>HYPERLINK("https://www.compass.com/building/394-15th-st-brooklyn-ny-11215/282506983054068341/","394 15th St")</f>
        <v>394 15th St</v>
      </c>
      <c r="F374" s="25" t="s">
        <v>40</v>
      </c>
      <c r="G374" s="28">
        <v>850000.0</v>
      </c>
      <c r="H374" s="28">
        <v>888.0</v>
      </c>
      <c r="I374" s="28">
        <v>1644.0</v>
      </c>
      <c r="J374" s="28">
        <v>11928.0</v>
      </c>
      <c r="K374" s="25" t="s">
        <v>28</v>
      </c>
      <c r="L374" s="26">
        <v>5.0</v>
      </c>
      <c r="M374" s="26">
        <v>2.0</v>
      </c>
      <c r="N374" s="26">
        <v>1.0</v>
      </c>
      <c r="O374" s="26">
        <v>0.0</v>
      </c>
      <c r="P374" s="26">
        <v>957.0</v>
      </c>
      <c r="Q374" s="35">
        <v>95.0</v>
      </c>
      <c r="R374" s="32">
        <v>45855.0</v>
      </c>
      <c r="S374" s="32">
        <v>45768.0</v>
      </c>
      <c r="T374" s="29"/>
      <c r="U374" s="33"/>
      <c r="V374" s="1"/>
    </row>
    <row r="375" ht="24.0" customHeight="1">
      <c r="A375" s="1"/>
      <c r="B375" s="24" t="str">
        <f>HYPERLINK("https://www.compass.com/listing/269-4th-avenue-unit-403-brooklyn-ny-11215/1809358257932488497/view?agent_id=610d3f3370540700019b0833","269 4th Avenue, Unit 403")</f>
        <v>269 4th Avenue, Unit 403</v>
      </c>
      <c r="C375" s="25" t="s">
        <v>22</v>
      </c>
      <c r="D375" s="26" t="s">
        <v>23</v>
      </c>
      <c r="E375" s="27" t="str">
        <f>HYPERLINK("https://www.compass.com/building/six-garfield-brooklyn-ny/293534096938772741/","Six Garfield")</f>
        <v>Six Garfield</v>
      </c>
      <c r="F375" s="25" t="s">
        <v>40</v>
      </c>
      <c r="G375" s="28">
        <v>1350000.0</v>
      </c>
      <c r="H375" s="28">
        <v>1429.0</v>
      </c>
      <c r="I375" s="28">
        <v>2408.0</v>
      </c>
      <c r="J375" s="28">
        <v>17256.0</v>
      </c>
      <c r="K375" s="25" t="s">
        <v>28</v>
      </c>
      <c r="L375" s="26">
        <v>4.0</v>
      </c>
      <c r="M375" s="26">
        <v>2.0</v>
      </c>
      <c r="N375" s="26">
        <v>1.0</v>
      </c>
      <c r="O375" s="26">
        <v>0.0</v>
      </c>
      <c r="P375" s="26">
        <v>945.0</v>
      </c>
      <c r="Q375" s="35">
        <v>115.0</v>
      </c>
      <c r="R375" s="32">
        <v>45859.0</v>
      </c>
      <c r="S375" s="32">
        <v>45748.0</v>
      </c>
      <c r="T375" s="29"/>
      <c r="U375" s="33"/>
      <c r="V375" s="1"/>
    </row>
    <row r="376" ht="24.0" customHeight="1">
      <c r="A376" s="1"/>
      <c r="B376" s="24" t="str">
        <f>HYPERLINK("https://www.compass.com/listing/126-vanderbilt-avenue-brooklyn-ny-11205/1870841632022512929/view?agent_id=610d3f3370540700019b0833","126 Vanderbilt Avenue")</f>
        <v>126 Vanderbilt Avenue</v>
      </c>
      <c r="C376" s="25" t="s">
        <v>22</v>
      </c>
      <c r="D376" s="26" t="s">
        <v>23</v>
      </c>
      <c r="E376" s="27" t="str">
        <f>HYPERLINK("https://www.compass.com/building/126-vanderbilt-ave-brooklyn-ny-11205/282451321259306117/","126 Vanderbilt Ave")</f>
        <v>126 Vanderbilt Ave</v>
      </c>
      <c r="F376" s="25" t="s">
        <v>59</v>
      </c>
      <c r="G376" s="28">
        <v>1500000.0</v>
      </c>
      <c r="H376" s="28">
        <v>758.0</v>
      </c>
      <c r="I376" s="28">
        <v>0.0</v>
      </c>
      <c r="J376" s="28">
        <v>0.0</v>
      </c>
      <c r="K376" s="25" t="s">
        <v>125</v>
      </c>
      <c r="L376" s="26">
        <v>8.0</v>
      </c>
      <c r="M376" s="26">
        <v>2.0</v>
      </c>
      <c r="N376" s="26">
        <v>1.0</v>
      </c>
      <c r="O376" s="26">
        <v>0.0</v>
      </c>
      <c r="P376" s="34">
        <v>1980.0</v>
      </c>
      <c r="Q376" s="35">
        <v>30.0</v>
      </c>
      <c r="R376" s="32">
        <v>45862.0</v>
      </c>
      <c r="S376" s="32">
        <v>45833.0</v>
      </c>
      <c r="T376" s="29"/>
      <c r="U376" s="33"/>
      <c r="V376" s="1"/>
    </row>
    <row r="377" ht="24.0" customHeight="1">
      <c r="A377" s="1"/>
      <c r="B377" s="24" t="str">
        <f>HYPERLINK("https://www.compass.com/listing/301-east-87th-street-unit-24d-manhattan-ny-10128/1872489826259123065/view?agent_id=610d3f3370540700019b0833","301 East 87th Street, Unit 24D")</f>
        <v>301 East 87th Street, Unit 24D</v>
      </c>
      <c r="C377" s="25" t="s">
        <v>22</v>
      </c>
      <c r="D377" s="26" t="s">
        <v>23</v>
      </c>
      <c r="E377" s="27" t="str">
        <f>HYPERLINK("https://www.compass.com/building/301-e-87th-st-manhattan-ny-10128/282059312656842389/","301 E 87th St")</f>
        <v>301 E 87th St</v>
      </c>
      <c r="F377" s="25" t="s">
        <v>44</v>
      </c>
      <c r="G377" s="28">
        <v>975000.0</v>
      </c>
      <c r="H377" s="29"/>
      <c r="I377" s="28">
        <v>2386.0</v>
      </c>
      <c r="J377" s="28">
        <v>0.0</v>
      </c>
      <c r="K377" s="25" t="s">
        <v>25</v>
      </c>
      <c r="L377" s="26">
        <v>4.0</v>
      </c>
      <c r="M377" s="26">
        <v>2.0</v>
      </c>
      <c r="N377" s="26">
        <v>1.0</v>
      </c>
      <c r="O377" s="26">
        <v>0.0</v>
      </c>
      <c r="P377" s="30"/>
      <c r="Q377" s="35">
        <v>28.0</v>
      </c>
      <c r="R377" s="32">
        <v>45837.0</v>
      </c>
      <c r="S377" s="32">
        <v>45835.0</v>
      </c>
      <c r="T377" s="29"/>
      <c r="U377" s="33"/>
      <c r="V377" s="1"/>
    </row>
    <row r="378" ht="24.0" customHeight="1">
      <c r="A378" s="1"/>
      <c r="B378" s="24" t="str">
        <f>HYPERLINK("https://www.compass.com/listing/251-east-32nd-street-unit-8h-manhattan-ny-10016/1872559477139980233/view?agent_id=610d3f3370540700019b0833","251 East 32nd Street, Unit 8H")</f>
        <v>251 East 32nd Street, Unit 8H</v>
      </c>
      <c r="C378" s="25" t="s">
        <v>22</v>
      </c>
      <c r="D378" s="26" t="s">
        <v>23</v>
      </c>
      <c r="E378" s="27" t="str">
        <f>HYPERLINK("https://www.compass.com/building/riverview-east-manhattan-ny/281939188947935189/","Riverview East")</f>
        <v>Riverview East</v>
      </c>
      <c r="F378" s="25" t="s">
        <v>107</v>
      </c>
      <c r="G378" s="28">
        <v>825000.0</v>
      </c>
      <c r="H378" s="28">
        <v>969.0</v>
      </c>
      <c r="I378" s="28">
        <v>2223.0</v>
      </c>
      <c r="J378" s="28">
        <v>0.0</v>
      </c>
      <c r="K378" s="25" t="s">
        <v>25</v>
      </c>
      <c r="L378" s="26">
        <v>4.0</v>
      </c>
      <c r="M378" s="26">
        <v>2.0</v>
      </c>
      <c r="N378" s="26">
        <v>1.0</v>
      </c>
      <c r="O378" s="26">
        <v>0.0</v>
      </c>
      <c r="P378" s="26">
        <v>851.0</v>
      </c>
      <c r="Q378" s="35">
        <v>28.0</v>
      </c>
      <c r="R378" s="32">
        <v>45854.0</v>
      </c>
      <c r="S378" s="32">
        <v>45835.0</v>
      </c>
      <c r="T378" s="29"/>
      <c r="U378" s="33"/>
      <c r="V378" s="1"/>
    </row>
    <row r="379" ht="24.0" customHeight="1">
      <c r="A379" s="1"/>
      <c r="B379" s="24" t="str">
        <f>HYPERLINK("https://www.compass.com/listing/455-fdr-drive-unit-c207-manhattan-ny-10002/1882438045720953281/view?agent_id=610d3f3370540700019b0833","455 FDR Drive, Unit C207")</f>
        <v>455 FDR Drive, Unit C207</v>
      </c>
      <c r="C379" s="25" t="s">
        <v>22</v>
      </c>
      <c r="D379" s="26" t="s">
        <v>23</v>
      </c>
      <c r="E379" s="27" t="str">
        <f>HYPERLINK("https://www.compass.com/building/east-river-housing-corp-manhattan-ny/282058818861431605/","East River Housing Corp.")</f>
        <v>East River Housing Corp.</v>
      </c>
      <c r="F379" s="25" t="s">
        <v>119</v>
      </c>
      <c r="G379" s="28">
        <v>875000.0</v>
      </c>
      <c r="H379" s="29"/>
      <c r="I379" s="28">
        <v>1710.0</v>
      </c>
      <c r="J379" s="28">
        <v>0.0</v>
      </c>
      <c r="K379" s="25" t="s">
        <v>25</v>
      </c>
      <c r="L379" s="26">
        <v>5.0</v>
      </c>
      <c r="M379" s="26">
        <v>2.0</v>
      </c>
      <c r="N379" s="26">
        <v>1.0</v>
      </c>
      <c r="O379" s="30"/>
      <c r="P379" s="26">
        <v>0.0</v>
      </c>
      <c r="Q379" s="35">
        <v>15.0</v>
      </c>
      <c r="R379" s="32">
        <v>45849.0</v>
      </c>
      <c r="S379" s="32">
        <v>45848.0</v>
      </c>
      <c r="T379" s="29"/>
      <c r="U379" s="33"/>
      <c r="V379" s="1"/>
    </row>
    <row r="380" ht="24.0" customHeight="1">
      <c r="A380" s="1"/>
      <c r="B380" s="24" t="str">
        <f>HYPERLINK("https://www.compass.com/listing/9-fordham-hill-ovl-unit-3c-bronx-ny-10468/1890173099386596505/view?agent_id=610d3f3370540700019b0833","9 Fordham Hill Ovl, Unit 3C")</f>
        <v>9 Fordham Hill Ovl, Unit 3C</v>
      </c>
      <c r="C380" s="25" t="s">
        <v>22</v>
      </c>
      <c r="D380" s="26" t="s">
        <v>23</v>
      </c>
      <c r="E380" s="27" t="str">
        <f>HYPERLINK("https://www.compass.com/building/9-fordham-hill-oval-bronx-ny-10468/294842156963339045/","9 Fordham Hill Oval")</f>
        <v>9 Fordham Hill Oval</v>
      </c>
      <c r="F380" s="25" t="s">
        <v>126</v>
      </c>
      <c r="G380" s="28">
        <v>235500.0</v>
      </c>
      <c r="H380" s="28">
        <v>236.0</v>
      </c>
      <c r="I380" s="28">
        <v>1438.0</v>
      </c>
      <c r="J380" s="29"/>
      <c r="K380" s="25" t="s">
        <v>25</v>
      </c>
      <c r="L380" s="26">
        <v>5.0</v>
      </c>
      <c r="M380" s="26">
        <v>2.0</v>
      </c>
      <c r="N380" s="26">
        <v>1.0</v>
      </c>
      <c r="O380" s="30"/>
      <c r="P380" s="34">
        <v>1000.0</v>
      </c>
      <c r="Q380" s="35">
        <v>4.0</v>
      </c>
      <c r="R380" s="32">
        <v>45860.0</v>
      </c>
      <c r="S380" s="32">
        <v>45859.0</v>
      </c>
      <c r="T380" s="29"/>
      <c r="U380" s="33"/>
      <c r="V380" s="1"/>
    </row>
    <row r="381" ht="24.0" customHeight="1">
      <c r="A381" s="1"/>
      <c r="B381" s="24" t="str">
        <f>HYPERLINK("https://www.compass.com/listing/66-washington-avenue-unit-3-brooklyn-ny-11205/1751042113833691937/view?agent_id=610d3f3370540700019b0833","66 Washington Avenue, Unit 3")</f>
        <v>66 Washington Avenue, Unit 3</v>
      </c>
      <c r="C381" s="25" t="s">
        <v>22</v>
      </c>
      <c r="D381" s="26" t="s">
        <v>23</v>
      </c>
      <c r="E381" s="27" t="str">
        <f>HYPERLINK("https://www.compass.com/building/66-washington-ave-brooklyn-ny-11205/282510173996668885/","66 Washington Ave")</f>
        <v>66 Washington Ave</v>
      </c>
      <c r="F381" s="25" t="s">
        <v>30</v>
      </c>
      <c r="G381" s="28">
        <v>1725000.0</v>
      </c>
      <c r="H381" s="28">
        <v>1524.0</v>
      </c>
      <c r="I381" s="28">
        <v>1420.0</v>
      </c>
      <c r="J381" s="28">
        <v>9312.0</v>
      </c>
      <c r="K381" s="25" t="s">
        <v>127</v>
      </c>
      <c r="L381" s="26">
        <v>4.0</v>
      </c>
      <c r="M381" s="26">
        <v>2.0</v>
      </c>
      <c r="N381" s="26">
        <v>1.0</v>
      </c>
      <c r="O381" s="26">
        <v>0.0</v>
      </c>
      <c r="P381" s="34">
        <v>1132.0</v>
      </c>
      <c r="Q381" s="35">
        <v>192.0</v>
      </c>
      <c r="R381" s="32">
        <v>45858.0</v>
      </c>
      <c r="S381" s="32">
        <v>45667.0</v>
      </c>
      <c r="T381" s="29"/>
      <c r="U381" s="33"/>
      <c r="V381" s="1"/>
    </row>
    <row r="382" ht="24.0" customHeight="1">
      <c r="A382" s="1"/>
      <c r="B382" s="24" t="str">
        <f>HYPERLINK("https://www.compass.com/listing/726-madison-street-unit-3b-brooklyn-ny-11221/1840260584560971177/view?agent_id=610d3f3370540700019b0833","726 Madison Street, Unit 3B")</f>
        <v>726 Madison Street, Unit 3B</v>
      </c>
      <c r="C382" s="25" t="s">
        <v>22</v>
      </c>
      <c r="D382" s="26" t="s">
        <v>23</v>
      </c>
      <c r="E382" s="27" t="str">
        <f>HYPERLINK("https://www.compass.com/building/726-madison-st-brooklyn-ny-11221/293529038129988597/","726 Madison St")</f>
        <v>726 Madison St</v>
      </c>
      <c r="F382" s="25" t="s">
        <v>51</v>
      </c>
      <c r="G382" s="28">
        <v>815000.0</v>
      </c>
      <c r="H382" s="28">
        <v>1183.0</v>
      </c>
      <c r="I382" s="28">
        <v>730.0</v>
      </c>
      <c r="J382" s="28">
        <v>4740.0</v>
      </c>
      <c r="K382" s="25" t="s">
        <v>28</v>
      </c>
      <c r="L382" s="26">
        <v>4.0</v>
      </c>
      <c r="M382" s="26">
        <v>2.0</v>
      </c>
      <c r="N382" s="26">
        <v>1.0</v>
      </c>
      <c r="O382" s="26">
        <v>0.0</v>
      </c>
      <c r="P382" s="26">
        <v>689.0</v>
      </c>
      <c r="Q382" s="35">
        <v>73.0</v>
      </c>
      <c r="R382" s="32">
        <v>45859.0</v>
      </c>
      <c r="S382" s="32">
        <v>45790.0</v>
      </c>
      <c r="T382" s="29"/>
      <c r="U382" s="33"/>
      <c r="V382" s="1"/>
    </row>
    <row r="383" ht="24.0" customHeight="1">
      <c r="A383" s="1"/>
      <c r="B383" s="24" t="str">
        <f>HYPERLINK("https://www.compass.com/listing/5900-arlington-avenue-unit-5g-bronx-ny-10471/1875493853943255769/view?agent_id=610d3f3370540700019b0833","5900 Arlington Avenue, Unit 5G")</f>
        <v>5900 Arlington Avenue, Unit 5G</v>
      </c>
      <c r="C383" s="25" t="s">
        <v>22</v>
      </c>
      <c r="D383" s="26" t="s">
        <v>23</v>
      </c>
      <c r="E383" s="27" t="str">
        <f>HYPERLINK("https://www.compass.com/building/skyview-on-the-hudson-bronx-ny/293535671430276277/","Skyview On The Hudson")</f>
        <v>Skyview On The Hudson</v>
      </c>
      <c r="F383" s="25" t="s">
        <v>75</v>
      </c>
      <c r="G383" s="28">
        <v>415000.0</v>
      </c>
      <c r="H383" s="28">
        <v>395.0</v>
      </c>
      <c r="I383" s="28">
        <v>1369.0</v>
      </c>
      <c r="J383" s="29"/>
      <c r="K383" s="25" t="s">
        <v>25</v>
      </c>
      <c r="L383" s="26">
        <v>3.0</v>
      </c>
      <c r="M383" s="26">
        <v>2.0</v>
      </c>
      <c r="N383" s="26">
        <v>1.0</v>
      </c>
      <c r="O383" s="30"/>
      <c r="P383" s="34">
        <v>1050.0</v>
      </c>
      <c r="Q383" s="35">
        <v>24.0</v>
      </c>
      <c r="R383" s="32">
        <v>45840.0</v>
      </c>
      <c r="S383" s="32">
        <v>45839.0</v>
      </c>
      <c r="T383" s="29"/>
      <c r="U383" s="33"/>
      <c r="V383" s="1"/>
    </row>
    <row r="384" ht="24.0" customHeight="1">
      <c r="A384" s="1"/>
      <c r="B384" s="24" t="str">
        <f>HYPERLINK("https://www.compass.com/listing/1240-bedford-avenue-unit-1d-brooklyn-ny-11216/1667932436391668369/view?agent_id=610d3f3370540700019b0833","1240 Bedford Avenue, Unit 1D")</f>
        <v>1240 Bedford Avenue, Unit 1D</v>
      </c>
      <c r="C384" s="25" t="s">
        <v>22</v>
      </c>
      <c r="D384" s="26" t="s">
        <v>23</v>
      </c>
      <c r="E384" s="27" t="str">
        <f>HYPERLINK("https://www.compass.com/building/1240-bedford-ave-brooklyn-ny-11216/293426035200957509/","1240 Bedford Ave")</f>
        <v>1240 Bedford Ave</v>
      </c>
      <c r="F384" s="25" t="s">
        <v>51</v>
      </c>
      <c r="G384" s="28">
        <v>750000.0</v>
      </c>
      <c r="H384" s="28">
        <v>882.0</v>
      </c>
      <c r="I384" s="28">
        <v>0.0</v>
      </c>
      <c r="J384" s="29"/>
      <c r="K384" s="25" t="s">
        <v>28</v>
      </c>
      <c r="L384" s="26">
        <v>4.0</v>
      </c>
      <c r="M384" s="26">
        <v>2.0</v>
      </c>
      <c r="N384" s="26">
        <v>1.0</v>
      </c>
      <c r="O384" s="30"/>
      <c r="P384" s="26">
        <v>850.0</v>
      </c>
      <c r="Q384" s="35">
        <v>147.0</v>
      </c>
      <c r="R384" s="32">
        <v>45861.0</v>
      </c>
      <c r="S384" s="32">
        <v>45716.0</v>
      </c>
      <c r="T384" s="29"/>
      <c r="U384" s="33"/>
      <c r="V384" s="1"/>
    </row>
    <row r="385" ht="24.0" customHeight="1">
      <c r="A385" s="1"/>
      <c r="B385" s="24" t="str">
        <f>HYPERLINK("https://www.compass.com/listing/207-east-74th-street-unit-7f-manhattan-ny-10021/1826719272920303513/view?agent_id=610d3f3370540700019b0833","207 East 74th Street, Unit 7F")</f>
        <v>207 East 74th Street, Unit 7F</v>
      </c>
      <c r="C385" s="25" t="s">
        <v>22</v>
      </c>
      <c r="D385" s="26" t="s">
        <v>23</v>
      </c>
      <c r="E385" s="27" t="str">
        <f>HYPERLINK("https://www.compass.com/building/the-mayfair-manhattan-ny/281949407421725269/","The Mayfair ")</f>
        <v>The Mayfair </v>
      </c>
      <c r="F385" s="25" t="s">
        <v>64</v>
      </c>
      <c r="G385" s="28">
        <v>1295000.0</v>
      </c>
      <c r="H385" s="29"/>
      <c r="I385" s="28">
        <v>2132.0</v>
      </c>
      <c r="J385" s="28">
        <v>0.0</v>
      </c>
      <c r="K385" s="25" t="s">
        <v>25</v>
      </c>
      <c r="L385" s="26">
        <v>4.0</v>
      </c>
      <c r="M385" s="26">
        <v>2.0</v>
      </c>
      <c r="N385" s="26">
        <v>1.0</v>
      </c>
      <c r="O385" s="26">
        <v>0.0</v>
      </c>
      <c r="P385" s="26">
        <v>0.0</v>
      </c>
      <c r="Q385" s="35">
        <v>92.0</v>
      </c>
      <c r="R385" s="32">
        <v>45797.0</v>
      </c>
      <c r="S385" s="32">
        <v>45771.0</v>
      </c>
      <c r="T385" s="29"/>
      <c r="U385" s="33"/>
      <c r="V385" s="1"/>
    </row>
    <row r="386" ht="24.0" customHeight="1">
      <c r="A386" s="1"/>
      <c r="B386" s="24" t="str">
        <f>HYPERLINK("https://www.compass.com/listing/4016-7th-avenue-unit-2f-brooklyn-ny-11232/1891236382605311865/view?agent_id=610d3f3370540700019b0833","4016 7th Avenue, Unit 2F")</f>
        <v>4016 7th Avenue, Unit 2F</v>
      </c>
      <c r="C386" s="25" t="s">
        <v>22</v>
      </c>
      <c r="D386" s="26" t="s">
        <v>23</v>
      </c>
      <c r="E386" s="27" t="str">
        <f>HYPERLINK("https://www.compass.com/building/4016-7th-ave-brooklyn-ny-11232/293527824550080405/","4016 7th Ave")</f>
        <v>4016 7th Ave</v>
      </c>
      <c r="F386" s="25" t="s">
        <v>128</v>
      </c>
      <c r="G386" s="28">
        <v>628000.0</v>
      </c>
      <c r="H386" s="28">
        <v>981.0</v>
      </c>
      <c r="I386" s="28">
        <v>887.0</v>
      </c>
      <c r="J386" s="28">
        <v>5424.0</v>
      </c>
      <c r="K386" s="25" t="s">
        <v>28</v>
      </c>
      <c r="L386" s="26">
        <v>3.0</v>
      </c>
      <c r="M386" s="26">
        <v>2.0</v>
      </c>
      <c r="N386" s="26">
        <v>1.0</v>
      </c>
      <c r="O386" s="30"/>
      <c r="P386" s="26">
        <v>640.0</v>
      </c>
      <c r="Q386" s="35">
        <v>3.0</v>
      </c>
      <c r="R386" s="32">
        <v>45861.0</v>
      </c>
      <c r="S386" s="32">
        <v>45860.0</v>
      </c>
      <c r="T386" s="29"/>
      <c r="U386" s="33"/>
      <c r="V386" s="1"/>
    </row>
    <row r="387" ht="24.0" customHeight="1">
      <c r="A387" s="1"/>
      <c r="B387" s="24" t="str">
        <f>HYPERLINK("https://www.compass.com/listing/137-east-66th-street-unit-9d-manhattan-ny-10065/1856993943757191033/view?agent_id=610d3f3370540700019b0833","137 East 66th Street, Unit 9D")</f>
        <v>137 East 66th Street, Unit 9D</v>
      </c>
      <c r="C387" s="25" t="s">
        <v>22</v>
      </c>
      <c r="D387" s="26" t="s">
        <v>23</v>
      </c>
      <c r="E387" s="27" t="str">
        <f>HYPERLINK("https://www.compass.com/building/137-e-66th-st-manhattan-ny-10065/282036468606584133/","137 E 66th St")</f>
        <v>137 E 66th St</v>
      </c>
      <c r="F387" s="25" t="s">
        <v>64</v>
      </c>
      <c r="G387" s="28">
        <v>950000.0</v>
      </c>
      <c r="H387" s="29"/>
      <c r="I387" s="28">
        <v>2993.0</v>
      </c>
      <c r="J387" s="28">
        <v>0.0</v>
      </c>
      <c r="K387" s="25" t="s">
        <v>25</v>
      </c>
      <c r="L387" s="26">
        <v>4.0</v>
      </c>
      <c r="M387" s="26">
        <v>2.0</v>
      </c>
      <c r="N387" s="26">
        <v>1.0</v>
      </c>
      <c r="O387" s="26">
        <v>0.0</v>
      </c>
      <c r="P387" s="30"/>
      <c r="Q387" s="35">
        <v>50.0</v>
      </c>
      <c r="R387" s="32">
        <v>45862.0</v>
      </c>
      <c r="S387" s="32">
        <v>45813.0</v>
      </c>
      <c r="T387" s="29"/>
      <c r="U387" s="33"/>
      <c r="V387" s="1"/>
    </row>
    <row r="388" ht="24.0" customHeight="1">
      <c r="A388" s="1"/>
      <c r="B388" s="24" t="str">
        <f>HYPERLINK("https://www.compass.com/listing/525-west-235th-street-unit-6f-bronx-ny-10463/1890100312961388121/view?agent_id=610d3f3370540700019b0833","525 West 235th Street, Unit 6F")</f>
        <v>525 West 235th Street, Unit 6F</v>
      </c>
      <c r="C388" s="25" t="s">
        <v>22</v>
      </c>
      <c r="D388" s="26" t="s">
        <v>23</v>
      </c>
      <c r="E388" s="27" t="str">
        <f>HYPERLINK("https://www.compass.com/building/525-w-235th-st-bronx-ny-10463/293535209033373973/","525 W 235th St")</f>
        <v>525 W 235th St</v>
      </c>
      <c r="F388" s="25" t="s">
        <v>84</v>
      </c>
      <c r="G388" s="28">
        <v>335000.0</v>
      </c>
      <c r="H388" s="28">
        <v>344.0</v>
      </c>
      <c r="I388" s="28">
        <v>1163.0</v>
      </c>
      <c r="J388" s="28">
        <v>0.0</v>
      </c>
      <c r="K388" s="25" t="s">
        <v>25</v>
      </c>
      <c r="L388" s="26">
        <v>4.0</v>
      </c>
      <c r="M388" s="26">
        <v>2.0</v>
      </c>
      <c r="N388" s="26">
        <v>1.0</v>
      </c>
      <c r="O388" s="26">
        <v>0.0</v>
      </c>
      <c r="P388" s="26">
        <v>975.0</v>
      </c>
      <c r="Q388" s="35">
        <v>4.0</v>
      </c>
      <c r="R388" s="32">
        <v>45861.0</v>
      </c>
      <c r="S388" s="32">
        <v>45859.0</v>
      </c>
      <c r="T388" s="29"/>
      <c r="U388" s="33"/>
      <c r="V388" s="1"/>
    </row>
    <row r="389" ht="24.0" customHeight="1">
      <c r="A389" s="1"/>
      <c r="B389" s="24" t="str">
        <f>HYPERLINK("https://www.compass.com/listing/525-west-238th-street-unit-1l-bronx-ny-10463/1879808593382421193/view?agent_id=610d3f3370540700019b0833","525 West 238th Street, Unit 1L")</f>
        <v>525 West 238th Street, Unit 1L</v>
      </c>
      <c r="C389" s="25" t="s">
        <v>22</v>
      </c>
      <c r="D389" s="26" t="s">
        <v>23</v>
      </c>
      <c r="E389" s="27" t="str">
        <f>HYPERLINK("https://www.compass.com/building/525-w-238th-st-bronx-ny-10463/293527985410092197/","525 W 238th St")</f>
        <v>525 W 238th St</v>
      </c>
      <c r="F389" s="25" t="s">
        <v>84</v>
      </c>
      <c r="G389" s="28">
        <v>339000.0</v>
      </c>
      <c r="H389" s="28">
        <v>339.0</v>
      </c>
      <c r="I389" s="28">
        <v>1340.0</v>
      </c>
      <c r="J389" s="29"/>
      <c r="K389" s="25" t="s">
        <v>25</v>
      </c>
      <c r="L389" s="26">
        <v>7.0</v>
      </c>
      <c r="M389" s="26">
        <v>2.0</v>
      </c>
      <c r="N389" s="26">
        <v>1.0</v>
      </c>
      <c r="O389" s="30"/>
      <c r="P389" s="34">
        <v>1000.0</v>
      </c>
      <c r="Q389" s="35">
        <v>18.0</v>
      </c>
      <c r="R389" s="32">
        <v>45846.0</v>
      </c>
      <c r="S389" s="32">
        <v>45845.0</v>
      </c>
      <c r="T389" s="29"/>
      <c r="U389" s="33"/>
      <c r="V389" s="1"/>
    </row>
    <row r="390" ht="24.0" customHeight="1">
      <c r="A390" s="1"/>
      <c r="B390" s="24" t="str">
        <f>HYPERLINK("https://www.compass.com/listing/12-15-broadway-unit-625-queens-ny-11106/1815193288904133097/view?agent_id=610d3f3370540700019b0833","12-15 Broadway, Unit 625")</f>
        <v>12-15 Broadway, Unit 625</v>
      </c>
      <c r="C390" s="25" t="s">
        <v>22</v>
      </c>
      <c r="D390" s="26" t="s">
        <v>23</v>
      </c>
      <c r="E390" s="27" t="str">
        <f>HYPERLINK("https://www.compass.com/building/12-15-broadway-queens-ny-11106/293533224892672917/","12-15 Broadway")</f>
        <v>12-15 Broadway</v>
      </c>
      <c r="F390" s="25" t="s">
        <v>68</v>
      </c>
      <c r="G390" s="28">
        <v>897000.0</v>
      </c>
      <c r="H390" s="28">
        <v>897.0</v>
      </c>
      <c r="I390" s="28">
        <v>1442.0</v>
      </c>
      <c r="J390" s="28">
        <v>6684.0</v>
      </c>
      <c r="K390" s="25" t="s">
        <v>28</v>
      </c>
      <c r="L390" s="26">
        <v>4.0</v>
      </c>
      <c r="M390" s="26">
        <v>2.0</v>
      </c>
      <c r="N390" s="26">
        <v>1.0</v>
      </c>
      <c r="O390" s="30"/>
      <c r="P390" s="34">
        <v>1000.0</v>
      </c>
      <c r="Q390" s="35">
        <v>108.0</v>
      </c>
      <c r="R390" s="32">
        <v>45756.0</v>
      </c>
      <c r="S390" s="32">
        <v>45755.0</v>
      </c>
      <c r="T390" s="29"/>
      <c r="U390" s="33"/>
      <c r="V390" s="1"/>
    </row>
    <row r="391" ht="24.0" customHeight="1">
      <c r="A391" s="1"/>
      <c r="B391" s="24" t="str">
        <f>HYPERLINK("https://www.compass.com/listing/360-east-72nd-street-unit-a807-manhattan-ny-10021/1820993323120852377/view?agent_id=610d3f3370540700019b0833","360 East 72nd Street, Unit A807")</f>
        <v>360 East 72nd Street, Unit A807</v>
      </c>
      <c r="C391" s="25" t="s">
        <v>22</v>
      </c>
      <c r="D391" s="26" t="s">
        <v>23</v>
      </c>
      <c r="E391" s="27" t="str">
        <f>HYPERLINK("https://www.compass.com/building/360-e-72nd-st-manhattan-ny-10021/292850318012649317/","360 E 72nd St")</f>
        <v>360 E 72nd St</v>
      </c>
      <c r="F391" s="25" t="s">
        <v>64</v>
      </c>
      <c r="G391" s="28">
        <v>1195000.0</v>
      </c>
      <c r="H391" s="28">
        <v>1195.0</v>
      </c>
      <c r="I391" s="28">
        <v>1786.0</v>
      </c>
      <c r="J391" s="28">
        <v>0.0</v>
      </c>
      <c r="K391" s="25" t="s">
        <v>25</v>
      </c>
      <c r="L391" s="26">
        <v>6.0</v>
      </c>
      <c r="M391" s="26">
        <v>2.0</v>
      </c>
      <c r="N391" s="26">
        <v>1.0</v>
      </c>
      <c r="O391" s="30"/>
      <c r="P391" s="34">
        <v>1000.0</v>
      </c>
      <c r="Q391" s="35">
        <v>99.0</v>
      </c>
      <c r="R391" s="32">
        <v>45764.0</v>
      </c>
      <c r="S391" s="32">
        <v>45764.0</v>
      </c>
      <c r="T391" s="29"/>
      <c r="U391" s="33"/>
      <c r="V391" s="1"/>
    </row>
    <row r="392" ht="24.0" customHeight="1">
      <c r="A392" s="1"/>
      <c r="B392" s="24" t="str">
        <f>HYPERLINK("https://www.compass.com/listing/11-harrison-street-unit-5-manhattan-ny-10013/1795834007060895713/view?agent_id=610d3f3370540700019b0833","11 Harrison Street, Unit 5")</f>
        <v>11 Harrison Street, Unit 5</v>
      </c>
      <c r="C392" s="25" t="s">
        <v>22</v>
      </c>
      <c r="D392" s="26" t="s">
        <v>23</v>
      </c>
      <c r="E392" s="27" t="str">
        <f>HYPERLINK("https://www.compass.com/building/11-harrison-st-manhattan-ny-10013/281916504029560997/","11 Harrison St")</f>
        <v>11 Harrison St</v>
      </c>
      <c r="F392" s="25" t="s">
        <v>60</v>
      </c>
      <c r="G392" s="28">
        <v>3750000.0</v>
      </c>
      <c r="H392" s="28">
        <v>1923.0</v>
      </c>
      <c r="I392" s="28">
        <v>2052.0</v>
      </c>
      <c r="J392" s="28">
        <v>13836.0</v>
      </c>
      <c r="K392" s="25" t="s">
        <v>28</v>
      </c>
      <c r="L392" s="26">
        <v>4.0</v>
      </c>
      <c r="M392" s="26">
        <v>2.0</v>
      </c>
      <c r="N392" s="26">
        <v>1.0</v>
      </c>
      <c r="O392" s="26">
        <v>0.0</v>
      </c>
      <c r="P392" s="34">
        <v>1950.0</v>
      </c>
      <c r="Q392" s="35">
        <v>136.0</v>
      </c>
      <c r="R392" s="32">
        <v>45859.0</v>
      </c>
      <c r="S392" s="32">
        <v>45727.0</v>
      </c>
      <c r="T392" s="29"/>
      <c r="U392" s="33"/>
      <c r="V392" s="1"/>
    </row>
    <row r="393" ht="24.0" customHeight="1">
      <c r="A393" s="1"/>
      <c r="B393" s="24" t="str">
        <f>HYPERLINK("https://www.compass.com/listing/285-east-35th-street-unit-2d-brooklyn-ny-11203/1885786003020507033/view?agent_id=610d3f3370540700019b0833","285 East 35th Street, Unit 2D")</f>
        <v>285 East 35th Street, Unit 2D</v>
      </c>
      <c r="C393" s="25" t="s">
        <v>22</v>
      </c>
      <c r="D393" s="26" t="s">
        <v>23</v>
      </c>
      <c r="E393" s="27" t="str">
        <f>HYPERLINK("https://www.compass.com/building/285-e-35th-st-brooklyn-ny-11203/293417470155336149/","285 E 35th St")</f>
        <v>285 E 35th St</v>
      </c>
      <c r="F393" s="25" t="s">
        <v>123</v>
      </c>
      <c r="G393" s="28">
        <v>260000.0</v>
      </c>
      <c r="H393" s="28">
        <v>236.0</v>
      </c>
      <c r="I393" s="28">
        <v>1322.0</v>
      </c>
      <c r="J393" s="29"/>
      <c r="K393" s="25" t="s">
        <v>25</v>
      </c>
      <c r="L393" s="26">
        <v>4.0</v>
      </c>
      <c r="M393" s="26">
        <v>2.0</v>
      </c>
      <c r="N393" s="26">
        <v>1.0</v>
      </c>
      <c r="O393" s="30"/>
      <c r="P393" s="34">
        <v>1100.0</v>
      </c>
      <c r="Q393" s="35">
        <v>10.0</v>
      </c>
      <c r="R393" s="32">
        <v>45854.0</v>
      </c>
      <c r="S393" s="32">
        <v>45853.0</v>
      </c>
      <c r="T393" s="29"/>
      <c r="U393" s="33"/>
      <c r="V393" s="1"/>
    </row>
    <row r="394" ht="24.0" customHeight="1">
      <c r="A394" s="1"/>
      <c r="B394" s="24" t="str">
        <f>HYPERLINK("https://www.compass.com/listing/30-bushwick-avenue-unit-2a-brooklyn-ny-11211/1795830000762828569/view?agent_id=610d3f3370540700019b0833","30 Bushwick Avenue, Unit 2A")</f>
        <v>30 Bushwick Avenue, Unit 2A</v>
      </c>
      <c r="C394" s="25" t="s">
        <v>22</v>
      </c>
      <c r="D394" s="26" t="s">
        <v>23</v>
      </c>
      <c r="E394" s="27" t="str">
        <f>HYPERLINK("https://www.compass.com/building/30-bushwick-ave-brooklyn-ny-11211/293418469641192885/","30 Bushwick Ave")</f>
        <v>30 Bushwick Ave</v>
      </c>
      <c r="F394" s="25" t="s">
        <v>46</v>
      </c>
      <c r="G394" s="28">
        <v>1095000.0</v>
      </c>
      <c r="H394" s="28">
        <v>1264.0</v>
      </c>
      <c r="I394" s="28">
        <v>1368.0</v>
      </c>
      <c r="J394" s="28">
        <v>11256.0</v>
      </c>
      <c r="K394" s="25" t="s">
        <v>28</v>
      </c>
      <c r="L394" s="26">
        <v>3.0</v>
      </c>
      <c r="M394" s="26">
        <v>2.0</v>
      </c>
      <c r="N394" s="26">
        <v>1.0</v>
      </c>
      <c r="O394" s="26">
        <v>0.0</v>
      </c>
      <c r="P394" s="26">
        <v>866.0</v>
      </c>
      <c r="Q394" s="35">
        <v>134.0</v>
      </c>
      <c r="R394" s="32">
        <v>45863.0</v>
      </c>
      <c r="S394" s="32">
        <v>45729.0</v>
      </c>
      <c r="T394" s="29"/>
      <c r="U394" s="33"/>
      <c r="V394" s="1"/>
    </row>
    <row r="395" ht="24.0" customHeight="1">
      <c r="A395" s="1"/>
      <c r="B395" s="24" t="str">
        <f>HYPERLINK("https://www.compass.com/listing/425-east-26th-street-unit-6j-brooklyn-ny-11226/1860001249264733201/view?agent_id=610d3f3370540700019b0833","425 East 26th Street, Unit 6J")</f>
        <v>425 East 26th Street, Unit 6J</v>
      </c>
      <c r="C395" s="25" t="s">
        <v>22</v>
      </c>
      <c r="D395" s="26" t="s">
        <v>23</v>
      </c>
      <c r="E395" s="27" t="str">
        <f>HYPERLINK("https://www.compass.com/building/425-e-26th-st-brooklyn-ny-11226/293416823578274389/","425 E 26th St")</f>
        <v>425 E 26th St</v>
      </c>
      <c r="F395" s="25" t="s">
        <v>112</v>
      </c>
      <c r="G395" s="28">
        <v>425000.0</v>
      </c>
      <c r="H395" s="28">
        <v>425.0</v>
      </c>
      <c r="I395" s="28">
        <v>1090.0</v>
      </c>
      <c r="J395" s="28">
        <v>0.0</v>
      </c>
      <c r="K395" s="25" t="s">
        <v>25</v>
      </c>
      <c r="L395" s="26">
        <v>4.0</v>
      </c>
      <c r="M395" s="26">
        <v>2.0</v>
      </c>
      <c r="N395" s="26">
        <v>1.0</v>
      </c>
      <c r="O395" s="30"/>
      <c r="P395" s="34">
        <v>1000.0</v>
      </c>
      <c r="Q395" s="35">
        <v>46.0</v>
      </c>
      <c r="R395" s="32">
        <v>45818.0</v>
      </c>
      <c r="S395" s="32">
        <v>45817.0</v>
      </c>
      <c r="T395" s="29"/>
      <c r="U395" s="33"/>
      <c r="V395" s="1"/>
    </row>
    <row r="396" ht="24.0" customHeight="1">
      <c r="A396" s="1"/>
      <c r="B396" s="24" t="str">
        <f>HYPERLINK("https://www.compass.com/listing/89-metropolitan-ovl-unit-7b-bronx-ny-10462/1892344160723463929/view?agent_id=610d3f3370540700019b0833","89 Metropolitan Ovl, Unit 7B")</f>
        <v>89 Metropolitan Ovl, Unit 7B</v>
      </c>
      <c r="C396" s="25" t="s">
        <v>22</v>
      </c>
      <c r="D396" s="26" t="s">
        <v>23</v>
      </c>
      <c r="E396" s="27" t="str">
        <f>HYPERLINK("https://www.compass.com/building/89-metropolitan-oval-bronx-ny-10462/294837902428958405/","89 Metropolitan Oval")</f>
        <v>89 Metropolitan Oval</v>
      </c>
      <c r="F396" s="25" t="s">
        <v>129</v>
      </c>
      <c r="G396" s="28">
        <v>350000.0</v>
      </c>
      <c r="H396" s="28">
        <v>417.0</v>
      </c>
      <c r="I396" s="28">
        <v>1089.0</v>
      </c>
      <c r="J396" s="28">
        <v>777.0</v>
      </c>
      <c r="K396" s="25" t="s">
        <v>28</v>
      </c>
      <c r="L396" s="26">
        <v>4.0</v>
      </c>
      <c r="M396" s="26">
        <v>2.0</v>
      </c>
      <c r="N396" s="26">
        <v>1.0</v>
      </c>
      <c r="O396" s="30"/>
      <c r="P396" s="26">
        <v>839.0</v>
      </c>
      <c r="Q396" s="35">
        <v>1.0</v>
      </c>
      <c r="R396" s="32">
        <v>45863.0</v>
      </c>
      <c r="S396" s="32">
        <v>45862.0</v>
      </c>
      <c r="T396" s="29"/>
      <c r="U396" s="33"/>
      <c r="V396" s="1"/>
    </row>
    <row r="397" ht="24.0" customHeight="1">
      <c r="A397" s="1"/>
      <c r="B397" s="24" t="str">
        <f>HYPERLINK("https://www.compass.com/listing/31-19-29th-street-unit-5c-queens-ny-11106/1887519585543540865/view?agent_id=610d3f3370540700019b0833","31-19 29th Street, Unit 5C")</f>
        <v>31-19 29th Street, Unit 5C</v>
      </c>
      <c r="C397" s="25" t="s">
        <v>22</v>
      </c>
      <c r="D397" s="26" t="s">
        <v>23</v>
      </c>
      <c r="E397" s="27" t="str">
        <f>HYPERLINK("https://www.compass.com/building/31-19-29th-st-queens-ny-11106/293534106275297957/","31-19 29th St")</f>
        <v>31-19 29th St</v>
      </c>
      <c r="F397" s="25" t="s">
        <v>68</v>
      </c>
      <c r="G397" s="28">
        <v>995000.0</v>
      </c>
      <c r="H397" s="28">
        <v>1277.0</v>
      </c>
      <c r="I397" s="28">
        <v>1254.0</v>
      </c>
      <c r="J397" s="28">
        <v>7524.0</v>
      </c>
      <c r="K397" s="25" t="s">
        <v>28</v>
      </c>
      <c r="L397" s="26">
        <v>3.0</v>
      </c>
      <c r="M397" s="26">
        <v>2.0</v>
      </c>
      <c r="N397" s="26">
        <v>1.0</v>
      </c>
      <c r="O397" s="30"/>
      <c r="P397" s="26">
        <v>779.0</v>
      </c>
      <c r="Q397" s="35">
        <v>3.0</v>
      </c>
      <c r="R397" s="32">
        <v>45860.0</v>
      </c>
      <c r="S397" s="32">
        <v>45860.0</v>
      </c>
      <c r="T397" s="29"/>
      <c r="U397" s="33"/>
      <c r="V397" s="1"/>
    </row>
    <row r="398" ht="24.0" customHeight="1">
      <c r="A398" s="1"/>
      <c r="B398" s="24" t="str">
        <f>HYPERLINK("https://www.compass.com/listing/505-east-79th-street-unit-8c-manhattan-ny-10075/1770161106736319921/view?agent_id=610d3f3370540700019b0833","505 East 79th Street, Unit 8C")</f>
        <v>505 East 79th Street, Unit 8C</v>
      </c>
      <c r="C398" s="25" t="s">
        <v>22</v>
      </c>
      <c r="D398" s="26" t="s">
        <v>23</v>
      </c>
      <c r="E398" s="27" t="str">
        <f>HYPERLINK("https://www.compass.com/building/east-river-house-manhattan-ny/282044857197813989/","East River House")</f>
        <v>East River House</v>
      </c>
      <c r="F398" s="25" t="s">
        <v>44</v>
      </c>
      <c r="G398" s="28">
        <v>699000.0</v>
      </c>
      <c r="H398" s="28">
        <v>699.0</v>
      </c>
      <c r="I398" s="28">
        <v>2495.0</v>
      </c>
      <c r="J398" s="28">
        <v>0.0</v>
      </c>
      <c r="K398" s="25" t="s">
        <v>25</v>
      </c>
      <c r="L398" s="26">
        <v>4.0</v>
      </c>
      <c r="M398" s="26">
        <v>2.0</v>
      </c>
      <c r="N398" s="26">
        <v>1.0</v>
      </c>
      <c r="O398" s="26">
        <v>0.0</v>
      </c>
      <c r="P398" s="34">
        <v>1000.0</v>
      </c>
      <c r="Q398" s="35">
        <v>169.0</v>
      </c>
      <c r="R398" s="32">
        <v>45863.0</v>
      </c>
      <c r="S398" s="32">
        <v>45694.0</v>
      </c>
      <c r="T398" s="29"/>
      <c r="U398" s="33"/>
      <c r="V398" s="1"/>
    </row>
    <row r="399" ht="24.0" customHeight="1">
      <c r="A399" s="1"/>
      <c r="B399" s="24" t="str">
        <f>HYPERLINK("https://www.compass.com/listing/814-tilden-street-unit-stkb-bronx-ny-10467/1887104859718384889/view?agent_id=610d3f3370540700019b0833","814 Tilden Street, Unit STKB")</f>
        <v>814 Tilden Street, Unit STKB</v>
      </c>
      <c r="C399" s="25" t="s">
        <v>22</v>
      </c>
      <c r="D399" s="26" t="s">
        <v>23</v>
      </c>
      <c r="E399" s="27" t="str">
        <f>HYPERLINK("https://www.compass.com/building/814-tilden-st-bronx-ny-10467/307446239251410629/","814 Tilden St")</f>
        <v>814 Tilden St</v>
      </c>
      <c r="F399" s="25" t="s">
        <v>130</v>
      </c>
      <c r="G399" s="28">
        <v>160000.0</v>
      </c>
      <c r="H399" s="28">
        <v>160.0</v>
      </c>
      <c r="I399" s="28">
        <v>1155.0</v>
      </c>
      <c r="J399" s="29"/>
      <c r="K399" s="25" t="s">
        <v>25</v>
      </c>
      <c r="L399" s="26">
        <v>4.0</v>
      </c>
      <c r="M399" s="26">
        <v>2.0</v>
      </c>
      <c r="N399" s="26">
        <v>1.0</v>
      </c>
      <c r="O399" s="30"/>
      <c r="P399" s="34">
        <v>1000.0</v>
      </c>
      <c r="Q399" s="35">
        <v>8.0</v>
      </c>
      <c r="R399" s="32">
        <v>45859.0</v>
      </c>
      <c r="S399" s="32">
        <v>45855.0</v>
      </c>
      <c r="T399" s="29"/>
      <c r="U399" s="33"/>
      <c r="V399" s="1"/>
    </row>
    <row r="400" ht="24.0" customHeight="1">
      <c r="A400" s="1"/>
      <c r="B400" s="24" t="str">
        <f>HYPERLINK("https://www.compass.com/listing/583-putnam-avenue-unit-3-brooklyn-ny-11221/1682823957376588249/view?agent_id=610d3f3370540700019b0833","583 Putnam Avenue, Unit 3")</f>
        <v>583 Putnam Avenue, Unit 3</v>
      </c>
      <c r="C400" s="25" t="s">
        <v>22</v>
      </c>
      <c r="D400" s="26" t="s">
        <v>23</v>
      </c>
      <c r="E400" s="27" t="str">
        <f>HYPERLINK("https://www.compass.com/building/583-putnam-ave-brooklyn-ny-11221/293532587677232565/","583 Putnam Ave")</f>
        <v>583 Putnam Ave</v>
      </c>
      <c r="F400" s="25" t="s">
        <v>51</v>
      </c>
      <c r="G400" s="28">
        <v>889000.0</v>
      </c>
      <c r="H400" s="28">
        <v>1060.0</v>
      </c>
      <c r="I400" s="28">
        <v>509.0</v>
      </c>
      <c r="J400" s="28">
        <v>468.0</v>
      </c>
      <c r="K400" s="25" t="s">
        <v>28</v>
      </c>
      <c r="L400" s="26">
        <v>5.0</v>
      </c>
      <c r="M400" s="26">
        <v>2.0</v>
      </c>
      <c r="N400" s="26">
        <v>1.0</v>
      </c>
      <c r="O400" s="26">
        <v>0.0</v>
      </c>
      <c r="P400" s="26">
        <v>839.0</v>
      </c>
      <c r="Q400" s="35">
        <v>291.0</v>
      </c>
      <c r="R400" s="32">
        <v>45856.0</v>
      </c>
      <c r="S400" s="32">
        <v>45572.0</v>
      </c>
      <c r="T400" s="29"/>
      <c r="U400" s="33"/>
      <c r="V400" s="1"/>
    </row>
    <row r="401" ht="24.0" customHeight="1">
      <c r="A401" s="1"/>
      <c r="B401" s="24" t="str">
        <f>HYPERLINK("https://www.compass.com/listing/406-west-46th-street-unit-3b-manhattan-ny-10036/1852243303974301873/view?agent_id=610d3f3370540700019b0833","406 West 46th Street, Unit 3B")</f>
        <v>406 West 46th Street, Unit 3B</v>
      </c>
      <c r="C401" s="25" t="s">
        <v>22</v>
      </c>
      <c r="D401" s="26" t="s">
        <v>23</v>
      </c>
      <c r="E401" s="27" t="str">
        <f>HYPERLINK("https://www.compass.com/building/406-w-46th-st-manhattan-ny-10036/282024648974020117/","406 W 46th St")</f>
        <v>406 W 46th St</v>
      </c>
      <c r="F401" s="25" t="s">
        <v>47</v>
      </c>
      <c r="G401" s="28">
        <v>510000.0</v>
      </c>
      <c r="H401" s="29"/>
      <c r="I401" s="28">
        <v>1856.0</v>
      </c>
      <c r="J401" s="28">
        <v>0.0</v>
      </c>
      <c r="K401" s="25" t="s">
        <v>25</v>
      </c>
      <c r="L401" s="26">
        <v>3.0</v>
      </c>
      <c r="M401" s="26">
        <v>2.0</v>
      </c>
      <c r="N401" s="26">
        <v>1.0</v>
      </c>
      <c r="O401" s="26">
        <v>0.0</v>
      </c>
      <c r="P401" s="30"/>
      <c r="Q401" s="35">
        <v>56.0</v>
      </c>
      <c r="R401" s="32">
        <v>45863.0</v>
      </c>
      <c r="S401" s="32">
        <v>45807.0</v>
      </c>
      <c r="T401" s="29"/>
      <c r="U401" s="33"/>
      <c r="V401" s="1"/>
    </row>
    <row r="402" ht="24.0" customHeight="1">
      <c r="A402" s="1"/>
      <c r="B402" s="24" t="str">
        <f>HYPERLINK("https://www.compass.com/listing/420-east-72nd-street-unit-8c-manhattan-ny-10021/1824910675835337273/view?agent_id=610d3f3370540700019b0833","420 East 72nd Street, Unit 8C")</f>
        <v>420 East 72nd Street, Unit 8C</v>
      </c>
      <c r="C402" s="25" t="s">
        <v>22</v>
      </c>
      <c r="D402" s="26" t="s">
        <v>23</v>
      </c>
      <c r="E402" s="27" t="str">
        <f>HYPERLINK("https://www.compass.com/building/420-e-72nd-st-manhattan-ny-10021/319549185694925221/","420 E 72nd St")</f>
        <v>420 E 72nd St</v>
      </c>
      <c r="F402" s="25" t="s">
        <v>64</v>
      </c>
      <c r="G402" s="28">
        <v>775000.0</v>
      </c>
      <c r="H402" s="29"/>
      <c r="I402" s="28">
        <v>2172.0</v>
      </c>
      <c r="J402" s="28">
        <v>0.0</v>
      </c>
      <c r="K402" s="25" t="s">
        <v>25</v>
      </c>
      <c r="L402" s="26">
        <v>4.0</v>
      </c>
      <c r="M402" s="26">
        <v>2.0</v>
      </c>
      <c r="N402" s="26">
        <v>1.0</v>
      </c>
      <c r="O402" s="26">
        <v>0.0</v>
      </c>
      <c r="P402" s="30"/>
      <c r="Q402" s="35">
        <v>94.0</v>
      </c>
      <c r="R402" s="32">
        <v>45819.0</v>
      </c>
      <c r="S402" s="32">
        <v>45769.0</v>
      </c>
      <c r="T402" s="29"/>
      <c r="U402" s="33"/>
      <c r="V402" s="1"/>
    </row>
    <row r="403" ht="24.0" customHeight="1">
      <c r="A403" s="1"/>
      <c r="B403" s="24" t="str">
        <f>HYPERLINK("https://www.compass.com/listing/10-west-end-avenue-unit-7b-manhattan-ny-10023/1890766391479993049/view?agent_id=610d3f3370540700019b0833","10 West End Avenue, Unit 7B")</f>
        <v>10 West End Avenue, Unit 7B</v>
      </c>
      <c r="C403" s="25" t="s">
        <v>22</v>
      </c>
      <c r="D403" s="26" t="s">
        <v>23</v>
      </c>
      <c r="E403" s="27" t="str">
        <f>HYPERLINK("https://www.compass.com/building/10-west-end-avenue-manhattan-ny/281956005649126181/","10 West End Avenue")</f>
        <v>10 West End Avenue</v>
      </c>
      <c r="F403" s="25" t="s">
        <v>29</v>
      </c>
      <c r="G403" s="28">
        <v>1725000.0</v>
      </c>
      <c r="H403" s="28">
        <v>1486.0</v>
      </c>
      <c r="I403" s="28">
        <v>2259.0</v>
      </c>
      <c r="J403" s="28">
        <v>12936.0</v>
      </c>
      <c r="K403" s="25" t="s">
        <v>28</v>
      </c>
      <c r="L403" s="26">
        <v>4.0</v>
      </c>
      <c r="M403" s="26">
        <v>2.0</v>
      </c>
      <c r="N403" s="30"/>
      <c r="O403" s="30"/>
      <c r="P403" s="34">
        <v>1161.0</v>
      </c>
      <c r="Q403" s="35">
        <v>2358.0</v>
      </c>
      <c r="R403" s="32">
        <v>44734.0</v>
      </c>
      <c r="S403" s="32">
        <v>43411.0</v>
      </c>
      <c r="T403" s="29"/>
      <c r="U403" s="33"/>
      <c r="V403" s="1"/>
    </row>
    <row r="404" ht="24.0" customHeight="1">
      <c r="A404" s="1"/>
      <c r="B404" s="24" t="str">
        <f>HYPERLINK("https://www.compass.com/listing/93-rapelye-street-unit-4e-brooklyn-ny-11231/1826720515222768257/view?agent_id=610d3f3370540700019b0833","93 Rapelye Street, Unit 4E")</f>
        <v>93 Rapelye Street, Unit 4E</v>
      </c>
      <c r="C404" s="25" t="s">
        <v>22</v>
      </c>
      <c r="D404" s="26" t="s">
        <v>23</v>
      </c>
      <c r="E404" s="27" t="str">
        <f>HYPERLINK("https://www.compass.com/building/the-maritime-brooklyn-ny/307452187739070965/","The Maritime")</f>
        <v>The Maritime</v>
      </c>
      <c r="F404" s="25" t="s">
        <v>65</v>
      </c>
      <c r="G404" s="28">
        <v>1090000.0</v>
      </c>
      <c r="H404" s="28">
        <v>1198.0</v>
      </c>
      <c r="I404" s="28">
        <v>1610.0</v>
      </c>
      <c r="J404" s="28">
        <v>13320.0</v>
      </c>
      <c r="K404" s="25" t="s">
        <v>28</v>
      </c>
      <c r="L404" s="26">
        <v>5.0</v>
      </c>
      <c r="M404" s="26">
        <v>2.0</v>
      </c>
      <c r="N404" s="26">
        <v>1.0</v>
      </c>
      <c r="O404" s="30"/>
      <c r="P404" s="26">
        <v>910.0</v>
      </c>
      <c r="Q404" s="35">
        <v>90.0</v>
      </c>
      <c r="R404" s="32">
        <v>45859.0</v>
      </c>
      <c r="S404" s="32">
        <v>45773.0</v>
      </c>
      <c r="T404" s="29"/>
      <c r="U404" s="33"/>
      <c r="V404" s="1"/>
    </row>
    <row r="405" ht="24.0" customHeight="1">
      <c r="A405" s="1"/>
      <c r="B405" s="24" t="str">
        <f>HYPERLINK("https://www.compass.com/listing/280-rector-place-unit-8n-manhattan-ny-10280/1860700665034447793/view?agent_id=610d3f3370540700019b0833","280 Rector Place, Unit 8N")</f>
        <v>280 Rector Place, Unit 8N</v>
      </c>
      <c r="C405" s="25" t="s">
        <v>22</v>
      </c>
      <c r="D405" s="26" t="s">
        <v>23</v>
      </c>
      <c r="E405" s="27" t="str">
        <f>HYPERLINK("https://www.compass.com/building/the-soundings-condominium-manhattan-ny/282054139083518229/","The Soundings Condominium")</f>
        <v>The Soundings Condominium</v>
      </c>
      <c r="F405" s="25" t="s">
        <v>103</v>
      </c>
      <c r="G405" s="28">
        <v>850000.0</v>
      </c>
      <c r="H405" s="28">
        <v>1113.0</v>
      </c>
      <c r="I405" s="28">
        <v>3116.0</v>
      </c>
      <c r="J405" s="28">
        <v>17316.0</v>
      </c>
      <c r="K405" s="25" t="s">
        <v>28</v>
      </c>
      <c r="L405" s="26">
        <v>4.0</v>
      </c>
      <c r="M405" s="26">
        <v>2.0</v>
      </c>
      <c r="N405" s="26">
        <v>1.0</v>
      </c>
      <c r="O405" s="26">
        <v>0.0</v>
      </c>
      <c r="P405" s="26">
        <v>764.0</v>
      </c>
      <c r="Q405" s="35">
        <v>44.0</v>
      </c>
      <c r="R405" s="32">
        <v>45819.0</v>
      </c>
      <c r="S405" s="32">
        <v>45819.0</v>
      </c>
      <c r="T405" s="29"/>
      <c r="U405" s="33"/>
      <c r="V405" s="1"/>
    </row>
    <row r="406" ht="24.0" customHeight="1">
      <c r="A406" s="1"/>
      <c r="B406" s="24" t="str">
        <f>HYPERLINK("https://www.compass.com/listing/34-24-82nd-street-unit-6j-queens-ny-11372/1892195492699729481/view?agent_id=610d3f3370540700019b0833","34-24 82nd Street, Unit 6J")</f>
        <v>34-24 82nd Street, Unit 6J</v>
      </c>
      <c r="C406" s="25" t="s">
        <v>22</v>
      </c>
      <c r="D406" s="26" t="s">
        <v>23</v>
      </c>
      <c r="E406" s="27" t="str">
        <f>HYPERLINK("https://www.compass.com/building/34-24-82nd-st-queens-ny-11372/293532335264045477/","34-24 82nd St")</f>
        <v>34-24 82nd St</v>
      </c>
      <c r="F406" s="25" t="s">
        <v>33</v>
      </c>
      <c r="G406" s="28">
        <v>350000.0</v>
      </c>
      <c r="H406" s="28">
        <v>280.0</v>
      </c>
      <c r="I406" s="28">
        <v>1303.0</v>
      </c>
      <c r="J406" s="29"/>
      <c r="K406" s="25" t="s">
        <v>25</v>
      </c>
      <c r="L406" s="26">
        <v>2.0</v>
      </c>
      <c r="M406" s="26">
        <v>2.0</v>
      </c>
      <c r="N406" s="26">
        <v>1.0</v>
      </c>
      <c r="O406" s="30"/>
      <c r="P406" s="34">
        <v>1250.0</v>
      </c>
      <c r="Q406" s="35">
        <v>1.0</v>
      </c>
      <c r="R406" s="32">
        <v>45863.0</v>
      </c>
      <c r="S406" s="32">
        <v>45862.0</v>
      </c>
      <c r="T406" s="29"/>
      <c r="U406" s="33"/>
      <c r="V406" s="1"/>
    </row>
    <row r="407" ht="24.0" customHeight="1">
      <c r="A407" s="1"/>
      <c r="B407" s="24" t="str">
        <f>HYPERLINK("https://www.compass.com/listing/4016-7th-avenue-unit-5r-brooklyn-ny-11232/1891192576715184993/view?agent_id=610d3f3370540700019b0833","4016 7th Ave, Unit 5R")</f>
        <v>4016 7th Ave, Unit 5R</v>
      </c>
      <c r="C407" s="25" t="s">
        <v>22</v>
      </c>
      <c r="D407" s="26" t="s">
        <v>23</v>
      </c>
      <c r="E407" s="27" t="str">
        <f>HYPERLINK("https://www.compass.com/building/4016-7th-ave-brooklyn-ny-11232/293527824550080405/","4016 7th Ave")</f>
        <v>4016 7th Ave</v>
      </c>
      <c r="F407" s="25" t="s">
        <v>128</v>
      </c>
      <c r="G407" s="28">
        <v>688000.0</v>
      </c>
      <c r="H407" s="28">
        <v>1075.0</v>
      </c>
      <c r="I407" s="28">
        <v>1123.0</v>
      </c>
      <c r="J407" s="28">
        <v>6864.0</v>
      </c>
      <c r="K407" s="25" t="s">
        <v>28</v>
      </c>
      <c r="L407" s="26">
        <v>3.0</v>
      </c>
      <c r="M407" s="26">
        <v>2.0</v>
      </c>
      <c r="N407" s="26">
        <v>1.0</v>
      </c>
      <c r="O407" s="30"/>
      <c r="P407" s="26">
        <v>640.0</v>
      </c>
      <c r="Q407" s="35">
        <v>3.0</v>
      </c>
      <c r="R407" s="32">
        <v>45861.0</v>
      </c>
      <c r="S407" s="32">
        <v>45860.0</v>
      </c>
      <c r="T407" s="29"/>
      <c r="U407" s="33"/>
      <c r="V407" s="1"/>
    </row>
    <row r="408" ht="24.0" customHeight="1">
      <c r="A408" s="1"/>
      <c r="B408" s="24" t="str">
        <f>HYPERLINK("https://www.compass.com/listing/140-warren-street-unit-6c-brooklyn-ny-11201/1861180310341461481/view?agent_id=610d3f3370540700019b0833","140 Warren St, Unit 6C")</f>
        <v>140 Warren St, Unit 6C</v>
      </c>
      <c r="C408" s="25" t="s">
        <v>22</v>
      </c>
      <c r="D408" s="26" t="s">
        <v>23</v>
      </c>
      <c r="E408" s="27" t="str">
        <f>HYPERLINK("https://www.compass.com/building/the-cobble-hill-tower-brooklyn-ny/293416775025011685/","The Cobble Hill Tower ")</f>
        <v>The Cobble Hill Tower </v>
      </c>
      <c r="F408" s="25" t="s">
        <v>131</v>
      </c>
      <c r="G408" s="28">
        <v>959999.0</v>
      </c>
      <c r="H408" s="28">
        <v>1011.0</v>
      </c>
      <c r="I408" s="28">
        <v>1566.0</v>
      </c>
      <c r="J408" s="28">
        <v>9900.0</v>
      </c>
      <c r="K408" s="25" t="s">
        <v>28</v>
      </c>
      <c r="L408" s="26">
        <v>4.0</v>
      </c>
      <c r="M408" s="26">
        <v>2.0</v>
      </c>
      <c r="N408" s="26">
        <v>1.0</v>
      </c>
      <c r="O408" s="26">
        <v>0.0</v>
      </c>
      <c r="P408" s="26">
        <v>950.0</v>
      </c>
      <c r="Q408" s="35">
        <v>44.0</v>
      </c>
      <c r="R408" s="32">
        <v>45863.0</v>
      </c>
      <c r="S408" s="32">
        <v>45819.0</v>
      </c>
      <c r="T408" s="29"/>
      <c r="U408" s="33"/>
      <c r="V408" s="1"/>
    </row>
    <row r="409" ht="24.0" customHeight="1">
      <c r="A409" s="1"/>
      <c r="B409" s="24" t="str">
        <f>HYPERLINK("https://www.compass.com/listing/144-clifton-place-unit-4a-brooklyn-ny-11238/1837083771548006353/view?agent_id=610d3f3370540700019b0833","144 Clifton Pl, Unit 4A")</f>
        <v>144 Clifton Pl, Unit 4A</v>
      </c>
      <c r="C409" s="25" t="s">
        <v>22</v>
      </c>
      <c r="D409" s="26" t="s">
        <v>23</v>
      </c>
      <c r="E409" s="27" t="str">
        <f>HYPERLINK("https://www.compass.com/building/144-clifton-pl-brooklyn-ny-11238/293417219092754053/","144 Clifton Pl")</f>
        <v>144 Clifton Pl</v>
      </c>
      <c r="F409" s="25" t="s">
        <v>51</v>
      </c>
      <c r="G409" s="28">
        <v>1249999.0</v>
      </c>
      <c r="H409" s="28">
        <v>1067.0</v>
      </c>
      <c r="I409" s="28">
        <v>778.0</v>
      </c>
      <c r="J409" s="28">
        <v>672.0</v>
      </c>
      <c r="K409" s="25" t="s">
        <v>28</v>
      </c>
      <c r="L409" s="26">
        <v>5.0</v>
      </c>
      <c r="M409" s="26">
        <v>2.0</v>
      </c>
      <c r="N409" s="26">
        <v>1.0</v>
      </c>
      <c r="O409" s="30"/>
      <c r="P409" s="34">
        <v>1172.0</v>
      </c>
      <c r="Q409" s="35">
        <v>78.0</v>
      </c>
      <c r="R409" s="32">
        <v>45786.0</v>
      </c>
      <c r="S409" s="32">
        <v>45785.0</v>
      </c>
      <c r="T409" s="29"/>
      <c r="U409" s="33"/>
      <c r="V409" s="1"/>
    </row>
    <row r="410" ht="24.0" customHeight="1">
      <c r="A410" s="1"/>
      <c r="B410" s="24" t="str">
        <f>HYPERLINK("https://www.compass.com/listing/659-baltic-street-unit-3-brooklyn-ny-11217/1813867840604861961/view?agent_id=610d3f3370540700019b0833","659 Baltic St, Unit 3")</f>
        <v>659 Baltic St, Unit 3</v>
      </c>
      <c r="C410" s="25" t="s">
        <v>22</v>
      </c>
      <c r="D410" s="26" t="s">
        <v>23</v>
      </c>
      <c r="E410" s="27" t="str">
        <f>HYPERLINK("https://www.compass.com/building/659-baltic-st-brooklyn-ny-11217/282495248901412149/","659 Baltic St")</f>
        <v>659 Baltic St</v>
      </c>
      <c r="F410" s="25" t="s">
        <v>40</v>
      </c>
      <c r="G410" s="28">
        <v>1250000.0</v>
      </c>
      <c r="H410" s="29"/>
      <c r="I410" s="28">
        <v>1824.0</v>
      </c>
      <c r="J410" s="28">
        <v>12948.0</v>
      </c>
      <c r="K410" s="25" t="s">
        <v>28</v>
      </c>
      <c r="L410" s="26">
        <v>4.0</v>
      </c>
      <c r="M410" s="26">
        <v>2.0</v>
      </c>
      <c r="N410" s="26">
        <v>1.0</v>
      </c>
      <c r="O410" s="26">
        <v>0.0</v>
      </c>
      <c r="P410" s="30"/>
      <c r="Q410" s="35">
        <v>507.0</v>
      </c>
      <c r="R410" s="32">
        <v>45861.0</v>
      </c>
      <c r="S410" s="32">
        <v>45356.0</v>
      </c>
      <c r="T410" s="29"/>
      <c r="U410" s="33"/>
      <c r="V410" s="1"/>
    </row>
    <row r="411" ht="24.0" customHeight="1">
      <c r="A411" s="1"/>
      <c r="B411" s="24" t="str">
        <f>HYPERLINK("https://www.compass.com/listing/303-beverley-road-unit-11a-brooklyn-ny-11218/1885736889129359617/view?agent_id=610d3f3370540700019b0833","303 Beverley Rd, Unit 11A")</f>
        <v>303 Beverley Rd, Unit 11A</v>
      </c>
      <c r="C411" s="25" t="s">
        <v>22</v>
      </c>
      <c r="D411" s="26" t="s">
        <v>23</v>
      </c>
      <c r="E411" s="27" t="str">
        <f>HYPERLINK("https://www.compass.com/building/303-beverley-rd-brooklyn-ny-11218/293416644405996405/","303 Beverley Rd")</f>
        <v>303 Beverley Rd</v>
      </c>
      <c r="F411" s="25" t="s">
        <v>117</v>
      </c>
      <c r="G411" s="28">
        <v>895000.0</v>
      </c>
      <c r="H411" s="28">
        <v>559.0</v>
      </c>
      <c r="I411" s="28">
        <v>1571.0</v>
      </c>
      <c r="J411" s="28">
        <v>0.0</v>
      </c>
      <c r="K411" s="25" t="s">
        <v>25</v>
      </c>
      <c r="L411" s="26">
        <v>4.0</v>
      </c>
      <c r="M411" s="26">
        <v>2.0</v>
      </c>
      <c r="N411" s="26">
        <v>1.0</v>
      </c>
      <c r="O411" s="26">
        <v>0.0</v>
      </c>
      <c r="P411" s="34">
        <v>1600.0</v>
      </c>
      <c r="Q411" s="35">
        <v>10.0</v>
      </c>
      <c r="R411" s="32">
        <v>45862.0</v>
      </c>
      <c r="S411" s="32">
        <v>45853.0</v>
      </c>
      <c r="T411" s="29"/>
      <c r="U411" s="33"/>
      <c r="V411" s="1"/>
    </row>
    <row r="412" ht="24.0" customHeight="1">
      <c r="A412" s="1"/>
      <c r="B412" s="24" t="str">
        <f>HYPERLINK("https://www.compass.com/listing/505-east-79th-street-unit-2c-manhattan-ny-10075/1784346932684894497/view?agent_id=610d3f3370540700019b0833","505 E 79th St, Unit 2C")</f>
        <v>505 E 79th St, Unit 2C</v>
      </c>
      <c r="C412" s="25" t="s">
        <v>22</v>
      </c>
      <c r="D412" s="26" t="s">
        <v>23</v>
      </c>
      <c r="E412" s="27" t="str">
        <f>HYPERLINK("https://www.compass.com/building/east-river-house-manhattan-ny/282044857197813989/","East River House")</f>
        <v>East River House</v>
      </c>
      <c r="F412" s="25" t="s">
        <v>44</v>
      </c>
      <c r="G412" s="28">
        <v>985000.0</v>
      </c>
      <c r="H412" s="28">
        <v>895.0</v>
      </c>
      <c r="I412" s="28">
        <v>2409.0</v>
      </c>
      <c r="J412" s="28">
        <v>0.0</v>
      </c>
      <c r="K412" s="25" t="s">
        <v>25</v>
      </c>
      <c r="L412" s="26">
        <v>4.0</v>
      </c>
      <c r="M412" s="26">
        <v>2.0</v>
      </c>
      <c r="N412" s="26">
        <v>1.0</v>
      </c>
      <c r="O412" s="30"/>
      <c r="P412" s="34">
        <v>1100.0</v>
      </c>
      <c r="Q412" s="35">
        <v>149.0</v>
      </c>
      <c r="R412" s="32">
        <v>45713.0</v>
      </c>
      <c r="S412" s="32">
        <v>45713.0</v>
      </c>
      <c r="T412" s="29"/>
      <c r="U412" s="33"/>
      <c r="V412" s="1"/>
    </row>
    <row r="413" ht="24.0" customHeight="1">
      <c r="A413" s="1"/>
      <c r="B413" s="24" t="str">
        <f>HYPERLINK("https://www.compass.com/listing/383-grand-street-unit-m705-manhattan-ny-10002/1887734733298431569/view?agent_id=610d3f3370540700019b0833","383 Grand St, Unit M705")</f>
        <v>383 Grand St, Unit M705</v>
      </c>
      <c r="C413" s="25" t="s">
        <v>22</v>
      </c>
      <c r="D413" s="26" t="s">
        <v>23</v>
      </c>
      <c r="E413" s="27" t="str">
        <f>HYPERLINK("https://www.compass.com/building/seward-park-manhattan-ny/282061093885477909/","Seward Park")</f>
        <v>Seward Park</v>
      </c>
      <c r="F413" s="25" t="s">
        <v>119</v>
      </c>
      <c r="G413" s="28">
        <v>975000.0</v>
      </c>
      <c r="H413" s="28">
        <v>890.0</v>
      </c>
      <c r="I413" s="28">
        <v>1411.0</v>
      </c>
      <c r="J413" s="28">
        <v>0.0</v>
      </c>
      <c r="K413" s="25" t="s">
        <v>25</v>
      </c>
      <c r="L413" s="26">
        <v>4.0</v>
      </c>
      <c r="M413" s="26">
        <v>2.0</v>
      </c>
      <c r="N413" s="26">
        <v>1.0</v>
      </c>
      <c r="O413" s="26">
        <v>0.0</v>
      </c>
      <c r="P413" s="34">
        <v>1095.0</v>
      </c>
      <c r="Q413" s="35">
        <v>7.0</v>
      </c>
      <c r="R413" s="32">
        <v>45863.0</v>
      </c>
      <c r="S413" s="32">
        <v>45856.0</v>
      </c>
      <c r="T413" s="29"/>
      <c r="U413" s="33"/>
      <c r="V413" s="1"/>
    </row>
    <row r="414" ht="24.0" customHeight="1">
      <c r="A414" s="1"/>
      <c r="B414" s="24" t="str">
        <f>HYPERLINK("https://www.compass.com/listing/4265-webster-avenue-unit-7d-bronx-ny-10470/1887893511184579393/view?agent_id=610d3f3370540700019b0833","4265 Webster Ave, Unit 7D")</f>
        <v>4265 Webster Ave, Unit 7D</v>
      </c>
      <c r="C414" s="25" t="s">
        <v>22</v>
      </c>
      <c r="D414" s="26" t="s">
        <v>23</v>
      </c>
      <c r="E414" s="27" t="str">
        <f>HYPERLINK("https://www.compass.com/building/4265-webster-ave-bronx-ny-10470/293418366427850357/","4265 Webster Ave")</f>
        <v>4265 Webster Ave</v>
      </c>
      <c r="F414" s="25" t="s">
        <v>124</v>
      </c>
      <c r="G414" s="28">
        <v>220000.0</v>
      </c>
      <c r="H414" s="28">
        <v>220.0</v>
      </c>
      <c r="I414" s="28">
        <v>986.0</v>
      </c>
      <c r="J414" s="29"/>
      <c r="K414" s="25" t="s">
        <v>25</v>
      </c>
      <c r="L414" s="26">
        <v>4.0</v>
      </c>
      <c r="M414" s="26">
        <v>2.0</v>
      </c>
      <c r="N414" s="26">
        <v>1.0</v>
      </c>
      <c r="O414" s="30"/>
      <c r="P414" s="34">
        <v>1000.0</v>
      </c>
      <c r="Q414" s="35">
        <v>7.0</v>
      </c>
      <c r="R414" s="32">
        <v>45860.0</v>
      </c>
      <c r="S414" s="32">
        <v>45856.0</v>
      </c>
      <c r="T414" s="29"/>
      <c r="U414" s="33"/>
      <c r="V414" s="1"/>
    </row>
    <row r="415" ht="24.0" customHeight="1">
      <c r="A415" s="1"/>
      <c r="B415" s="24" t="str">
        <f>HYPERLINK("https://www.compass.com/listing/177-east-77th-street-unit-3b-manhattan-ny-10075/1506555074409274577/view?agent_id=610d3f3370540700019b0833","177 E 77th St, Unit 3B")</f>
        <v>177 E 77th St, Unit 3B</v>
      </c>
      <c r="C415" s="25" t="s">
        <v>22</v>
      </c>
      <c r="D415" s="26" t="s">
        <v>23</v>
      </c>
      <c r="E415" s="27" t="str">
        <f>HYPERLINK("https://www.compass.com/building/177-e-77th-st-manhattan-ny-10075/282043013406940197/","177 E 77th St")</f>
        <v>177 E 77th St</v>
      </c>
      <c r="F415" s="25" t="s">
        <v>44</v>
      </c>
      <c r="G415" s="28">
        <v>1350000.0</v>
      </c>
      <c r="H415" s="28">
        <v>1277.0</v>
      </c>
      <c r="I415" s="28">
        <v>2813.0</v>
      </c>
      <c r="J415" s="28">
        <v>12672.0</v>
      </c>
      <c r="K415" s="25" t="s">
        <v>28</v>
      </c>
      <c r="L415" s="26">
        <v>5.0</v>
      </c>
      <c r="M415" s="26">
        <v>2.0</v>
      </c>
      <c r="N415" s="26">
        <v>1.0</v>
      </c>
      <c r="O415" s="26">
        <v>0.0</v>
      </c>
      <c r="P415" s="34">
        <v>1057.0</v>
      </c>
      <c r="Q415" s="35">
        <v>528.0</v>
      </c>
      <c r="R415" s="32">
        <v>45860.0</v>
      </c>
      <c r="S415" s="32">
        <v>45330.0</v>
      </c>
      <c r="T415" s="29"/>
      <c r="U415" s="33"/>
      <c r="V415" s="1"/>
    </row>
    <row r="416" ht="24.0" customHeight="1">
      <c r="A416" s="1"/>
      <c r="B416" s="24" t="str">
        <f>HYPERLINK("https://www.compass.com/listing/529-east-84th-street-unit-2b-manhattan-ny-10028/1070293070553745577/view?agent_id=610d3f3370540700019b0833","529 E 84th St, Unit 2B")</f>
        <v>529 E 84th St, Unit 2B</v>
      </c>
      <c r="C416" s="25" t="s">
        <v>22</v>
      </c>
      <c r="D416" s="26" t="s">
        <v>23</v>
      </c>
      <c r="E416" s="27" t="str">
        <f>HYPERLINK("https://www.compass.com/building/529-e-84th-st-manhattan-ny-10028/282062491528236981/","529 E 84th St")</f>
        <v>529 E 84th St</v>
      </c>
      <c r="F416" s="25" t="s">
        <v>44</v>
      </c>
      <c r="G416" s="28">
        <v>739000.0</v>
      </c>
      <c r="H416" s="29"/>
      <c r="I416" s="28">
        <v>1680.0</v>
      </c>
      <c r="J416" s="29"/>
      <c r="K416" s="25" t="s">
        <v>25</v>
      </c>
      <c r="L416" s="26">
        <v>4.0</v>
      </c>
      <c r="M416" s="26">
        <v>2.0</v>
      </c>
      <c r="N416" s="30"/>
      <c r="O416" s="30"/>
      <c r="P416" s="30"/>
      <c r="Q416" s="35">
        <v>898.0</v>
      </c>
      <c r="R416" s="32">
        <v>45861.0</v>
      </c>
      <c r="S416" s="32">
        <v>44965.0</v>
      </c>
      <c r="T416" s="29"/>
      <c r="U416" s="33"/>
      <c r="V416" s="1"/>
    </row>
    <row r="417" ht="24.0" customHeight="1">
      <c r="A417" s="1"/>
      <c r="B417" s="24" t="str">
        <f>HYPERLINK("https://www.compass.com/listing/325-east-80th-street-unit-4h-manhattan-ny-10075/1667206660259350409/view?agent_id=610d3f3370540700019b0833","325 E 80th St, Unit 4H")</f>
        <v>325 E 80th St, Unit 4H</v>
      </c>
      <c r="C417" s="25" t="s">
        <v>22</v>
      </c>
      <c r="D417" s="26" t="s">
        <v>23</v>
      </c>
      <c r="E417" s="27" t="str">
        <f>HYPERLINK("https://www.compass.com/building/325-e-80th-st-manhattan-ny-10075/282044042806582997/","325 E 80th St")</f>
        <v>325 E 80th St</v>
      </c>
      <c r="F417" s="25" t="s">
        <v>44</v>
      </c>
      <c r="G417" s="28">
        <v>1089000.0</v>
      </c>
      <c r="H417" s="29"/>
      <c r="I417" s="28">
        <v>1788.0</v>
      </c>
      <c r="J417" s="28">
        <v>0.0</v>
      </c>
      <c r="K417" s="25" t="s">
        <v>132</v>
      </c>
      <c r="L417" s="26">
        <v>4.0</v>
      </c>
      <c r="M417" s="26">
        <v>2.0</v>
      </c>
      <c r="N417" s="26">
        <v>1.0</v>
      </c>
      <c r="O417" s="26">
        <v>0.0</v>
      </c>
      <c r="P417" s="30"/>
      <c r="Q417" s="35">
        <v>311.0</v>
      </c>
      <c r="R417" s="32">
        <v>45863.0</v>
      </c>
      <c r="S417" s="32">
        <v>45552.0</v>
      </c>
      <c r="T417" s="29"/>
      <c r="U417" s="33"/>
      <c r="V417" s="1"/>
    </row>
    <row r="418" ht="24.0" customHeight="1">
      <c r="A418" s="1"/>
      <c r="B418" s="24" t="str">
        <f>HYPERLINK("https://www.compass.com/listing/15-broad-street-unit-1704-manhattan-ny-10005/1882080881550117433/view?agent_id=610d3f3370540700019b0833","15 Broad St, Unit 1704")</f>
        <v>15 Broad St, Unit 1704</v>
      </c>
      <c r="C418" s="25" t="s">
        <v>22</v>
      </c>
      <c r="D418" s="26" t="s">
        <v>23</v>
      </c>
      <c r="E418" s="27" t="str">
        <f>HYPERLINK("https://www.compass.com/building/downtown-by-philippe-starck-manhattan-ny/281895799065944725/","Downtown by Philippe Starck")</f>
        <v>Downtown by Philippe Starck</v>
      </c>
      <c r="F418" s="25" t="s">
        <v>80</v>
      </c>
      <c r="G418" s="28">
        <v>1295000.0</v>
      </c>
      <c r="H418" s="28">
        <v>1103.0</v>
      </c>
      <c r="I418" s="28">
        <v>2756.0</v>
      </c>
      <c r="J418" s="28">
        <v>16944.0</v>
      </c>
      <c r="K418" s="25" t="s">
        <v>28</v>
      </c>
      <c r="L418" s="26">
        <v>4.0</v>
      </c>
      <c r="M418" s="26">
        <v>2.0</v>
      </c>
      <c r="N418" s="26">
        <v>1.0</v>
      </c>
      <c r="O418" s="26">
        <v>0.0</v>
      </c>
      <c r="P418" s="34">
        <v>1174.0</v>
      </c>
      <c r="Q418" s="35">
        <v>15.0</v>
      </c>
      <c r="R418" s="32">
        <v>45862.0</v>
      </c>
      <c r="S418" s="32">
        <v>45848.0</v>
      </c>
      <c r="T418" s="29"/>
      <c r="U418" s="33"/>
      <c r="V418" s="1"/>
    </row>
    <row r="419" ht="24.0" customHeight="1">
      <c r="A419" s="1"/>
      <c r="B419" s="24" t="str">
        <f>HYPERLINK("https://www.compass.com/listing/360-east-72nd-street-unit-b804-manhattan-ny-10021/1705212300274081969/view?agent_id=610d3f3370540700019b0833","360 E 72nd St, Unit B804")</f>
        <v>360 E 72nd St, Unit B804</v>
      </c>
      <c r="C419" s="25" t="s">
        <v>22</v>
      </c>
      <c r="D419" s="26" t="s">
        <v>23</v>
      </c>
      <c r="E419" s="27" t="str">
        <f>HYPERLINK("https://www.compass.com/building/360-e-72nd-st-manhattan-ny-10021/292850318012649317/","360 E 72nd St")</f>
        <v>360 E 72nd St</v>
      </c>
      <c r="F419" s="25" t="s">
        <v>64</v>
      </c>
      <c r="G419" s="28">
        <v>899000.0</v>
      </c>
      <c r="H419" s="29"/>
      <c r="I419" s="28">
        <v>1520.0</v>
      </c>
      <c r="J419" s="28">
        <v>0.0</v>
      </c>
      <c r="K419" s="25" t="s">
        <v>25</v>
      </c>
      <c r="L419" s="26">
        <v>4.0</v>
      </c>
      <c r="M419" s="26">
        <v>2.0</v>
      </c>
      <c r="N419" s="26">
        <v>1.0</v>
      </c>
      <c r="O419" s="26">
        <v>0.0</v>
      </c>
      <c r="P419" s="30"/>
      <c r="Q419" s="35">
        <v>186.0</v>
      </c>
      <c r="R419" s="32">
        <v>45861.0</v>
      </c>
      <c r="S419" s="32">
        <v>45604.0</v>
      </c>
      <c r="T419" s="29"/>
      <c r="U419" s="33"/>
      <c r="V419" s="1"/>
    </row>
    <row r="420" ht="24.0" customHeight="1">
      <c r="A420" s="1"/>
      <c r="B420" s="24" t="str">
        <f>HYPERLINK("https://www.compass.com/listing/133-131-west-28th-street-unit-6a-manhattan-ny-10001/1861839357923299617/view?agent_id=610d3f3370540700019b0833","133-131 W 28th St, Unit 6A")</f>
        <v>133-131 W 28th St, Unit 6A</v>
      </c>
      <c r="C420" s="25" t="s">
        <v>22</v>
      </c>
      <c r="D420" s="26" t="s">
        <v>23</v>
      </c>
      <c r="E420" s="27" t="str">
        <f>HYPERLINK("https://www.compass.com/building/133-131-w-28th-st-manhattan-ny-10001/436383360785736877/","133-131 W 28th St")</f>
        <v>133-131 W 28th St</v>
      </c>
      <c r="F420" s="25" t="s">
        <v>27</v>
      </c>
      <c r="G420" s="28">
        <v>1375000.0</v>
      </c>
      <c r="H420" s="29"/>
      <c r="I420" s="28">
        <v>2085.0</v>
      </c>
      <c r="J420" s="28">
        <v>0.0</v>
      </c>
      <c r="K420" s="25" t="s">
        <v>25</v>
      </c>
      <c r="L420" s="26">
        <v>5.0</v>
      </c>
      <c r="M420" s="26">
        <v>2.0</v>
      </c>
      <c r="N420" s="30"/>
      <c r="O420" s="30"/>
      <c r="P420" s="30"/>
      <c r="Q420" s="35">
        <v>1493.0</v>
      </c>
      <c r="R420" s="32">
        <v>44387.0</v>
      </c>
      <c r="S420" s="32">
        <v>44370.0</v>
      </c>
      <c r="T420" s="29"/>
      <c r="U420" s="33"/>
      <c r="V420" s="1"/>
    </row>
    <row r="421" ht="24.0" customHeight="1">
      <c r="A421" s="1"/>
      <c r="B421" s="24" t="str">
        <f>HYPERLINK("https://www.compass.com/listing/243-mcdonald-avenue-unit-4b-brooklyn-ny-11218/1856369280140467129/view?agent_id=610d3f3370540700019b0833","243 McDonald Ave, Unit 4B")</f>
        <v>243 McDonald Ave, Unit 4B</v>
      </c>
      <c r="C421" s="25" t="s">
        <v>22</v>
      </c>
      <c r="D421" s="26" t="s">
        <v>23</v>
      </c>
      <c r="E421" s="27" t="str">
        <f>HYPERLINK("https://www.compass.com/building/243-mcdonald-ave-brooklyn-ny-11218/293416561484606197/","243 Mcdonald Ave")</f>
        <v>243 Mcdonald Ave</v>
      </c>
      <c r="F421" s="25" t="s">
        <v>106</v>
      </c>
      <c r="G421" s="28">
        <v>695000.0</v>
      </c>
      <c r="H421" s="28">
        <v>695.0</v>
      </c>
      <c r="I421" s="28">
        <v>1126.0</v>
      </c>
      <c r="J421" s="29"/>
      <c r="K421" s="25" t="s">
        <v>25</v>
      </c>
      <c r="L421" s="26">
        <v>4.0</v>
      </c>
      <c r="M421" s="26">
        <v>2.0</v>
      </c>
      <c r="N421" s="26">
        <v>1.0</v>
      </c>
      <c r="O421" s="30"/>
      <c r="P421" s="34">
        <v>1000.0</v>
      </c>
      <c r="Q421" s="35">
        <v>49.0</v>
      </c>
      <c r="R421" s="32">
        <v>45858.0</v>
      </c>
      <c r="S421" s="32">
        <v>45814.0</v>
      </c>
      <c r="T421" s="29"/>
      <c r="U421" s="33"/>
      <c r="V421" s="1"/>
    </row>
    <row r="422" ht="24.0" customHeight="1">
      <c r="A422" s="1"/>
      <c r="B422" s="24" t="str">
        <f>HYPERLINK("https://www.compass.com/listing/1608-amsterdam-avenue-unit-4b-manhattan-ny-10031/1851692132666834889/view?agent_id=610d3f3370540700019b0833","1608 Amsterdam Ave, Unit 4B")</f>
        <v>1608 Amsterdam Ave, Unit 4B</v>
      </c>
      <c r="C422" s="25" t="s">
        <v>22</v>
      </c>
      <c r="D422" s="26" t="s">
        <v>23</v>
      </c>
      <c r="E422" s="27" t="str">
        <f>HYPERLINK("https://www.compass.com/building/1608-amsterdam-ave-manhattan-ny-10031/281995988497977829/","1608 Amsterdam Ave")</f>
        <v>1608 Amsterdam Ave</v>
      </c>
      <c r="F422" s="25" t="s">
        <v>71</v>
      </c>
      <c r="G422" s="28">
        <v>415000.0</v>
      </c>
      <c r="H422" s="28">
        <v>634.0</v>
      </c>
      <c r="I422" s="28">
        <v>552.0</v>
      </c>
      <c r="J422" s="29"/>
      <c r="K422" s="25" t="s">
        <v>25</v>
      </c>
      <c r="L422" s="26">
        <v>5.0</v>
      </c>
      <c r="M422" s="26">
        <v>2.0</v>
      </c>
      <c r="N422" s="26">
        <v>1.0</v>
      </c>
      <c r="O422" s="30"/>
      <c r="P422" s="26">
        <v>655.0</v>
      </c>
      <c r="Q422" s="35">
        <v>57.0</v>
      </c>
      <c r="R422" s="32">
        <v>45829.0</v>
      </c>
      <c r="S422" s="32">
        <v>45806.0</v>
      </c>
      <c r="T422" s="29"/>
      <c r="U422" s="33"/>
      <c r="V422" s="1"/>
    </row>
    <row r="423" ht="24.0" customHeight="1">
      <c r="A423" s="1"/>
      <c r="B423" s="24" t="str">
        <f>HYPERLINK("https://www.compass.com/listing/960-park-avenue-unit-4b-manhattan-ny-10028/1768956413398142369/view?agent_id=610d3f3370540700019b0833","960 Park Ave, Unit 4B")</f>
        <v>960 Park Ave, Unit 4B</v>
      </c>
      <c r="C423" s="25" t="s">
        <v>22</v>
      </c>
      <c r="D423" s="26" t="s">
        <v>23</v>
      </c>
      <c r="E423" s="27" t="str">
        <f>HYPERLINK("https://www.compass.com/building/960-park-ave-manhattan-ny-10028/281987927733544437/","960 Park Ave")</f>
        <v>960 Park Ave</v>
      </c>
      <c r="F423" s="25" t="s">
        <v>44</v>
      </c>
      <c r="G423" s="28">
        <v>995000.0</v>
      </c>
      <c r="H423" s="28">
        <v>905.0</v>
      </c>
      <c r="I423" s="28">
        <v>3803.0</v>
      </c>
      <c r="J423" s="28">
        <v>0.0</v>
      </c>
      <c r="K423" s="25" t="s">
        <v>25</v>
      </c>
      <c r="L423" s="26">
        <v>4.0</v>
      </c>
      <c r="M423" s="26">
        <v>2.0</v>
      </c>
      <c r="N423" s="26">
        <v>1.0</v>
      </c>
      <c r="O423" s="26">
        <v>0.0</v>
      </c>
      <c r="P423" s="34">
        <v>1100.0</v>
      </c>
      <c r="Q423" s="35">
        <v>110.0</v>
      </c>
      <c r="R423" s="32">
        <v>45862.0</v>
      </c>
      <c r="S423" s="32">
        <v>45692.0</v>
      </c>
      <c r="T423" s="29"/>
      <c r="U423" s="33"/>
      <c r="V423" s="1"/>
    </row>
    <row r="424" ht="24.0" customHeight="1">
      <c r="A424" s="1"/>
      <c r="B424" s="24" t="str">
        <f>HYPERLINK("https://www.compass.com/listing/301-east-63rd-street-unit-9f-manhattan-ny-10065/1837338325451969553/view?agent_id=610d3f3370540700019b0833","301 E 63rd St, Unit 9F")</f>
        <v>301 E 63rd St, Unit 9F</v>
      </c>
      <c r="C424" s="25" t="s">
        <v>22</v>
      </c>
      <c r="D424" s="26" t="s">
        <v>23</v>
      </c>
      <c r="E424" s="27" t="str">
        <f>HYPERLINK("https://www.compass.com/building/301-e-63rd-st-manhattan-ny-10065/292923780416692165/","301 E 63rd St")</f>
        <v>301 E 63rd St</v>
      </c>
      <c r="F424" s="25" t="s">
        <v>64</v>
      </c>
      <c r="G424" s="28">
        <v>499000.0</v>
      </c>
      <c r="H424" s="29"/>
      <c r="I424" s="28">
        <v>4189.0</v>
      </c>
      <c r="J424" s="28">
        <v>0.0</v>
      </c>
      <c r="K424" s="25" t="s">
        <v>25</v>
      </c>
      <c r="L424" s="26">
        <v>4.0</v>
      </c>
      <c r="M424" s="26">
        <v>2.0</v>
      </c>
      <c r="N424" s="26">
        <v>1.0</v>
      </c>
      <c r="O424" s="26">
        <v>0.0</v>
      </c>
      <c r="P424" s="30"/>
      <c r="Q424" s="35">
        <v>77.0</v>
      </c>
      <c r="R424" s="32">
        <v>45812.0</v>
      </c>
      <c r="S424" s="32">
        <v>45786.0</v>
      </c>
      <c r="T424" s="29"/>
      <c r="U424" s="33"/>
      <c r="V424" s="1"/>
    </row>
    <row r="425" ht="24.0" customHeight="1">
      <c r="A425" s="1"/>
      <c r="B425" s="24" t="str">
        <f>HYPERLINK("https://www.compass.com/listing/261-west-25th-street-unit-1c-manhattan-ny-10001/1787247635149742681/view?agent_id=610d3f3370540700019b0833","261 W 25th St, Unit 1C")</f>
        <v>261 W 25th St, Unit 1C</v>
      </c>
      <c r="C425" s="25" t="s">
        <v>22</v>
      </c>
      <c r="D425" s="26" t="s">
        <v>23</v>
      </c>
      <c r="E425" s="27" t="str">
        <f>HYPERLINK("https://www.compass.com/building/the-seymour-manhattan-ny/281883155990840165/","The Seymour")</f>
        <v>The Seymour</v>
      </c>
      <c r="F425" s="25" t="s">
        <v>27</v>
      </c>
      <c r="G425" s="28">
        <v>1350000.0</v>
      </c>
      <c r="H425" s="28">
        <v>1724.0</v>
      </c>
      <c r="I425" s="28">
        <v>2695.0</v>
      </c>
      <c r="J425" s="28">
        <v>18636.0</v>
      </c>
      <c r="K425" s="25" t="s">
        <v>28</v>
      </c>
      <c r="L425" s="26">
        <v>5.0</v>
      </c>
      <c r="M425" s="26">
        <v>2.0</v>
      </c>
      <c r="N425" s="26">
        <v>1.0</v>
      </c>
      <c r="O425" s="26">
        <v>0.0</v>
      </c>
      <c r="P425" s="26">
        <v>783.0</v>
      </c>
      <c r="Q425" s="35">
        <v>382.0</v>
      </c>
      <c r="R425" s="32">
        <v>45863.0</v>
      </c>
      <c r="S425" s="32">
        <v>45481.0</v>
      </c>
      <c r="T425" s="29"/>
      <c r="U425" s="33"/>
      <c r="V425" s="1"/>
    </row>
    <row r="426" ht="24.0" customHeight="1">
      <c r="A426" s="1"/>
      <c r="B426" s="24" t="str">
        <f>HYPERLINK("https://www.compass.com/listing/651-vanderbilt-street-unit-6w-brooklyn-ny-11218/1851712501305465753/view?agent_id=610d3f3370540700019b0833","651 Vanderbilt St, Unit 6W")</f>
        <v>651 Vanderbilt St, Unit 6W</v>
      </c>
      <c r="C426" s="25" t="s">
        <v>22</v>
      </c>
      <c r="D426" s="26" t="s">
        <v>23</v>
      </c>
      <c r="E426" s="27" t="str">
        <f>HYPERLINK("https://www.compass.com/building/park-vanderbilt-brooklyn-ny/293528935914888133/","Park Vanderbilt")</f>
        <v>Park Vanderbilt</v>
      </c>
      <c r="F426" s="25" t="s">
        <v>106</v>
      </c>
      <c r="G426" s="28">
        <v>925000.0</v>
      </c>
      <c r="H426" s="29"/>
      <c r="I426" s="28">
        <v>1006.0</v>
      </c>
      <c r="J426" s="28">
        <v>0.0</v>
      </c>
      <c r="K426" s="25" t="s">
        <v>25</v>
      </c>
      <c r="L426" s="26">
        <v>4.0</v>
      </c>
      <c r="M426" s="26">
        <v>2.0</v>
      </c>
      <c r="N426" s="26">
        <v>1.0</v>
      </c>
      <c r="O426" s="26">
        <v>0.0</v>
      </c>
      <c r="P426" s="30"/>
      <c r="Q426" s="35">
        <v>57.0</v>
      </c>
      <c r="R426" s="32">
        <v>45862.0</v>
      </c>
      <c r="S426" s="32">
        <v>45806.0</v>
      </c>
      <c r="T426" s="29"/>
      <c r="U426" s="33"/>
      <c r="V426" s="1"/>
    </row>
    <row r="427" ht="24.0" customHeight="1">
      <c r="A427" s="1"/>
      <c r="B427" s="24" t="str">
        <f>HYPERLINK("https://www.compass.com/listing/72-richardson-street-unit-4-brooklyn-ny-11211/1834322249296083857/view?agent_id=610d3f3370540700019b0833","72 Richardson St, Unit 4")</f>
        <v>72 Richardson St, Unit 4</v>
      </c>
      <c r="C427" s="25" t="s">
        <v>22</v>
      </c>
      <c r="D427" s="26" t="s">
        <v>23</v>
      </c>
      <c r="E427" s="27" t="str">
        <f>HYPERLINK("https://www.compass.com/building/72-richardson-st-brooklyn-ny-11211/282396195983263509/","72 Richardson St")</f>
        <v>72 Richardson St</v>
      </c>
      <c r="F427" s="25" t="s">
        <v>46</v>
      </c>
      <c r="G427" s="28">
        <v>479000.0</v>
      </c>
      <c r="H427" s="28">
        <v>532.0</v>
      </c>
      <c r="I427" s="28">
        <v>922.0</v>
      </c>
      <c r="J427" s="29"/>
      <c r="K427" s="25" t="s">
        <v>25</v>
      </c>
      <c r="L427" s="26">
        <v>4.0</v>
      </c>
      <c r="M427" s="26">
        <v>2.0</v>
      </c>
      <c r="N427" s="26">
        <v>1.0</v>
      </c>
      <c r="O427" s="30"/>
      <c r="P427" s="26">
        <v>900.0</v>
      </c>
      <c r="Q427" s="35">
        <v>81.0</v>
      </c>
      <c r="R427" s="32">
        <v>45862.0</v>
      </c>
      <c r="S427" s="32">
        <v>45782.0</v>
      </c>
      <c r="T427" s="29"/>
      <c r="U427" s="33"/>
      <c r="V427" s="1"/>
    </row>
    <row r="428" ht="24.0" customHeight="1">
      <c r="A428" s="1"/>
      <c r="B428" s="24" t="str">
        <f>HYPERLINK("https://www.compass.com/listing/64-east-86th-street-unit-11a-manhattan-ny-10028/1794293216835999009/view?agent_id=610d3f3370540700019b0833","64 E 86th St, Unit 11A")</f>
        <v>64 E 86th St, Unit 11A</v>
      </c>
      <c r="C428" s="25" t="s">
        <v>22</v>
      </c>
      <c r="D428" s="26" t="s">
        <v>23</v>
      </c>
      <c r="E428" s="27" t="str">
        <f>HYPERLINK("https://www.compass.com/building/64-e-86th-st-manhattan-ny-10028/281987790202316581/","64 E 86th St")</f>
        <v>64 E 86th St</v>
      </c>
      <c r="F428" s="25" t="s">
        <v>44</v>
      </c>
      <c r="G428" s="28">
        <v>975000.0</v>
      </c>
      <c r="H428" s="29"/>
      <c r="I428" s="28">
        <v>2757.0</v>
      </c>
      <c r="J428" s="28">
        <v>0.0</v>
      </c>
      <c r="K428" s="25" t="s">
        <v>25</v>
      </c>
      <c r="L428" s="26">
        <v>5.0</v>
      </c>
      <c r="M428" s="26">
        <v>2.0</v>
      </c>
      <c r="N428" s="26">
        <v>1.0</v>
      </c>
      <c r="O428" s="26">
        <v>0.0</v>
      </c>
      <c r="P428" s="30"/>
      <c r="Q428" s="35">
        <v>136.0</v>
      </c>
      <c r="R428" s="32">
        <v>45860.0</v>
      </c>
      <c r="S428" s="32">
        <v>45727.0</v>
      </c>
      <c r="T428" s="29"/>
      <c r="U428" s="33"/>
      <c r="V428" s="1"/>
    </row>
    <row r="429" ht="24.0" customHeight="1">
      <c r="A429" s="1"/>
      <c r="B429" s="24" t="str">
        <f>HYPERLINK("https://www.compass.com/listing/342-east-110th-street-unit-phe-manhattan-ny-10029/1873638208495847593/view?agent_id=610d3f3370540700019b0833","342 E 110th St, Unit PHE")</f>
        <v>342 E 110th St, Unit PHE</v>
      </c>
      <c r="C429" s="25" t="s">
        <v>22</v>
      </c>
      <c r="D429" s="26" t="s">
        <v>23</v>
      </c>
      <c r="E429" s="27" t="str">
        <f>HYPERLINK("https://www.compass.com/building/the-conrad-manhattan-ny/281991777945238421/","The Conrad")</f>
        <v>The Conrad</v>
      </c>
      <c r="F429" s="25" t="s">
        <v>133</v>
      </c>
      <c r="G429" s="28">
        <v>725000.0</v>
      </c>
      <c r="H429" s="28">
        <v>898.0</v>
      </c>
      <c r="I429" s="28">
        <v>2625.0</v>
      </c>
      <c r="J429" s="28">
        <v>12360.0</v>
      </c>
      <c r="K429" s="25" t="s">
        <v>28</v>
      </c>
      <c r="L429" s="26">
        <v>4.0</v>
      </c>
      <c r="M429" s="26">
        <v>2.0</v>
      </c>
      <c r="N429" s="26">
        <v>1.0</v>
      </c>
      <c r="O429" s="26">
        <v>0.0</v>
      </c>
      <c r="P429" s="26">
        <v>807.0</v>
      </c>
      <c r="Q429" s="35">
        <v>11.0</v>
      </c>
      <c r="R429" s="32">
        <v>45852.0</v>
      </c>
      <c r="S429" s="32">
        <v>45852.0</v>
      </c>
      <c r="T429" s="29"/>
      <c r="U429" s="33"/>
      <c r="V429" s="1"/>
    </row>
    <row r="430" ht="24.0" customHeight="1">
      <c r="A430" s="1"/>
      <c r="B430" s="24" t="str">
        <f>HYPERLINK("https://www.compass.com/listing/1236-prospect-avenue-unit-1a-bronx-ny-10459/1882948569105459833/view?agent_id=610d3f3370540700019b0833","1236 Prospect Ave, Unit 1A")</f>
        <v>1236 Prospect Ave, Unit 1A</v>
      </c>
      <c r="C430" s="25" t="s">
        <v>22</v>
      </c>
      <c r="D430" s="26" t="s">
        <v>23</v>
      </c>
      <c r="E430" s="27" t="str">
        <f>HYPERLINK("https://www.compass.com/building/1236-prospect-ave-bronx-ny-10459/293535526332465637/","1236 Prospect Ave")</f>
        <v>1236 Prospect Ave</v>
      </c>
      <c r="F430" s="25" t="s">
        <v>134</v>
      </c>
      <c r="G430" s="28">
        <v>380000.0</v>
      </c>
      <c r="H430" s="28">
        <v>356.0</v>
      </c>
      <c r="I430" s="28">
        <v>489.0</v>
      </c>
      <c r="J430" s="28">
        <v>983.0</v>
      </c>
      <c r="K430" s="25" t="s">
        <v>28</v>
      </c>
      <c r="L430" s="26">
        <v>4.0</v>
      </c>
      <c r="M430" s="26">
        <v>2.0</v>
      </c>
      <c r="N430" s="26">
        <v>1.0</v>
      </c>
      <c r="O430" s="30"/>
      <c r="P430" s="34">
        <v>1068.0</v>
      </c>
      <c r="Q430" s="35">
        <v>14.0</v>
      </c>
      <c r="R430" s="32">
        <v>45853.0</v>
      </c>
      <c r="S430" s="32">
        <v>45849.0</v>
      </c>
      <c r="T430" s="29"/>
      <c r="U430" s="33"/>
      <c r="V430" s="1"/>
    </row>
    <row r="431" ht="24.0" customHeight="1">
      <c r="A431" s="1"/>
      <c r="B431" s="24" t="str">
        <f>HYPERLINK("https://www.compass.com/listing/333-east-66th-street-unit-9h-manhattan-ny-10065/1814575343689280577/view?agent_id=610d3f3370540700019b0833","333 E 66th St, Unit 9H")</f>
        <v>333 E 66th St, Unit 9H</v>
      </c>
      <c r="C431" s="25" t="s">
        <v>22</v>
      </c>
      <c r="D431" s="26" t="s">
        <v>23</v>
      </c>
      <c r="E431" s="27" t="str">
        <f>HYPERLINK("https://www.compass.com/building/bryn-mawr-manhattan-ny/281928670933725557/","Bryn Mawr")</f>
        <v>Bryn Mawr</v>
      </c>
      <c r="F431" s="25" t="s">
        <v>64</v>
      </c>
      <c r="G431" s="28">
        <v>785000.0</v>
      </c>
      <c r="H431" s="28">
        <v>872.0</v>
      </c>
      <c r="I431" s="28">
        <v>2122.0</v>
      </c>
      <c r="J431" s="28">
        <v>0.0</v>
      </c>
      <c r="K431" s="25" t="s">
        <v>25</v>
      </c>
      <c r="L431" s="26">
        <v>4.0</v>
      </c>
      <c r="M431" s="26">
        <v>2.0</v>
      </c>
      <c r="N431" s="26">
        <v>1.0</v>
      </c>
      <c r="O431" s="26">
        <v>0.0</v>
      </c>
      <c r="P431" s="26">
        <v>900.0</v>
      </c>
      <c r="Q431" s="35">
        <v>108.0</v>
      </c>
      <c r="R431" s="32">
        <v>45828.0</v>
      </c>
      <c r="S431" s="32">
        <v>45755.0</v>
      </c>
      <c r="T431" s="29"/>
      <c r="U431" s="33"/>
      <c r="V431" s="1"/>
    </row>
    <row r="432" ht="24.0" customHeight="1">
      <c r="A432" s="1"/>
      <c r="B432" s="24" t="str">
        <f>HYPERLINK("https://www.compass.com/listing/224-east-52nd-street-unit-11-manhattan-ny-10022/1850627250571866041/view?agent_id=610d3f3370540700019b0833","224 E 52nd St, Unit 11")</f>
        <v>224 E 52nd St, Unit 11</v>
      </c>
      <c r="C432" s="25" t="s">
        <v>22</v>
      </c>
      <c r="D432" s="26" t="s">
        <v>23</v>
      </c>
      <c r="E432" s="27" t="str">
        <f>HYPERLINK("https://www.compass.com/building/the-enclave-manhattan-ny/292856181716754853/","The Enclave")</f>
        <v>The Enclave</v>
      </c>
      <c r="F432" s="25" t="s">
        <v>66</v>
      </c>
      <c r="G432" s="28">
        <v>1090000.0</v>
      </c>
      <c r="H432" s="29"/>
      <c r="I432" s="28">
        <v>2412.0</v>
      </c>
      <c r="J432" s="28">
        <v>15996.0</v>
      </c>
      <c r="K432" s="25" t="s">
        <v>28</v>
      </c>
      <c r="L432" s="26">
        <v>4.0</v>
      </c>
      <c r="M432" s="26">
        <v>2.0</v>
      </c>
      <c r="N432" s="26">
        <v>1.0</v>
      </c>
      <c r="O432" s="30"/>
      <c r="P432" s="26">
        <v>0.0</v>
      </c>
      <c r="Q432" s="35">
        <v>59.0</v>
      </c>
      <c r="R432" s="32">
        <v>45805.0</v>
      </c>
      <c r="S432" s="32">
        <v>45804.0</v>
      </c>
      <c r="T432" s="29"/>
      <c r="U432" s="33"/>
      <c r="V432" s="1"/>
    </row>
    <row r="433" ht="24.0" customHeight="1">
      <c r="A433" s="1"/>
      <c r="B433" s="24" t="str">
        <f>HYPERLINK("https://www.compass.com/listing/108-east-66th-street-unit-3a-manhattan-ny-10065/1679094927048752569/view?agent_id=610d3f3370540700019b0833","108 E 66th St, Unit 3A")</f>
        <v>108 E 66th St, Unit 3A</v>
      </c>
      <c r="C433" s="25" t="s">
        <v>22</v>
      </c>
      <c r="D433" s="26" t="s">
        <v>23</v>
      </c>
      <c r="E433" s="27" t="str">
        <f>HYPERLINK("https://www.compass.com/building/108-e-66th-st-manhattan-ny-10065/282035079662815493/","108 E 66th St")</f>
        <v>108 E 66th St</v>
      </c>
      <c r="F433" s="25" t="s">
        <v>64</v>
      </c>
      <c r="G433" s="28">
        <v>949995.0</v>
      </c>
      <c r="H433" s="28">
        <v>1039.0</v>
      </c>
      <c r="I433" s="28">
        <v>2107.0</v>
      </c>
      <c r="J433" s="28">
        <v>0.0</v>
      </c>
      <c r="K433" s="25" t="s">
        <v>25</v>
      </c>
      <c r="L433" s="26">
        <v>4.0</v>
      </c>
      <c r="M433" s="26">
        <v>2.0</v>
      </c>
      <c r="N433" s="26">
        <v>1.0</v>
      </c>
      <c r="O433" s="26">
        <v>0.0</v>
      </c>
      <c r="P433" s="26">
        <v>914.0</v>
      </c>
      <c r="Q433" s="35">
        <v>284.0</v>
      </c>
      <c r="R433" s="32">
        <v>45818.0</v>
      </c>
      <c r="S433" s="32">
        <v>45568.0</v>
      </c>
      <c r="T433" s="29"/>
      <c r="U433" s="33"/>
      <c r="V433" s="1"/>
    </row>
    <row r="434" ht="24.0" customHeight="1">
      <c r="A434" s="1"/>
      <c r="B434" s="24" t="str">
        <f>HYPERLINK("https://www.compass.com/listing/517-west-29th-street-unit-8h-manhattan-ny-10001/1815986382901511865/view?agent_id=610d3f3370540700019b0833","517 W 29th St, Unit 8H")</f>
        <v>517 W 29th St, Unit 8H</v>
      </c>
      <c r="C434" s="25" t="s">
        <v>22</v>
      </c>
      <c r="D434" s="26" t="s">
        <v>23</v>
      </c>
      <c r="E434" s="27" t="str">
        <f>HYPERLINK("https://www.compass.com/building/the-hudson-line-residences-manhattan-ny/293535446296724949/","The Hudson Line Residences")</f>
        <v>The Hudson Line Residences</v>
      </c>
      <c r="F434" s="25" t="s">
        <v>27</v>
      </c>
      <c r="G434" s="28">
        <v>1975000.0</v>
      </c>
      <c r="H434" s="28">
        <v>2117.0</v>
      </c>
      <c r="I434" s="28">
        <v>3517.0</v>
      </c>
      <c r="J434" s="28">
        <v>26484.0</v>
      </c>
      <c r="K434" s="25" t="s">
        <v>28</v>
      </c>
      <c r="L434" s="26">
        <v>4.0</v>
      </c>
      <c r="M434" s="26">
        <v>2.0</v>
      </c>
      <c r="N434" s="26">
        <v>1.0</v>
      </c>
      <c r="O434" s="26">
        <v>0.0</v>
      </c>
      <c r="P434" s="26">
        <v>933.0</v>
      </c>
      <c r="Q434" s="35">
        <v>106.0</v>
      </c>
      <c r="R434" s="32">
        <v>45851.0</v>
      </c>
      <c r="S434" s="32">
        <v>45757.0</v>
      </c>
      <c r="T434" s="29"/>
      <c r="U434" s="33"/>
      <c r="V434" s="1"/>
    </row>
    <row r="435" ht="24.0" customHeight="1">
      <c r="A435" s="1"/>
      <c r="B435" s="24" t="str">
        <f>HYPERLINK("https://www.compass.com/listing/110-charlton-street-unit-ph29-manhattan-ny-10014/1598473857722821489/view?agent_id=610d3f3370540700019b0833","110 Charlton St, Unit PH29")</f>
        <v>110 Charlton St, Unit PH29</v>
      </c>
      <c r="C435" s="25" t="s">
        <v>22</v>
      </c>
      <c r="D435" s="26" t="s">
        <v>23</v>
      </c>
      <c r="E435" s="27" t="str">
        <f>HYPERLINK("https://www.compass.com/building/greenwich-west-manhattan-ny/282058690331179733/","Greenwich West")</f>
        <v>Greenwich West</v>
      </c>
      <c r="F435" s="25" t="s">
        <v>135</v>
      </c>
      <c r="G435" s="28">
        <v>8636550.0</v>
      </c>
      <c r="H435" s="28">
        <v>4308.0</v>
      </c>
      <c r="I435" s="28">
        <v>6180.0</v>
      </c>
      <c r="J435" s="28">
        <v>47484.0</v>
      </c>
      <c r="K435" s="25" t="s">
        <v>28</v>
      </c>
      <c r="L435" s="26">
        <v>5.0</v>
      </c>
      <c r="M435" s="26">
        <v>2.0</v>
      </c>
      <c r="N435" s="30"/>
      <c r="O435" s="30"/>
      <c r="P435" s="34">
        <v>2005.0</v>
      </c>
      <c r="Q435" s="35">
        <v>407.0</v>
      </c>
      <c r="R435" s="32">
        <v>45457.0</v>
      </c>
      <c r="S435" s="32">
        <v>45456.0</v>
      </c>
      <c r="T435" s="29"/>
      <c r="U435" s="33"/>
      <c r="V435" s="1"/>
    </row>
    <row r="436" ht="24.0" customHeight="1">
      <c r="A436" s="1"/>
      <c r="B436" s="24" t="str">
        <f>HYPERLINK("https://www.compass.com/listing/108-division-avenue-unit-9-brooklyn-ny-11211/1825398860352592257/view?agent_id=610d3f3370540700019b0833","108 Division Ave, Unit 9")</f>
        <v>108 Division Ave, Unit 9</v>
      </c>
      <c r="C436" s="25" t="s">
        <v>22</v>
      </c>
      <c r="D436" s="26" t="s">
        <v>23</v>
      </c>
      <c r="E436" s="27" t="str">
        <f>HYPERLINK("https://www.compass.com/building/108-division-ave-brooklyn-ny-11211/307447827516925013/","108 Division Ave")</f>
        <v>108 Division Ave</v>
      </c>
      <c r="F436" s="25" t="s">
        <v>46</v>
      </c>
      <c r="G436" s="28">
        <v>450000.0</v>
      </c>
      <c r="H436" s="29"/>
      <c r="I436" s="28">
        <v>746.0</v>
      </c>
      <c r="J436" s="28">
        <v>0.0</v>
      </c>
      <c r="K436" s="25" t="s">
        <v>25</v>
      </c>
      <c r="L436" s="26">
        <v>4.0</v>
      </c>
      <c r="M436" s="26">
        <v>2.0</v>
      </c>
      <c r="N436" s="26">
        <v>1.0</v>
      </c>
      <c r="O436" s="26">
        <v>0.0</v>
      </c>
      <c r="P436" s="26">
        <v>0.0</v>
      </c>
      <c r="Q436" s="35">
        <v>93.0</v>
      </c>
      <c r="R436" s="32">
        <v>45862.0</v>
      </c>
      <c r="S436" s="32">
        <v>45770.0</v>
      </c>
      <c r="T436" s="29"/>
      <c r="U436" s="33"/>
      <c r="V436" s="1"/>
    </row>
    <row r="437" ht="24.0" customHeight="1">
      <c r="A437" s="1"/>
      <c r="B437" s="24" t="str">
        <f>HYPERLINK("https://www.compass.com/listing/517-west-29th-street-unit-5e-manhattan-ny-10001/1770778933588359177/view?agent_id=610d3f3370540700019b0833","517 W 29th St, Unit 5E")</f>
        <v>517 W 29th St, Unit 5E</v>
      </c>
      <c r="C437" s="25" t="s">
        <v>22</v>
      </c>
      <c r="D437" s="26" t="s">
        <v>23</v>
      </c>
      <c r="E437" s="27" t="str">
        <f>HYPERLINK("https://www.compass.com/building/the-hudson-line-residences-manhattan-ny/293535446296724949/","The Hudson Line Residences")</f>
        <v>The Hudson Line Residences</v>
      </c>
      <c r="F437" s="25" t="s">
        <v>27</v>
      </c>
      <c r="G437" s="28">
        <v>1750000.0</v>
      </c>
      <c r="H437" s="28">
        <v>1915.0</v>
      </c>
      <c r="I437" s="28">
        <v>3442.0</v>
      </c>
      <c r="J437" s="28">
        <v>25920.0</v>
      </c>
      <c r="K437" s="25" t="s">
        <v>28</v>
      </c>
      <c r="L437" s="26">
        <v>4.0</v>
      </c>
      <c r="M437" s="26">
        <v>2.0</v>
      </c>
      <c r="N437" s="26">
        <v>1.0</v>
      </c>
      <c r="O437" s="26">
        <v>0.0</v>
      </c>
      <c r="P437" s="26">
        <v>914.0</v>
      </c>
      <c r="Q437" s="35">
        <v>135.0</v>
      </c>
      <c r="R437" s="32">
        <v>45858.0</v>
      </c>
      <c r="S437" s="32">
        <v>45728.0</v>
      </c>
      <c r="T437" s="29"/>
      <c r="U437" s="33"/>
      <c r="V437" s="1"/>
    </row>
    <row r="438" ht="24.0" customHeight="1">
      <c r="A438" s="1"/>
      <c r="B438" s="24" t="str">
        <f>HYPERLINK("https://www.compass.com/listing/301-east-69th-street-unit-7g-manhattan-ny-10021/1607887308398660217/view?agent_id=610d3f3370540700019b0833","301 E 69th St, Unit 7G")</f>
        <v>301 E 69th St, Unit 7G</v>
      </c>
      <c r="C438" s="25" t="s">
        <v>22</v>
      </c>
      <c r="D438" s="26" t="s">
        <v>23</v>
      </c>
      <c r="E438" s="27" t="str">
        <f>HYPERLINK("https://www.compass.com/building/the-mayfair-manhattan-ny/281923554704923989/","The Mayfair")</f>
        <v>The Mayfair</v>
      </c>
      <c r="F438" s="25" t="s">
        <v>64</v>
      </c>
      <c r="G438" s="28">
        <v>949000.0</v>
      </c>
      <c r="H438" s="28">
        <v>999.0</v>
      </c>
      <c r="I438" s="28">
        <v>2083.0</v>
      </c>
      <c r="J438" s="28">
        <v>0.0</v>
      </c>
      <c r="K438" s="25" t="s">
        <v>25</v>
      </c>
      <c r="L438" s="26">
        <v>4.0</v>
      </c>
      <c r="M438" s="26">
        <v>2.0</v>
      </c>
      <c r="N438" s="26">
        <v>1.0</v>
      </c>
      <c r="O438" s="30"/>
      <c r="P438" s="26">
        <v>950.0</v>
      </c>
      <c r="Q438" s="35">
        <v>479.0</v>
      </c>
      <c r="R438" s="32">
        <v>45490.0</v>
      </c>
      <c r="S438" s="32">
        <v>45384.0</v>
      </c>
      <c r="T438" s="29"/>
      <c r="U438" s="33"/>
      <c r="V438" s="1"/>
    </row>
    <row r="439" ht="24.0" customHeight="1">
      <c r="A439" s="1"/>
      <c r="B439" s="24" t="str">
        <f>HYPERLINK("https://www.compass.com/listing/3017-riverdale-avenue-unit-2g-bronx-ny-10463/1884617773550910689/view?agent_id=610d3f3370540700019b0833","3017 Riverdale Ave, Unit 2G")</f>
        <v>3017 Riverdale Ave, Unit 2G</v>
      </c>
      <c r="C439" s="25" t="s">
        <v>22</v>
      </c>
      <c r="D439" s="26" t="s">
        <v>23</v>
      </c>
      <c r="E439" s="27" t="str">
        <f>HYPERLINK("https://www.compass.com/building/3017-riverdale-ave-bronx-ny-10463/294844355760060581/","3017 Riverdale Ave")</f>
        <v>3017 Riverdale Ave</v>
      </c>
      <c r="F439" s="25" t="s">
        <v>89</v>
      </c>
      <c r="G439" s="28">
        <v>369000.0</v>
      </c>
      <c r="H439" s="28">
        <v>328.0</v>
      </c>
      <c r="I439" s="28">
        <v>1083.0</v>
      </c>
      <c r="J439" s="28">
        <v>0.0</v>
      </c>
      <c r="K439" s="25" t="s">
        <v>25</v>
      </c>
      <c r="L439" s="26">
        <v>5.0</v>
      </c>
      <c r="M439" s="26">
        <v>2.0</v>
      </c>
      <c r="N439" s="26">
        <v>1.0</v>
      </c>
      <c r="O439" s="30"/>
      <c r="P439" s="34">
        <v>1125.0</v>
      </c>
      <c r="Q439" s="35">
        <v>13.0</v>
      </c>
      <c r="R439" s="32">
        <v>45852.0</v>
      </c>
      <c r="S439" s="32">
        <v>45850.0</v>
      </c>
      <c r="T439" s="29"/>
      <c r="U439" s="33"/>
      <c r="V439" s="1"/>
    </row>
    <row r="440" ht="24.0" customHeight="1">
      <c r="A440" s="1"/>
      <c r="B440" s="24" t="str">
        <f>HYPERLINK("https://www.compass.com/listing/12-east-97th-street-unit-10b-manhattan-ny-10128/1861798247746277865/view?agent_id=610d3f3370540700019b0833","12 E 97th St, Unit 10B")</f>
        <v>12 E 97th St, Unit 10B</v>
      </c>
      <c r="C440" s="25" t="s">
        <v>22</v>
      </c>
      <c r="D440" s="26" t="s">
        <v>23</v>
      </c>
      <c r="E440" s="27" t="str">
        <f>HYPERLINK("https://www.compass.com/building/12-e-97th-st-manhattan-ny-10128/281988227416566117/","12 E 97th St")</f>
        <v>12 E 97th St</v>
      </c>
      <c r="F440" s="25" t="s">
        <v>44</v>
      </c>
      <c r="G440" s="28">
        <v>950000.0</v>
      </c>
      <c r="H440" s="28">
        <v>1000.0</v>
      </c>
      <c r="I440" s="28">
        <v>3060.0</v>
      </c>
      <c r="J440" s="28">
        <v>0.0</v>
      </c>
      <c r="K440" s="25" t="s">
        <v>25</v>
      </c>
      <c r="L440" s="26">
        <v>5.0</v>
      </c>
      <c r="M440" s="26">
        <v>2.0</v>
      </c>
      <c r="N440" s="26">
        <v>1.0</v>
      </c>
      <c r="O440" s="26">
        <v>0.0</v>
      </c>
      <c r="P440" s="26">
        <v>950.0</v>
      </c>
      <c r="Q440" s="35">
        <v>43.0</v>
      </c>
      <c r="R440" s="32">
        <v>45862.0</v>
      </c>
      <c r="S440" s="32">
        <v>45820.0</v>
      </c>
      <c r="T440" s="29"/>
      <c r="U440" s="33"/>
      <c r="V440" s="1"/>
    </row>
    <row r="441" ht="24.0" customHeight="1">
      <c r="A441" s="1"/>
      <c r="B441" s="24" t="str">
        <f>HYPERLINK("https://www.compass.com/listing/56-court-street-unit-4b-brooklyn-ny-11201/1810476248276076969/view?agent_id=610d3f3370540700019b0833","56 Court St, Unit 4B")</f>
        <v>56 Court St, Unit 4B</v>
      </c>
      <c r="C441" s="25" t="s">
        <v>22</v>
      </c>
      <c r="D441" s="26" t="s">
        <v>23</v>
      </c>
      <c r="E441" s="27" t="str">
        <f>HYPERLINK("https://www.compass.com/building/56-court-st-brooklyn-ny-11201/282509984841946389/","56 Court St")</f>
        <v>56 Court St</v>
      </c>
      <c r="F441" s="25" t="s">
        <v>52</v>
      </c>
      <c r="G441" s="28">
        <v>1195000.0</v>
      </c>
      <c r="H441" s="28">
        <v>934.0</v>
      </c>
      <c r="I441" s="28">
        <v>3063.0</v>
      </c>
      <c r="J441" s="28">
        <v>18588.0</v>
      </c>
      <c r="K441" s="25" t="s">
        <v>28</v>
      </c>
      <c r="L441" s="26">
        <v>4.0</v>
      </c>
      <c r="M441" s="26">
        <v>2.0</v>
      </c>
      <c r="N441" s="26">
        <v>1.0</v>
      </c>
      <c r="O441" s="26">
        <v>0.0</v>
      </c>
      <c r="P441" s="34">
        <v>1280.0</v>
      </c>
      <c r="Q441" s="35">
        <v>114.0</v>
      </c>
      <c r="R441" s="32">
        <v>45763.0</v>
      </c>
      <c r="S441" s="32">
        <v>45749.0</v>
      </c>
      <c r="T441" s="29"/>
      <c r="U441" s="33"/>
      <c r="V441" s="1"/>
    </row>
    <row r="442" ht="24.0" customHeight="1">
      <c r="A442" s="1"/>
      <c r="B442" s="24" t="str">
        <f>HYPERLINK("https://www.compass.com/listing/90-la-salle-street-unit-5a-manhattan-ny-10027/1876225299641612905/view?agent_id=610d3f3370540700019b0833","90 La Salle St, Unit 5A")</f>
        <v>90 La Salle St, Unit 5A</v>
      </c>
      <c r="C442" s="25" t="s">
        <v>22</v>
      </c>
      <c r="D442" s="26" t="s">
        <v>23</v>
      </c>
      <c r="E442" s="27" t="str">
        <f>HYPERLINK("https://www.compass.com/building/morningside-gardens-manhattan-ny/282059070444176741/","Morningside Gardens")</f>
        <v>Morningside Gardens</v>
      </c>
      <c r="F442" s="25" t="s">
        <v>41</v>
      </c>
      <c r="G442" s="28">
        <v>595000.0</v>
      </c>
      <c r="H442" s="29"/>
      <c r="I442" s="28">
        <v>1460.0</v>
      </c>
      <c r="J442" s="28">
        <v>0.0</v>
      </c>
      <c r="K442" s="25" t="s">
        <v>25</v>
      </c>
      <c r="L442" s="26">
        <v>4.0</v>
      </c>
      <c r="M442" s="26">
        <v>2.0</v>
      </c>
      <c r="N442" s="26">
        <v>1.0</v>
      </c>
      <c r="O442" s="26">
        <v>0.0</v>
      </c>
      <c r="P442" s="30"/>
      <c r="Q442" s="35">
        <v>24.0</v>
      </c>
      <c r="R442" s="32">
        <v>45840.0</v>
      </c>
      <c r="S442" s="32">
        <v>45839.0</v>
      </c>
      <c r="T442" s="29"/>
      <c r="U442" s="33"/>
      <c r="V442" s="1"/>
    </row>
    <row r="443" ht="24.0" customHeight="1">
      <c r="A443" s="1"/>
      <c r="B443" s="24" t="str">
        <f>HYPERLINK("https://www.compass.com/listing/566-west-159th-street-unit-21-manhattan-ny-10032/1847771180634721265/view?agent_id=610d3f3370540700019b0833","566 W 159th St, Unit 21")</f>
        <v>566 W 159th St, Unit 21</v>
      </c>
      <c r="C443" s="25" t="s">
        <v>22</v>
      </c>
      <c r="D443" s="26" t="s">
        <v>23</v>
      </c>
      <c r="E443" s="27" t="str">
        <f>HYPERLINK("https://www.compass.com/building/566-w-159th-st-manhattan-ny-10032/282008230622788021/","566 W 159th St")</f>
        <v>566 W 159th St</v>
      </c>
      <c r="F443" s="25" t="s">
        <v>77</v>
      </c>
      <c r="G443" s="28">
        <v>495000.0</v>
      </c>
      <c r="H443" s="29"/>
      <c r="I443" s="28">
        <v>771.0</v>
      </c>
      <c r="J443" s="28">
        <v>0.0</v>
      </c>
      <c r="K443" s="25" t="s">
        <v>25</v>
      </c>
      <c r="L443" s="26">
        <v>5.0</v>
      </c>
      <c r="M443" s="26">
        <v>2.0</v>
      </c>
      <c r="N443" s="26">
        <v>1.0</v>
      </c>
      <c r="O443" s="30"/>
      <c r="P443" s="30"/>
      <c r="Q443" s="35">
        <v>65.0</v>
      </c>
      <c r="R443" s="32">
        <v>45801.0</v>
      </c>
      <c r="S443" s="32">
        <v>45798.0</v>
      </c>
      <c r="T443" s="29"/>
      <c r="U443" s="33"/>
      <c r="V443" s="1"/>
    </row>
    <row r="444" ht="24.0" customHeight="1">
      <c r="A444" s="1"/>
      <c r="B444" s="24" t="str">
        <f>HYPERLINK("https://www.compass.com/listing/91-10-34th-avenue-unit-6k-queens-ny-11372/1886505058290898073/view?agent_id=610d3f3370540700019b0833","91-10 34th Ave, Unit 6K")</f>
        <v>91-10 34th Ave, Unit 6K</v>
      </c>
      <c r="C444" s="25" t="s">
        <v>22</v>
      </c>
      <c r="D444" s="26" t="s">
        <v>23</v>
      </c>
      <c r="E444" s="27" t="str">
        <f>HYPERLINK("https://www.compass.com/building/91-10-34th-ave-queens-ny-11372/293531426383552757/","91-10 34th Ave")</f>
        <v>91-10 34th Ave</v>
      </c>
      <c r="F444" s="25" t="s">
        <v>33</v>
      </c>
      <c r="G444" s="28">
        <v>420000.0</v>
      </c>
      <c r="H444" s="28">
        <v>641.0</v>
      </c>
      <c r="I444" s="28">
        <v>588.0</v>
      </c>
      <c r="J444" s="28">
        <v>3920.0</v>
      </c>
      <c r="K444" s="25" t="s">
        <v>28</v>
      </c>
      <c r="L444" s="26">
        <v>5.0</v>
      </c>
      <c r="M444" s="26">
        <v>2.0</v>
      </c>
      <c r="N444" s="26">
        <v>1.0</v>
      </c>
      <c r="O444" s="30"/>
      <c r="P444" s="26">
        <v>655.0</v>
      </c>
      <c r="Q444" s="35">
        <v>9.0</v>
      </c>
      <c r="R444" s="32">
        <v>45855.0</v>
      </c>
      <c r="S444" s="32">
        <v>45854.0</v>
      </c>
      <c r="T444" s="29"/>
      <c r="U444" s="33"/>
      <c r="V444" s="1"/>
    </row>
    <row r="445" ht="24.0" customHeight="1">
      <c r="A445" s="1"/>
      <c r="B445" s="24" t="str">
        <f>HYPERLINK("https://www.compass.com/listing/291-319-cherry-street-unit-b1-manhattan-ny-10002/1885608143063843913/view?agent_id=610d3f3370540700019b0833","291-319 Cherry St, Unit B1")</f>
        <v>291-319 Cherry St, Unit B1</v>
      </c>
      <c r="C445" s="25" t="s">
        <v>22</v>
      </c>
      <c r="D445" s="26" t="s">
        <v>23</v>
      </c>
      <c r="E445" s="27" t="str">
        <f>HYPERLINK("https://www.compass.com/building/291-319-cherry-st-manhattan-ny-10002/281886976448141381/","291-319 Cherry St")</f>
        <v>291-319 Cherry St</v>
      </c>
      <c r="F445" s="25" t="s">
        <v>136</v>
      </c>
      <c r="G445" s="28">
        <v>995000.0</v>
      </c>
      <c r="H445" s="28">
        <v>1004.0</v>
      </c>
      <c r="I445" s="28">
        <v>969.0</v>
      </c>
      <c r="J445" s="28">
        <v>4441.0</v>
      </c>
      <c r="K445" s="25" t="s">
        <v>28</v>
      </c>
      <c r="L445" s="26">
        <v>4.0</v>
      </c>
      <c r="M445" s="26">
        <v>2.0</v>
      </c>
      <c r="N445" s="26">
        <v>1.0</v>
      </c>
      <c r="O445" s="26">
        <v>0.0</v>
      </c>
      <c r="P445" s="26">
        <v>991.0</v>
      </c>
      <c r="Q445" s="35">
        <v>10.0</v>
      </c>
      <c r="R445" s="32">
        <v>45863.0</v>
      </c>
      <c r="S445" s="32">
        <v>45853.0</v>
      </c>
      <c r="T445" s="29"/>
      <c r="U445" s="33"/>
      <c r="V445" s="1"/>
    </row>
    <row r="446" ht="24.0" customHeight="1">
      <c r="A446" s="1"/>
      <c r="B446" s="24" t="str">
        <f>HYPERLINK("https://www.compass.com/listing/56-07-31st-avenue-unit-2c-queens-ny-11377/1808637888720435641/view?agent_id=610d3f3370540700019b0833","56-07 31st Ave, Unit 2C")</f>
        <v>56-07 31st Ave, Unit 2C</v>
      </c>
      <c r="C446" s="25" t="s">
        <v>22</v>
      </c>
      <c r="D446" s="26" t="s">
        <v>23</v>
      </c>
      <c r="E446" s="27" t="str">
        <f>HYPERLINK("https://www.compass.com/building/56-07-31st-ave-queens-ny-11377/307434032777933877/","56-07 31st Ave")</f>
        <v>56-07 31st Ave</v>
      </c>
      <c r="F446" s="25" t="s">
        <v>137</v>
      </c>
      <c r="G446" s="28">
        <v>375000.0</v>
      </c>
      <c r="H446" s="29"/>
      <c r="I446" s="28">
        <v>846.0</v>
      </c>
      <c r="J446" s="28">
        <v>0.0</v>
      </c>
      <c r="K446" s="25" t="s">
        <v>25</v>
      </c>
      <c r="L446" s="26">
        <v>4.0</v>
      </c>
      <c r="M446" s="26">
        <v>2.0</v>
      </c>
      <c r="N446" s="26">
        <v>1.0</v>
      </c>
      <c r="O446" s="30"/>
      <c r="P446" s="26">
        <v>0.0</v>
      </c>
      <c r="Q446" s="35">
        <v>118.0</v>
      </c>
      <c r="R446" s="32">
        <v>45747.0</v>
      </c>
      <c r="S446" s="32">
        <v>45745.0</v>
      </c>
      <c r="T446" s="29"/>
      <c r="U446" s="33"/>
      <c r="V446" s="1"/>
    </row>
    <row r="447" ht="24.0" customHeight="1">
      <c r="A447" s="1"/>
      <c r="B447" s="24" t="str">
        <f>HYPERLINK("https://www.compass.com/listing/2736-independence-avenue-unit-6a-bronx-ny-10463/1889919388613356265/view?agent_id=610d3f3370540700019b0833","2736 Independence Ave, Unit 6A")</f>
        <v>2736 Independence Ave, Unit 6A</v>
      </c>
      <c r="C447" s="25" t="s">
        <v>22</v>
      </c>
      <c r="D447" s="26" t="s">
        <v>23</v>
      </c>
      <c r="E447" s="27" t="str">
        <f>HYPERLINK("https://www.compass.com/building/the-markchester-bronx-ny/307453423615933061/","The Markchester")</f>
        <v>The Markchester</v>
      </c>
      <c r="F447" s="25" t="s">
        <v>89</v>
      </c>
      <c r="G447" s="28">
        <v>299000.0</v>
      </c>
      <c r="H447" s="28">
        <v>352.0</v>
      </c>
      <c r="I447" s="28">
        <v>1303.0</v>
      </c>
      <c r="J447" s="29"/>
      <c r="K447" s="25" t="s">
        <v>25</v>
      </c>
      <c r="L447" s="26">
        <v>5.0</v>
      </c>
      <c r="M447" s="26">
        <v>2.0</v>
      </c>
      <c r="N447" s="26">
        <v>1.0</v>
      </c>
      <c r="O447" s="30"/>
      <c r="P447" s="26">
        <v>850.0</v>
      </c>
      <c r="Q447" s="35">
        <v>4.0</v>
      </c>
      <c r="R447" s="32">
        <v>45862.0</v>
      </c>
      <c r="S447" s="32">
        <v>45859.0</v>
      </c>
      <c r="T447" s="29"/>
      <c r="U447" s="33"/>
      <c r="V447" s="1"/>
    </row>
    <row r="448" ht="24.0" customHeight="1">
      <c r="A448" s="1"/>
      <c r="B448" s="24" t="str">
        <f>HYPERLINK("https://www.compass.com/listing/130-bradhurst-avenue-unit-1201-manhattan-ny-10039/1876274579400654505/view?agent_id=610d3f3370540700019b0833","130 Bradhurst Ave, Unit 1201")</f>
        <v>130 Bradhurst Ave, Unit 1201</v>
      </c>
      <c r="C448" s="25" t="s">
        <v>22</v>
      </c>
      <c r="D448" s="26" t="s">
        <v>23</v>
      </c>
      <c r="E448" s="27" t="str">
        <f>HYPERLINK("https://www.compass.com/building/ellington-on-the-park-manhattan-ny/282030998839899349/","Ellington on the Park")</f>
        <v>Ellington on the Park</v>
      </c>
      <c r="F448" s="25" t="s">
        <v>32</v>
      </c>
      <c r="G448" s="28">
        <v>599000.0</v>
      </c>
      <c r="H448" s="28">
        <v>699.0</v>
      </c>
      <c r="I448" s="28">
        <v>1598.0</v>
      </c>
      <c r="J448" s="28">
        <v>0.0</v>
      </c>
      <c r="K448" s="25" t="s">
        <v>49</v>
      </c>
      <c r="L448" s="26">
        <v>4.0</v>
      </c>
      <c r="M448" s="26">
        <v>2.0</v>
      </c>
      <c r="N448" s="26">
        <v>1.0</v>
      </c>
      <c r="O448" s="26">
        <v>0.0</v>
      </c>
      <c r="P448" s="26">
        <v>857.0</v>
      </c>
      <c r="Q448" s="35">
        <v>23.0</v>
      </c>
      <c r="R448" s="32">
        <v>45859.0</v>
      </c>
      <c r="S448" s="32">
        <v>45840.0</v>
      </c>
      <c r="T448" s="29"/>
      <c r="U448" s="33"/>
      <c r="V448" s="1"/>
    </row>
    <row r="449" ht="24.0" customHeight="1">
      <c r="A449" s="1"/>
      <c r="B449" s="24" t="str">
        <f>HYPERLINK("https://www.compass.com/listing/47-37-45th-street-unit-4c-queens-ny-11377/1801587118236510177/view?agent_id=610d3f3370540700019b0833","47-37 45th St, Unit 4C")</f>
        <v>47-37 45th St, Unit 4C</v>
      </c>
      <c r="C449" s="25" t="s">
        <v>22</v>
      </c>
      <c r="D449" s="26" t="s">
        <v>23</v>
      </c>
      <c r="E449" s="27" t="str">
        <f>HYPERLINK("https://www.compass.com/building/47-37-45th-st-queens-ny-11377/293529757369292181/","47-37 45th St")</f>
        <v>47-37 45th St</v>
      </c>
      <c r="F449" s="25" t="s">
        <v>88</v>
      </c>
      <c r="G449" s="28">
        <v>499000.0</v>
      </c>
      <c r="H449" s="28">
        <v>525.0</v>
      </c>
      <c r="I449" s="28">
        <v>782.0</v>
      </c>
      <c r="J449" s="28">
        <v>0.0</v>
      </c>
      <c r="K449" s="25" t="s">
        <v>25</v>
      </c>
      <c r="L449" s="26">
        <v>4.0</v>
      </c>
      <c r="M449" s="26">
        <v>2.0</v>
      </c>
      <c r="N449" s="26">
        <v>1.0</v>
      </c>
      <c r="O449" s="30"/>
      <c r="P449" s="26">
        <v>950.0</v>
      </c>
      <c r="Q449" s="35">
        <v>126.0</v>
      </c>
      <c r="R449" s="32">
        <v>45737.0</v>
      </c>
      <c r="S449" s="32">
        <v>45737.0</v>
      </c>
      <c r="T449" s="29"/>
      <c r="U449" s="33"/>
      <c r="V449" s="1"/>
    </row>
    <row r="450" ht="24.0" customHeight="1">
      <c r="A450" s="1"/>
      <c r="B450" s="24" t="str">
        <f>HYPERLINK("https://www.compass.com/listing/110-division-avenue-unit-9-brooklyn-ny-11211/1825500892073909993/view?agent_id=610d3f3370540700019b0833","110 Division Ave, Unit 9")</f>
        <v>110 Division Ave, Unit 9</v>
      </c>
      <c r="C450" s="25" t="s">
        <v>22</v>
      </c>
      <c r="D450" s="26" t="s">
        <v>23</v>
      </c>
      <c r="E450" s="27" t="str">
        <f>HYPERLINK("https://www.compass.com/building/110-division-ave-brooklyn-ny-11211/282392837956365573/","110 Division Ave")</f>
        <v>110 Division Ave</v>
      </c>
      <c r="F450" s="25" t="s">
        <v>46</v>
      </c>
      <c r="G450" s="28">
        <v>450000.0</v>
      </c>
      <c r="H450" s="29"/>
      <c r="I450" s="28">
        <v>746.0</v>
      </c>
      <c r="J450" s="29"/>
      <c r="K450" s="25" t="s">
        <v>25</v>
      </c>
      <c r="L450" s="26">
        <v>4.0</v>
      </c>
      <c r="M450" s="26">
        <v>2.0</v>
      </c>
      <c r="N450" s="30"/>
      <c r="O450" s="30"/>
      <c r="P450" s="30"/>
      <c r="Q450" s="35">
        <v>93.0</v>
      </c>
      <c r="R450" s="32">
        <v>45862.0</v>
      </c>
      <c r="S450" s="32">
        <v>45770.0</v>
      </c>
      <c r="T450" s="29"/>
      <c r="U450" s="33"/>
      <c r="V450" s="1"/>
    </row>
    <row r="451" ht="24.0" customHeight="1">
      <c r="A451" s="1"/>
      <c r="B451" s="24" t="str">
        <f>HYPERLINK("https://www.compass.com/listing/100-central-park-south-unit-13c-manhattan-ny-10019/1882066616000736353/view?agent_id=610d3f3370540700019b0833","100 Central Park South, Unit 13C")</f>
        <v>100 Central Park South, Unit 13C</v>
      </c>
      <c r="C451" s="25" t="s">
        <v>22</v>
      </c>
      <c r="D451" s="26" t="s">
        <v>23</v>
      </c>
      <c r="E451" s="27" t="str">
        <f>HYPERLINK("https://www.compass.com/building/trump-parc-east-manhattan-ny/282059493364237989/","Trump Parc East")</f>
        <v>Trump Parc East</v>
      </c>
      <c r="F451" s="25" t="s">
        <v>138</v>
      </c>
      <c r="G451" s="28">
        <v>1595000.0</v>
      </c>
      <c r="H451" s="28">
        <v>1950.0</v>
      </c>
      <c r="I451" s="28">
        <v>3851.0</v>
      </c>
      <c r="J451" s="28">
        <v>20052.0</v>
      </c>
      <c r="K451" s="25" t="s">
        <v>28</v>
      </c>
      <c r="L451" s="26">
        <v>3.0</v>
      </c>
      <c r="M451" s="26">
        <v>2.0</v>
      </c>
      <c r="N451" s="26">
        <v>1.0</v>
      </c>
      <c r="O451" s="26">
        <v>0.0</v>
      </c>
      <c r="P451" s="26">
        <v>818.0</v>
      </c>
      <c r="Q451" s="35">
        <v>15.0</v>
      </c>
      <c r="R451" s="32">
        <v>45863.0</v>
      </c>
      <c r="S451" s="32">
        <v>45848.0</v>
      </c>
      <c r="T451" s="29"/>
      <c r="U451" s="33"/>
      <c r="V451" s="1"/>
    </row>
    <row r="452" ht="24.0" customHeight="1">
      <c r="A452" s="1"/>
      <c r="B452" s="24" t="str">
        <f>HYPERLINK("https://www.compass.com/listing/825-morrison-avenue-unit-5h-bronx-ny-10473/1850928370242194017/view?agent_id=610d3f3370540700019b0833","825 Morrison Ave, Unit 5H")</f>
        <v>825 Morrison Ave, Unit 5H</v>
      </c>
      <c r="C452" s="25" t="s">
        <v>22</v>
      </c>
      <c r="D452" s="26" t="s">
        <v>23</v>
      </c>
      <c r="E452" s="27" t="str">
        <f>HYPERLINK("https://www.compass.com/building/825-morrison-ave-bronx-ny-10473/293528118453467941/","825 Morrison Ave")</f>
        <v>825 Morrison Ave</v>
      </c>
      <c r="F452" s="25" t="s">
        <v>121</v>
      </c>
      <c r="G452" s="28">
        <v>375000.0</v>
      </c>
      <c r="H452" s="28">
        <v>417.0</v>
      </c>
      <c r="I452" s="28">
        <v>845.0</v>
      </c>
      <c r="J452" s="29"/>
      <c r="K452" s="25" t="s">
        <v>25</v>
      </c>
      <c r="L452" s="26">
        <v>4.0</v>
      </c>
      <c r="M452" s="26">
        <v>2.0</v>
      </c>
      <c r="N452" s="26">
        <v>1.0</v>
      </c>
      <c r="O452" s="30"/>
      <c r="P452" s="26">
        <v>900.0</v>
      </c>
      <c r="Q452" s="35">
        <v>58.0</v>
      </c>
      <c r="R452" s="32">
        <v>45806.0</v>
      </c>
      <c r="S452" s="32">
        <v>45805.0</v>
      </c>
      <c r="T452" s="29"/>
      <c r="U452" s="33"/>
      <c r="V452" s="1"/>
    </row>
    <row r="453" ht="24.0" customHeight="1">
      <c r="A453" s="1"/>
      <c r="B453" s="24" t="str">
        <f>HYPERLINK("https://www.compass.com/listing/32-22-89th-street-unit-204-queens-ny-11369/1887189803962261593/view?agent_id=610d3f3370540700019b0833","32-22 89th St, Unit 204")</f>
        <v>32-22 89th St, Unit 204</v>
      </c>
      <c r="C453" s="25" t="s">
        <v>22</v>
      </c>
      <c r="D453" s="26" t="s">
        <v>23</v>
      </c>
      <c r="E453" s="27" t="str">
        <f>HYPERLINK("https://www.compass.com/building/32-22-89th-st-queens-ny-11369/307433141371008869/","32-22 89th St")</f>
        <v>32-22 89th St</v>
      </c>
      <c r="F453" s="25" t="s">
        <v>33</v>
      </c>
      <c r="G453" s="28">
        <v>388000.0</v>
      </c>
      <c r="H453" s="28">
        <v>388.0</v>
      </c>
      <c r="I453" s="28">
        <v>958.0</v>
      </c>
      <c r="J453" s="29"/>
      <c r="K453" s="25" t="s">
        <v>25</v>
      </c>
      <c r="L453" s="26">
        <v>4.0</v>
      </c>
      <c r="M453" s="26">
        <v>2.0</v>
      </c>
      <c r="N453" s="26">
        <v>1.0</v>
      </c>
      <c r="O453" s="30"/>
      <c r="P453" s="34">
        <v>1000.0</v>
      </c>
      <c r="Q453" s="35">
        <v>0.0</v>
      </c>
      <c r="R453" s="32">
        <v>45863.0</v>
      </c>
      <c r="S453" s="32">
        <v>45863.0</v>
      </c>
      <c r="T453" s="29"/>
      <c r="U453" s="33"/>
      <c r="V453" s="1"/>
    </row>
    <row r="454" ht="24.0" customHeight="1">
      <c r="A454" s="1"/>
      <c r="B454" s="24" t="str">
        <f>HYPERLINK("https://www.compass.com/listing/200-east-90th-street-unit-6h-manhattan-ny-10128/1859587723631000081/view?agent_id=610d3f3370540700019b0833","200 E 90th St, Unit 6H")</f>
        <v>200 E 90th St, Unit 6H</v>
      </c>
      <c r="C454" s="25" t="s">
        <v>22</v>
      </c>
      <c r="D454" s="26" t="s">
        <v>23</v>
      </c>
      <c r="E454" s="27" t="str">
        <f>HYPERLINK("https://www.compass.com/building/whitney-house-manhattan-ny/282059225281101397/","Whitney House")</f>
        <v>Whitney House</v>
      </c>
      <c r="F454" s="25" t="s">
        <v>44</v>
      </c>
      <c r="G454" s="28">
        <v>899000.0</v>
      </c>
      <c r="H454" s="29"/>
      <c r="I454" s="28">
        <v>1750.0</v>
      </c>
      <c r="J454" s="28">
        <v>0.0</v>
      </c>
      <c r="K454" s="25" t="s">
        <v>25</v>
      </c>
      <c r="L454" s="26">
        <v>4.0</v>
      </c>
      <c r="M454" s="26">
        <v>2.0</v>
      </c>
      <c r="N454" s="26">
        <v>1.0</v>
      </c>
      <c r="O454" s="26">
        <v>0.0</v>
      </c>
      <c r="P454" s="30"/>
      <c r="Q454" s="35">
        <v>46.0</v>
      </c>
      <c r="R454" s="32">
        <v>45836.0</v>
      </c>
      <c r="S454" s="32">
        <v>45817.0</v>
      </c>
      <c r="T454" s="29"/>
      <c r="U454" s="33"/>
      <c r="V454" s="1"/>
    </row>
    <row r="455" ht="24.0" customHeight="1">
      <c r="A455" s="1"/>
      <c r="B455" s="24" t="str">
        <f>HYPERLINK("https://www.compass.com/listing/250-east-25th-street-unit-9e-manhattan-ny-10010/1669699866894318225/view?agent_id=610d3f3370540700019b0833","250 E 25th St, Unit 9E")</f>
        <v>250 E 25th St, Unit 9E</v>
      </c>
      <c r="C455" s="25" t="s">
        <v>22</v>
      </c>
      <c r="D455" s="26" t="s">
        <v>23</v>
      </c>
      <c r="E455" s="26" t="s">
        <v>139</v>
      </c>
      <c r="F455" s="25" t="s">
        <v>107</v>
      </c>
      <c r="G455" s="28">
        <v>1900000.0</v>
      </c>
      <c r="H455" s="28">
        <v>2430.0</v>
      </c>
      <c r="I455" s="28">
        <v>2340.0</v>
      </c>
      <c r="J455" s="28">
        <v>16704.0</v>
      </c>
      <c r="K455" s="25" t="s">
        <v>28</v>
      </c>
      <c r="L455" s="26">
        <v>4.0</v>
      </c>
      <c r="M455" s="26">
        <v>2.0</v>
      </c>
      <c r="N455" s="26">
        <v>1.0</v>
      </c>
      <c r="O455" s="26">
        <v>0.0</v>
      </c>
      <c r="P455" s="26">
        <v>782.0</v>
      </c>
      <c r="Q455" s="35">
        <v>154.0</v>
      </c>
      <c r="R455" s="32">
        <v>45862.0</v>
      </c>
      <c r="S455" s="32">
        <v>45709.0</v>
      </c>
      <c r="T455" s="29"/>
      <c r="U455" s="33"/>
      <c r="V455" s="1"/>
    </row>
    <row r="456" ht="24.0" customHeight="1">
      <c r="A456" s="1"/>
      <c r="B456" s="24" t="str">
        <f>HYPERLINK("https://www.compass.com/listing/250-east-25th-street-unit-7a-manhattan-ny-10010/1809616377925553513/view?agent_id=610d3f3370540700019b0833","250 E 25th St, Unit 7A")</f>
        <v>250 E 25th St, Unit 7A</v>
      </c>
      <c r="C456" s="25" t="s">
        <v>22</v>
      </c>
      <c r="D456" s="26" t="s">
        <v>23</v>
      </c>
      <c r="E456" s="26" t="s">
        <v>140</v>
      </c>
      <c r="F456" s="25" t="s">
        <v>107</v>
      </c>
      <c r="G456" s="28">
        <v>1900000.0</v>
      </c>
      <c r="H456" s="28">
        <v>2417.0</v>
      </c>
      <c r="I456" s="28">
        <v>2352.0</v>
      </c>
      <c r="J456" s="28">
        <v>16788.0</v>
      </c>
      <c r="K456" s="25" t="s">
        <v>28</v>
      </c>
      <c r="L456" s="26">
        <v>4.0</v>
      </c>
      <c r="M456" s="26">
        <v>2.0</v>
      </c>
      <c r="N456" s="26">
        <v>1.0</v>
      </c>
      <c r="O456" s="26">
        <v>0.0</v>
      </c>
      <c r="P456" s="26">
        <v>786.0</v>
      </c>
      <c r="Q456" s="35">
        <v>204.0</v>
      </c>
      <c r="R456" s="32">
        <v>45853.0</v>
      </c>
      <c r="S456" s="32">
        <v>45659.0</v>
      </c>
      <c r="T456" s="29"/>
      <c r="U456" s="33"/>
      <c r="V456" s="1"/>
    </row>
    <row r="457" ht="24.0" customHeight="1">
      <c r="A457" s="1"/>
      <c r="B457" s="24" t="str">
        <f>HYPERLINK("https://www.compass.com/listing/250-east-25th-street-unit-7a-manhattan-ny-10010/1745250136333094689/view?agent_id=610d3f3370540700019b0833","250 East 25th Street, Unit 7A")</f>
        <v>250 East 25th Street, Unit 7A</v>
      </c>
      <c r="C457" s="25" t="s">
        <v>22</v>
      </c>
      <c r="D457" s="26" t="s">
        <v>23</v>
      </c>
      <c r="E457" s="26" t="s">
        <v>139</v>
      </c>
      <c r="F457" s="25" t="s">
        <v>107</v>
      </c>
      <c r="G457" s="28">
        <v>1900000.0</v>
      </c>
      <c r="H457" s="28">
        <v>2417.0</v>
      </c>
      <c r="I457" s="28">
        <v>2352.0</v>
      </c>
      <c r="J457" s="28">
        <v>16788.0</v>
      </c>
      <c r="K457" s="25" t="s">
        <v>28</v>
      </c>
      <c r="L457" s="26">
        <v>4.0</v>
      </c>
      <c r="M457" s="26">
        <v>2.0</v>
      </c>
      <c r="N457" s="26">
        <v>1.0</v>
      </c>
      <c r="O457" s="26">
        <v>0.0</v>
      </c>
      <c r="P457" s="26">
        <v>786.0</v>
      </c>
      <c r="Q457" s="35">
        <v>204.0</v>
      </c>
      <c r="R457" s="32">
        <v>45861.0</v>
      </c>
      <c r="S457" s="32">
        <v>45659.0</v>
      </c>
      <c r="T457" s="29"/>
      <c r="U457" s="33"/>
      <c r="V457" s="1"/>
    </row>
    <row r="458" ht="24.0" customHeight="1">
      <c r="A458" s="1"/>
      <c r="B458" s="24" t="str">
        <f>HYPERLINK("https://www.compass.com/listing/250-east-25th-street-unit-5a-manhattan-ny-10010/1809628428240050377/view?agent_id=610d3f3370540700019b0833","250 East 25th Street, Unit 5A")</f>
        <v>250 East 25th Street, Unit 5A</v>
      </c>
      <c r="C458" s="25" t="s">
        <v>22</v>
      </c>
      <c r="D458" s="26" t="s">
        <v>23</v>
      </c>
      <c r="E458" s="26" t="s">
        <v>140</v>
      </c>
      <c r="F458" s="25" t="s">
        <v>107</v>
      </c>
      <c r="G458" s="28">
        <v>1800000.0</v>
      </c>
      <c r="H458" s="28">
        <v>2290.0</v>
      </c>
      <c r="I458" s="28">
        <v>2352.0</v>
      </c>
      <c r="J458" s="28">
        <v>16788.0</v>
      </c>
      <c r="K458" s="25" t="s">
        <v>28</v>
      </c>
      <c r="L458" s="26">
        <v>4.0</v>
      </c>
      <c r="M458" s="26">
        <v>2.0</v>
      </c>
      <c r="N458" s="26">
        <v>1.0</v>
      </c>
      <c r="O458" s="26">
        <v>0.0</v>
      </c>
      <c r="P458" s="26">
        <v>786.0</v>
      </c>
      <c r="Q458" s="35">
        <v>227.0</v>
      </c>
      <c r="R458" s="32">
        <v>45812.0</v>
      </c>
      <c r="S458" s="32">
        <v>45636.0</v>
      </c>
      <c r="T458" s="29"/>
      <c r="U458" s="33"/>
      <c r="V458" s="1"/>
    </row>
    <row r="459" ht="24.0" customHeight="1">
      <c r="A459" s="1"/>
      <c r="B459" s="24" t="str">
        <f>HYPERLINK("https://www.compass.com/listing/250-east-25th-street-unit-9e-manhattan-ny-10010/1798613564914802977/view?agent_id=610d3f3370540700019b0833","250 East 25th Street, Unit 9E")</f>
        <v>250 East 25th Street, Unit 9E</v>
      </c>
      <c r="C459" s="25" t="s">
        <v>22</v>
      </c>
      <c r="D459" s="26" t="s">
        <v>23</v>
      </c>
      <c r="E459" s="26" t="s">
        <v>140</v>
      </c>
      <c r="F459" s="25" t="s">
        <v>107</v>
      </c>
      <c r="G459" s="28">
        <v>1900000.0</v>
      </c>
      <c r="H459" s="28">
        <v>2430.0</v>
      </c>
      <c r="I459" s="28">
        <v>2340.0</v>
      </c>
      <c r="J459" s="28">
        <v>16704.0</v>
      </c>
      <c r="K459" s="25" t="s">
        <v>28</v>
      </c>
      <c r="L459" s="26">
        <v>4.0</v>
      </c>
      <c r="M459" s="26">
        <v>2.0</v>
      </c>
      <c r="N459" s="26">
        <v>1.0</v>
      </c>
      <c r="O459" s="26">
        <v>0.0</v>
      </c>
      <c r="P459" s="26">
        <v>782.0</v>
      </c>
      <c r="Q459" s="35">
        <v>262.0</v>
      </c>
      <c r="R459" s="32">
        <v>45812.0</v>
      </c>
      <c r="S459" s="32">
        <v>45601.0</v>
      </c>
      <c r="T459" s="29"/>
      <c r="U459" s="33"/>
      <c r="V459" s="1"/>
    </row>
    <row r="460" ht="24.0" customHeight="1">
      <c r="A460" s="1"/>
      <c r="B460" s="24" t="str">
        <f>HYPERLINK("https://www.compass.com/listing/305-east-24th-street-unit-12g-manhattan-ny-10010/1589053384645413713/view?agent_id=610d3f3370540700019b0833","305 East 24th Street, Unit 12G")</f>
        <v>305 East 24th Street, Unit 12G</v>
      </c>
      <c r="C460" s="25" t="s">
        <v>22</v>
      </c>
      <c r="D460" s="26" t="s">
        <v>23</v>
      </c>
      <c r="E460" s="27" t="str">
        <f>HYPERLINK("https://www.compass.com/building/new-york-towers-manhattan-ny/292797905973042645/","New York Towers")</f>
        <v>New York Towers</v>
      </c>
      <c r="F460" s="25" t="s">
        <v>107</v>
      </c>
      <c r="G460" s="28">
        <v>950000.0</v>
      </c>
      <c r="H460" s="28">
        <v>1056.0</v>
      </c>
      <c r="I460" s="28">
        <v>1851.0</v>
      </c>
      <c r="J460" s="28">
        <v>0.0</v>
      </c>
      <c r="K460" s="25" t="s">
        <v>25</v>
      </c>
      <c r="L460" s="26">
        <v>4.0</v>
      </c>
      <c r="M460" s="26">
        <v>2.0</v>
      </c>
      <c r="N460" s="26">
        <v>1.0</v>
      </c>
      <c r="O460" s="30"/>
      <c r="P460" s="26">
        <v>900.0</v>
      </c>
      <c r="Q460" s="35">
        <v>420.0</v>
      </c>
      <c r="R460" s="32">
        <v>45444.0</v>
      </c>
      <c r="S460" s="32">
        <v>45443.0</v>
      </c>
      <c r="T460" s="29"/>
      <c r="U460" s="33"/>
      <c r="V460" s="1"/>
    </row>
    <row r="461" ht="24.0" customHeight="1">
      <c r="A461" s="1"/>
      <c r="B461" s="24" t="str">
        <f>HYPERLINK("https://www.compass.com/listing/14415-78th-road-unit-2d-queens-ny-11367/1882061290173773913/view?agent_id=610d3f3370540700019b0833","14415 78th Road, Unit 2D")</f>
        <v>14415 78th Road, Unit 2D</v>
      </c>
      <c r="C461" s="25" t="s">
        <v>22</v>
      </c>
      <c r="D461" s="26" t="s">
        <v>23</v>
      </c>
      <c r="E461" s="26" t="s">
        <v>141</v>
      </c>
      <c r="F461" s="25" t="s">
        <v>142</v>
      </c>
      <c r="G461" s="28">
        <v>329000.0</v>
      </c>
      <c r="H461" s="29"/>
      <c r="I461" s="28">
        <v>1006.0</v>
      </c>
      <c r="J461" s="29"/>
      <c r="K461" s="25" t="s">
        <v>25</v>
      </c>
      <c r="L461" s="26">
        <v>4.0</v>
      </c>
      <c r="M461" s="26">
        <v>2.0</v>
      </c>
      <c r="N461" s="26">
        <v>1.0</v>
      </c>
      <c r="O461" s="30"/>
      <c r="P461" s="30"/>
      <c r="Q461" s="35">
        <v>2.0</v>
      </c>
      <c r="R461" s="32">
        <v>45861.0</v>
      </c>
      <c r="S461" s="32">
        <v>45861.0</v>
      </c>
      <c r="T461" s="29"/>
      <c r="U461" s="33"/>
      <c r="V461" s="1"/>
    </row>
    <row r="462" ht="24.0" customHeight="1">
      <c r="A462" s="1"/>
      <c r="B462" s="24" t="str">
        <f>HYPERLINK("https://www.compass.com/listing/1384-pacific-street-unit-a2-brooklyn-ny-11216/1791588491329617465/view?agent_id=610d3f3370540700019b0833","1384 Pacific Street, Unit A2")</f>
        <v>1384 Pacific Street, Unit A2</v>
      </c>
      <c r="C462" s="25" t="s">
        <v>22</v>
      </c>
      <c r="D462" s="26" t="s">
        <v>23</v>
      </c>
      <c r="E462" s="27" t="str">
        <f>HYPERLINK("https://www.compass.com/building/1384-pacific-st-brooklyn-ny-11216/293529342762290469/","1384 Pacific St")</f>
        <v>1384 Pacific St</v>
      </c>
      <c r="F462" s="25" t="s">
        <v>113</v>
      </c>
      <c r="G462" s="28">
        <v>399000.0</v>
      </c>
      <c r="H462" s="28">
        <v>484.0</v>
      </c>
      <c r="I462" s="28">
        <v>756.0</v>
      </c>
      <c r="J462" s="29"/>
      <c r="K462" s="25" t="s">
        <v>25</v>
      </c>
      <c r="L462" s="26">
        <v>4.0</v>
      </c>
      <c r="M462" s="26">
        <v>2.0</v>
      </c>
      <c r="N462" s="26">
        <v>1.0</v>
      </c>
      <c r="O462" s="30"/>
      <c r="P462" s="26">
        <v>825.0</v>
      </c>
      <c r="Q462" s="35">
        <v>140.0</v>
      </c>
      <c r="R462" s="32">
        <v>45838.0</v>
      </c>
      <c r="S462" s="32">
        <v>45723.0</v>
      </c>
      <c r="T462" s="29"/>
      <c r="U462" s="33"/>
      <c r="V462" s="1"/>
    </row>
    <row r="463" ht="24.0" customHeight="1">
      <c r="A463" s="1"/>
      <c r="B463" s="24" t="str">
        <f>HYPERLINK("https://www.compass.com/listing/400-cozine-avenue-unit-9g-brooklyn-ny-11207/1888815917151649697/view?agent_id=610d3f3370540700019b0833","400 Cozine Avenue, Unit 9G")</f>
        <v>400 Cozine Avenue, Unit 9G</v>
      </c>
      <c r="C463" s="25" t="s">
        <v>22</v>
      </c>
      <c r="D463" s="26" t="s">
        <v>23</v>
      </c>
      <c r="E463" s="27" t="str">
        <f>HYPERLINK("https://www.compass.com/building/400-cozine-ave-brooklyn-ny-11207/293531921688859445/","400 Cozine Ave")</f>
        <v>400 Cozine Ave</v>
      </c>
      <c r="F463" s="25" t="s">
        <v>85</v>
      </c>
      <c r="G463" s="28">
        <v>349000.0</v>
      </c>
      <c r="H463" s="28">
        <v>524.0</v>
      </c>
      <c r="I463" s="28">
        <v>651.0</v>
      </c>
      <c r="J463" s="28">
        <v>2415.0</v>
      </c>
      <c r="K463" s="25" t="s">
        <v>28</v>
      </c>
      <c r="L463" s="26">
        <v>4.0</v>
      </c>
      <c r="M463" s="26">
        <v>2.0</v>
      </c>
      <c r="N463" s="26">
        <v>1.0</v>
      </c>
      <c r="O463" s="26">
        <v>0.0</v>
      </c>
      <c r="P463" s="26">
        <v>666.0</v>
      </c>
      <c r="Q463" s="35">
        <v>6.0</v>
      </c>
      <c r="R463" s="32">
        <v>45863.0</v>
      </c>
      <c r="S463" s="32">
        <v>45857.0</v>
      </c>
      <c r="T463" s="29"/>
      <c r="U463" s="33"/>
      <c r="V463" s="1"/>
    </row>
    <row r="464" ht="24.0" customHeight="1">
      <c r="A464" s="1"/>
      <c r="B464" s="24" t="str">
        <f>HYPERLINK("https://www.compass.com/listing/125-ocean-avenue-unit-3j-brooklyn-ny-11225/1862817202834311513/view?agent_id=610d3f3370540700019b0833","125 Ocean Avenue, Unit 3J")</f>
        <v>125 Ocean Avenue, Unit 3J</v>
      </c>
      <c r="C464" s="25" t="s">
        <v>22</v>
      </c>
      <c r="D464" s="26" t="s">
        <v>23</v>
      </c>
      <c r="E464" s="27" t="str">
        <f>HYPERLINK("https://www.compass.com/building/125-ocean-ave-brooklyn-ny-11225/293528585447211989/","125 Ocean Ave")</f>
        <v>125 Ocean Ave</v>
      </c>
      <c r="F464" s="25" t="s">
        <v>108</v>
      </c>
      <c r="G464" s="28">
        <v>999000.0</v>
      </c>
      <c r="H464" s="28">
        <v>833.0</v>
      </c>
      <c r="I464" s="28">
        <v>1209.0</v>
      </c>
      <c r="J464" s="28">
        <v>0.0</v>
      </c>
      <c r="K464" s="25" t="s">
        <v>25</v>
      </c>
      <c r="L464" s="26">
        <v>5.0</v>
      </c>
      <c r="M464" s="26">
        <v>2.0</v>
      </c>
      <c r="N464" s="26">
        <v>1.0</v>
      </c>
      <c r="O464" s="26">
        <v>0.0</v>
      </c>
      <c r="P464" s="34">
        <v>1200.0</v>
      </c>
      <c r="Q464" s="35">
        <v>41.0</v>
      </c>
      <c r="R464" s="32">
        <v>45823.0</v>
      </c>
      <c r="S464" s="32">
        <v>45822.0</v>
      </c>
      <c r="T464" s="29"/>
      <c r="U464" s="33"/>
      <c r="V464" s="1"/>
    </row>
    <row r="465" ht="24.0" customHeight="1">
      <c r="A465" s="1"/>
      <c r="B465" s="24" t="str">
        <f>HYPERLINK("https://www.compass.com/listing/2017-pearson-street-unit-80d-brooklyn-ny-11234/1892930016878511881/view?agent_id=610d3f3370540700019b0833","2017 Pearson Street, Unit 80D")</f>
        <v>2017 Pearson Street, Unit 80D</v>
      </c>
      <c r="C465" s="25" t="s">
        <v>22</v>
      </c>
      <c r="D465" s="26" t="s">
        <v>23</v>
      </c>
      <c r="E465" s="27" t="str">
        <f>HYPERLINK("https://www.compass.com/building/2017-pearson-st-brooklyn-ny-11234/307451942514889365/","2017 Pearson St")</f>
        <v>2017 Pearson St</v>
      </c>
      <c r="F465" s="25" t="s">
        <v>143</v>
      </c>
      <c r="G465" s="28">
        <v>295000.0</v>
      </c>
      <c r="H465" s="28">
        <v>347.0</v>
      </c>
      <c r="I465" s="28">
        <v>937.0</v>
      </c>
      <c r="J465" s="29"/>
      <c r="K465" s="25" t="s">
        <v>25</v>
      </c>
      <c r="L465" s="26">
        <v>4.0</v>
      </c>
      <c r="M465" s="26">
        <v>2.0</v>
      </c>
      <c r="N465" s="26">
        <v>1.0</v>
      </c>
      <c r="O465" s="30"/>
      <c r="P465" s="26">
        <v>850.0</v>
      </c>
      <c r="Q465" s="35">
        <v>0.0</v>
      </c>
      <c r="R465" s="32">
        <v>45863.0</v>
      </c>
      <c r="S465" s="32">
        <v>45863.0</v>
      </c>
      <c r="T465" s="29"/>
      <c r="U465" s="33"/>
      <c r="V465" s="1"/>
    </row>
    <row r="466" ht="24.0" customHeight="1">
      <c r="A466" s="1"/>
      <c r="B466" s="24" t="str">
        <f>HYPERLINK("https://www.compass.com/listing/439-east-88th-street-unit-5b-manhattan-ny-10128/1845829435449555361/view?agent_id=610d3f3370540700019b0833","439 East 88th Street, Unit 5B")</f>
        <v>439 East 88th Street, Unit 5B</v>
      </c>
      <c r="C466" s="25" t="s">
        <v>22</v>
      </c>
      <c r="D466" s="26" t="s">
        <v>23</v>
      </c>
      <c r="E466" s="27" t="str">
        <f>HYPERLINK("https://www.compass.com/building/439-e-88th-st-manhattan-ny-10128/282052473819002133/","439 E 88th St")</f>
        <v>439 E 88th St</v>
      </c>
      <c r="F466" s="25" t="s">
        <v>44</v>
      </c>
      <c r="G466" s="28">
        <v>650000.0</v>
      </c>
      <c r="H466" s="28">
        <v>1008.0</v>
      </c>
      <c r="I466" s="28">
        <v>1852.0</v>
      </c>
      <c r="J466" s="28">
        <v>0.0</v>
      </c>
      <c r="K466" s="25" t="s">
        <v>25</v>
      </c>
      <c r="L466" s="26">
        <v>4.0</v>
      </c>
      <c r="M466" s="26">
        <v>2.0</v>
      </c>
      <c r="N466" s="26">
        <v>1.0</v>
      </c>
      <c r="O466" s="26">
        <v>0.0</v>
      </c>
      <c r="P466" s="26">
        <v>645.0</v>
      </c>
      <c r="Q466" s="35">
        <v>65.0</v>
      </c>
      <c r="R466" s="32">
        <v>45861.0</v>
      </c>
      <c r="S466" s="32">
        <v>45798.0</v>
      </c>
      <c r="T466" s="29"/>
      <c r="U466" s="33"/>
      <c r="V466" s="1"/>
    </row>
    <row r="467" ht="24.0" customHeight="1">
      <c r="A467" s="1"/>
      <c r="B467" s="24" t="str">
        <f>HYPERLINK("https://www.compass.com/listing/246-75-57th-drive-unit-uppr-queens-ny-11362/1888649586959777561/view?agent_id=610d3f3370540700019b0833","246-75 57th Drive, Unit UPPR")</f>
        <v>246-75 57th Drive, Unit UPPR</v>
      </c>
      <c r="C467" s="25" t="s">
        <v>22</v>
      </c>
      <c r="D467" s="26" t="s">
        <v>23</v>
      </c>
      <c r="E467" s="26" t="s">
        <v>144</v>
      </c>
      <c r="F467" s="25" t="s">
        <v>145</v>
      </c>
      <c r="G467" s="28">
        <v>418800.0</v>
      </c>
      <c r="H467" s="28">
        <v>441.0</v>
      </c>
      <c r="I467" s="28">
        <v>2547.0</v>
      </c>
      <c r="J467" s="29"/>
      <c r="K467" s="25" t="s">
        <v>25</v>
      </c>
      <c r="L467" s="26">
        <v>5.0</v>
      </c>
      <c r="M467" s="26">
        <v>2.0</v>
      </c>
      <c r="N467" s="26">
        <v>1.0</v>
      </c>
      <c r="O467" s="30"/>
      <c r="P467" s="26">
        <v>950.0</v>
      </c>
      <c r="Q467" s="35">
        <v>2.0</v>
      </c>
      <c r="R467" s="32">
        <v>45861.0</v>
      </c>
      <c r="S467" s="32">
        <v>45861.0</v>
      </c>
      <c r="T467" s="29"/>
      <c r="U467" s="33"/>
      <c r="V467" s="1"/>
    </row>
    <row r="468" ht="24.0" customHeight="1">
      <c r="A468" s="1"/>
      <c r="B468" s="24" t="str">
        <f>HYPERLINK("https://www.compass.com/listing/9-fordham-hill-ovl-unit-1h-bronx-ny-10468/1888123754608274681/view?agent_id=610d3f3370540700019b0833","9 Fordham Hill Ovl, Unit 1H")</f>
        <v>9 Fordham Hill Ovl, Unit 1H</v>
      </c>
      <c r="C468" s="25" t="s">
        <v>22</v>
      </c>
      <c r="D468" s="26" t="s">
        <v>23</v>
      </c>
      <c r="E468" s="27" t="str">
        <f>HYPERLINK("https://www.compass.com/building/9-fordham-hill-oval-bronx-ny-10468/294842156963339045/","9 Fordham Hill Oval")</f>
        <v>9 Fordham Hill Oval</v>
      </c>
      <c r="F468" s="25" t="s">
        <v>126</v>
      </c>
      <c r="G468" s="28">
        <v>255000.0</v>
      </c>
      <c r="H468" s="28">
        <v>268.0</v>
      </c>
      <c r="I468" s="28">
        <v>2732.0</v>
      </c>
      <c r="J468" s="29"/>
      <c r="K468" s="25" t="s">
        <v>25</v>
      </c>
      <c r="L468" s="26">
        <v>5.0</v>
      </c>
      <c r="M468" s="26">
        <v>2.0</v>
      </c>
      <c r="N468" s="26">
        <v>1.0</v>
      </c>
      <c r="O468" s="30"/>
      <c r="P468" s="26">
        <v>950.0</v>
      </c>
      <c r="Q468" s="35">
        <v>7.0</v>
      </c>
      <c r="R468" s="32">
        <v>45857.0</v>
      </c>
      <c r="S468" s="32">
        <v>45856.0</v>
      </c>
      <c r="T468" s="29"/>
      <c r="U468" s="33"/>
      <c r="V468" s="1"/>
    </row>
    <row r="469" ht="24.0" customHeight="1">
      <c r="A469" s="1"/>
      <c r="B469" s="24" t="str">
        <f>HYPERLINK("https://www.compass.com/listing/200-east-66th-street-unit-b1702-manhattan-ny-10065/1842164252696058961/view?agent_id=610d3f3370540700019b0833","200 East 66th Street, Unit B1702")</f>
        <v>200 East 66th Street, Unit B1702</v>
      </c>
      <c r="C469" s="25" t="s">
        <v>22</v>
      </c>
      <c r="D469" s="26" t="s">
        <v>23</v>
      </c>
      <c r="E469" s="27" t="str">
        <f>HYPERLINK("https://www.compass.com/building/manhattan-house-manhattan-ny/282037560954341381/","Manhattan House")</f>
        <v>Manhattan House</v>
      </c>
      <c r="F469" s="25" t="s">
        <v>64</v>
      </c>
      <c r="G469" s="28">
        <v>1650000.0</v>
      </c>
      <c r="H469" s="28">
        <v>1481.0</v>
      </c>
      <c r="I469" s="28">
        <v>3179.0</v>
      </c>
      <c r="J469" s="28">
        <v>17928.0</v>
      </c>
      <c r="K469" s="25" t="s">
        <v>28</v>
      </c>
      <c r="L469" s="26">
        <v>4.0</v>
      </c>
      <c r="M469" s="26">
        <v>2.0</v>
      </c>
      <c r="N469" s="26">
        <v>1.0</v>
      </c>
      <c r="O469" s="26">
        <v>0.0</v>
      </c>
      <c r="P469" s="34">
        <v>1114.0</v>
      </c>
      <c r="Q469" s="35">
        <v>70.0</v>
      </c>
      <c r="R469" s="32">
        <v>45861.0</v>
      </c>
      <c r="S469" s="32">
        <v>45793.0</v>
      </c>
      <c r="T469" s="29"/>
      <c r="U469" s="33"/>
      <c r="V469" s="1"/>
    </row>
    <row r="470" ht="24.0" customHeight="1">
      <c r="A470" s="1"/>
      <c r="B470" s="24" t="str">
        <f>HYPERLINK("https://www.compass.com/listing/139-15-83rd-avenue-unit-629-queens-ny-11435/1883377488615106113/view?agent_id=610d3f3370540700019b0833","139-15 83rd Avenue, Unit 629")</f>
        <v>139-15 83rd Avenue, Unit 629</v>
      </c>
      <c r="C470" s="25" t="s">
        <v>22</v>
      </c>
      <c r="D470" s="26" t="s">
        <v>23</v>
      </c>
      <c r="E470" s="27" t="str">
        <f>HYPERLINK("https://www.compass.com/building/139-15-83rd-ave-queens-ny-11435/293531355952770837/","139-15 83rd Ave")</f>
        <v>139-15 83rd Ave</v>
      </c>
      <c r="F470" s="25" t="s">
        <v>146</v>
      </c>
      <c r="G470" s="28">
        <v>309000.0</v>
      </c>
      <c r="H470" s="28">
        <v>317.0</v>
      </c>
      <c r="I470" s="28">
        <v>2172.0</v>
      </c>
      <c r="J470" s="29"/>
      <c r="K470" s="25" t="s">
        <v>25</v>
      </c>
      <c r="L470" s="26">
        <v>4.0</v>
      </c>
      <c r="M470" s="26">
        <v>2.0</v>
      </c>
      <c r="N470" s="26">
        <v>1.0</v>
      </c>
      <c r="O470" s="30"/>
      <c r="P470" s="26">
        <v>975.0</v>
      </c>
      <c r="Q470" s="35">
        <v>13.0</v>
      </c>
      <c r="R470" s="32">
        <v>45851.0</v>
      </c>
      <c r="S470" s="32">
        <v>45850.0</v>
      </c>
      <c r="T470" s="29"/>
      <c r="U470" s="33"/>
      <c r="V470" s="1"/>
    </row>
    <row r="471" ht="24.0" customHeight="1">
      <c r="A471" s="1"/>
      <c r="B471" s="24" t="str">
        <f>HYPERLINK("https://www.compass.com/listing/511-west-232nd-street-unit-e56-bronx-ny-10463/1885840531656224473/view?agent_id=610d3f3370540700019b0833","511 West 232nd Street, Unit E56")</f>
        <v>511 West 232nd Street, Unit E56</v>
      </c>
      <c r="C471" s="25" t="s">
        <v>22</v>
      </c>
      <c r="D471" s="26" t="s">
        <v>23</v>
      </c>
      <c r="E471" s="27" t="str">
        <f>HYPERLINK("https://www.compass.com/building/511-w-232nd-st-bronx-ny-10463/293532400124788869/","511 W 232nd St")</f>
        <v>511 W 232nd St</v>
      </c>
      <c r="F471" s="25" t="s">
        <v>84</v>
      </c>
      <c r="G471" s="28">
        <v>338000.0</v>
      </c>
      <c r="H471" s="29"/>
      <c r="I471" s="28">
        <v>1207.0</v>
      </c>
      <c r="J471" s="29"/>
      <c r="K471" s="25" t="s">
        <v>25</v>
      </c>
      <c r="L471" s="26">
        <v>6.0</v>
      </c>
      <c r="M471" s="26">
        <v>2.0</v>
      </c>
      <c r="N471" s="26">
        <v>1.0</v>
      </c>
      <c r="O471" s="30"/>
      <c r="P471" s="30"/>
      <c r="Q471" s="35">
        <v>9.0</v>
      </c>
      <c r="R471" s="32">
        <v>45861.0</v>
      </c>
      <c r="S471" s="32">
        <v>45853.0</v>
      </c>
      <c r="T471" s="29"/>
      <c r="U471" s="33"/>
      <c r="V471" s="1"/>
    </row>
    <row r="472" ht="24.0" customHeight="1">
      <c r="A472" s="1"/>
      <c r="B472" s="24" t="str">
        <f>HYPERLINK("https://www.compass.com/listing/2107-wallace-avenue-unit-4g-bronx-ny-10462/1844904245302783241/view?agent_id=610d3f3370540700019b0833","2107 Wallace Avenue, Unit 4G")</f>
        <v>2107 Wallace Avenue, Unit 4G</v>
      </c>
      <c r="C472" s="25" t="s">
        <v>22</v>
      </c>
      <c r="D472" s="26" t="s">
        <v>23</v>
      </c>
      <c r="E472" s="27" t="str">
        <f>HYPERLINK("https://www.compass.com/building/2107-wallace-ave-bronx-ny-10462/294838066032118213/","2107 Wallace Ave")</f>
        <v>2107 Wallace Ave</v>
      </c>
      <c r="F472" s="25" t="s">
        <v>147</v>
      </c>
      <c r="G472" s="28">
        <v>285000.0</v>
      </c>
      <c r="H472" s="28">
        <v>291.0</v>
      </c>
      <c r="I472" s="28">
        <v>1009.0</v>
      </c>
      <c r="J472" s="29"/>
      <c r="K472" s="25" t="s">
        <v>25</v>
      </c>
      <c r="L472" s="26">
        <v>4.0</v>
      </c>
      <c r="M472" s="26">
        <v>2.0</v>
      </c>
      <c r="N472" s="26">
        <v>1.0</v>
      </c>
      <c r="O472" s="30"/>
      <c r="P472" s="26">
        <v>980.0</v>
      </c>
      <c r="Q472" s="35">
        <v>15.0</v>
      </c>
      <c r="R472" s="32">
        <v>45849.0</v>
      </c>
      <c r="S472" s="32">
        <v>45848.0</v>
      </c>
      <c r="T472" s="29"/>
      <c r="U472" s="33"/>
      <c r="V472" s="1"/>
    </row>
    <row r="473" ht="24.0" customHeight="1">
      <c r="A473" s="1"/>
      <c r="B473" s="24" t="str">
        <f>HYPERLINK("https://www.compass.com/listing/437-west-43rd-street-unit-1-manhattan-ny-10036/1591514079614625489/view?agent_id=610d3f3370540700019b0833","437 West 43rd Street, Unit 1")</f>
        <v>437 West 43rd Street, Unit 1</v>
      </c>
      <c r="C473" s="25" t="s">
        <v>22</v>
      </c>
      <c r="D473" s="26" t="s">
        <v>23</v>
      </c>
      <c r="E473" s="27" t="str">
        <f>HYPERLINK("https://www.compass.com/building/437-w-43rd-st-manhattan-ny-10036/282025217897801893/","437 W 43rd St")</f>
        <v>437 W 43rd St</v>
      </c>
      <c r="F473" s="25" t="s">
        <v>47</v>
      </c>
      <c r="G473" s="28">
        <v>615000.0</v>
      </c>
      <c r="H473" s="28">
        <v>973.0</v>
      </c>
      <c r="I473" s="28">
        <v>2672.0</v>
      </c>
      <c r="J473" s="28">
        <v>14461.0</v>
      </c>
      <c r="K473" s="25" t="s">
        <v>28</v>
      </c>
      <c r="L473" s="26">
        <v>2.0</v>
      </c>
      <c r="M473" s="26">
        <v>2.0</v>
      </c>
      <c r="N473" s="26">
        <v>1.0</v>
      </c>
      <c r="O473" s="30"/>
      <c r="P473" s="26">
        <v>632.0</v>
      </c>
      <c r="Q473" s="35">
        <v>404.0</v>
      </c>
      <c r="R473" s="32">
        <v>45822.0</v>
      </c>
      <c r="S473" s="32">
        <v>45447.0</v>
      </c>
      <c r="T473" s="29"/>
      <c r="U473" s="33"/>
      <c r="V473" s="1"/>
    </row>
    <row r="474" ht="24.0" customHeight="1">
      <c r="A474" s="1"/>
      <c r="B474" s="24" t="str">
        <f>HYPERLINK("https://www.compass.com/listing/143-25-84th-drive-unit-2g-queens-ny-11435/1881367479823387681/view?agent_id=610d3f3370540700019b0833","143-25 84th Drive, Unit 2G")</f>
        <v>143-25 84th Drive, Unit 2G</v>
      </c>
      <c r="C474" s="25" t="s">
        <v>22</v>
      </c>
      <c r="D474" s="26" t="s">
        <v>23</v>
      </c>
      <c r="E474" s="27" t="str">
        <f>HYPERLINK("https://www.compass.com/building/143-25-84th-dr-queens-ny-11435/293528709388949445/","143-25 84th Dr")</f>
        <v>143-25 84th Dr</v>
      </c>
      <c r="F474" s="25" t="s">
        <v>146</v>
      </c>
      <c r="G474" s="28">
        <v>299999.0</v>
      </c>
      <c r="H474" s="28">
        <v>333.0</v>
      </c>
      <c r="I474" s="28">
        <v>932.0</v>
      </c>
      <c r="J474" s="29"/>
      <c r="K474" s="25" t="s">
        <v>25</v>
      </c>
      <c r="L474" s="26">
        <v>5.0</v>
      </c>
      <c r="M474" s="26">
        <v>2.0</v>
      </c>
      <c r="N474" s="26">
        <v>1.0</v>
      </c>
      <c r="O474" s="30"/>
      <c r="P474" s="26">
        <v>900.0</v>
      </c>
      <c r="Q474" s="35">
        <v>11.0</v>
      </c>
      <c r="R474" s="32">
        <v>45852.0</v>
      </c>
      <c r="S474" s="32">
        <v>45852.0</v>
      </c>
      <c r="T474" s="29"/>
      <c r="U474" s="33"/>
      <c r="V474" s="1"/>
    </row>
    <row r="475" ht="24.0" customHeight="1">
      <c r="A475" s="1"/>
      <c r="B475" s="24" t="str">
        <f>HYPERLINK("https://www.compass.com/listing/2200-east-tremont-avenue-unit-5a-bronx-ny-10462/1888588027109514393/view?agent_id=610d3f3370540700019b0833","2200 East Tremont Avenue, Unit 5A")</f>
        <v>2200 East Tremont Avenue, Unit 5A</v>
      </c>
      <c r="C475" s="25" t="s">
        <v>22</v>
      </c>
      <c r="D475" s="26" t="s">
        <v>23</v>
      </c>
      <c r="E475" s="27" t="str">
        <f>HYPERLINK("https://www.compass.com/building/2200-e-tremont-ave-bronx-ny-10462/307459071103846933/","2200 E Tremont Ave")</f>
        <v>2200 E Tremont Ave</v>
      </c>
      <c r="F475" s="25" t="s">
        <v>129</v>
      </c>
      <c r="G475" s="28">
        <v>279000.0</v>
      </c>
      <c r="H475" s="28">
        <v>302.0</v>
      </c>
      <c r="I475" s="28">
        <v>1059.0</v>
      </c>
      <c r="J475" s="28">
        <v>1717.0</v>
      </c>
      <c r="K475" s="25" t="s">
        <v>28</v>
      </c>
      <c r="L475" s="26">
        <v>5.0</v>
      </c>
      <c r="M475" s="26">
        <v>2.0</v>
      </c>
      <c r="N475" s="26">
        <v>1.0</v>
      </c>
      <c r="O475" s="30"/>
      <c r="P475" s="26">
        <v>925.0</v>
      </c>
      <c r="Q475" s="35">
        <v>6.0</v>
      </c>
      <c r="R475" s="32">
        <v>45863.0</v>
      </c>
      <c r="S475" s="32">
        <v>45857.0</v>
      </c>
      <c r="T475" s="29"/>
      <c r="U475" s="33"/>
      <c r="V475" s="1"/>
    </row>
    <row r="476" ht="24.0" customHeight="1">
      <c r="A476" s="1"/>
      <c r="B476" s="24" t="str">
        <f>HYPERLINK("https://www.compass.com/listing/140-21-burden-crescent-unit-107-queens-ny-11435/1852846376740520505/view?agent_id=610d3f3370540700019b0833","140-21 Burden Crescent, Unit 107")</f>
        <v>140-21 Burden Crescent, Unit 107</v>
      </c>
      <c r="C476" s="25" t="s">
        <v>22</v>
      </c>
      <c r="D476" s="26" t="s">
        <v>23</v>
      </c>
      <c r="E476" s="27" t="str">
        <f>HYPERLINK("https://www.compass.com/building/140-21-burden-cres-queens-ny-11435/294845487240460197/","140-21 Burden Cres")</f>
        <v>140-21 Burden Cres</v>
      </c>
      <c r="F476" s="25" t="s">
        <v>146</v>
      </c>
      <c r="G476" s="28">
        <v>260000.0</v>
      </c>
      <c r="H476" s="28">
        <v>217.0</v>
      </c>
      <c r="I476" s="28">
        <v>1214.0</v>
      </c>
      <c r="J476" s="29"/>
      <c r="K476" s="25" t="s">
        <v>25</v>
      </c>
      <c r="L476" s="26">
        <v>5.0</v>
      </c>
      <c r="M476" s="26">
        <v>2.0</v>
      </c>
      <c r="N476" s="26">
        <v>1.0</v>
      </c>
      <c r="O476" s="30"/>
      <c r="P476" s="34">
        <v>1200.0</v>
      </c>
      <c r="Q476" s="35">
        <v>2.0</v>
      </c>
      <c r="R476" s="32">
        <v>45862.0</v>
      </c>
      <c r="S476" s="32">
        <v>45861.0</v>
      </c>
      <c r="T476" s="29"/>
      <c r="U476" s="33"/>
      <c r="V476" s="1"/>
    </row>
    <row r="477" ht="24.0" customHeight="1">
      <c r="A477" s="1"/>
      <c r="B477" s="24" t="str">
        <f>HYPERLINK("https://www.compass.com/listing/33-34-crescent-street-unit-8a-queens-ny-11106/1880295170655383657/view?agent_id=610d3f3370540700019b0833","33-34 Crescent Street, Unit 8A")</f>
        <v>33-34 Crescent Street, Unit 8A</v>
      </c>
      <c r="C477" s="25" t="s">
        <v>22</v>
      </c>
      <c r="D477" s="26" t="s">
        <v>23</v>
      </c>
      <c r="E477" s="27" t="str">
        <f>HYPERLINK("https://www.compass.com/building/queensview-queens-ny/293533012384107093/","Queensview")</f>
        <v>Queensview</v>
      </c>
      <c r="F477" s="25" t="s">
        <v>68</v>
      </c>
      <c r="G477" s="28">
        <v>545000.0</v>
      </c>
      <c r="H477" s="28">
        <v>641.0</v>
      </c>
      <c r="I477" s="28">
        <v>1092.0</v>
      </c>
      <c r="J477" s="28">
        <v>0.0</v>
      </c>
      <c r="K477" s="25" t="s">
        <v>25</v>
      </c>
      <c r="L477" s="26">
        <v>4.0</v>
      </c>
      <c r="M477" s="26">
        <v>2.0</v>
      </c>
      <c r="N477" s="26">
        <v>1.0</v>
      </c>
      <c r="O477" s="30"/>
      <c r="P477" s="26">
        <v>850.0</v>
      </c>
      <c r="Q477" s="35">
        <v>18.0</v>
      </c>
      <c r="R477" s="32">
        <v>45846.0</v>
      </c>
      <c r="S477" s="32">
        <v>45845.0</v>
      </c>
      <c r="T477" s="29"/>
      <c r="U477" s="33"/>
      <c r="V477" s="1"/>
    </row>
    <row r="478" ht="24.0" customHeight="1">
      <c r="A478" s="1"/>
      <c r="B478" s="24" t="str">
        <f>HYPERLINK("https://www.compass.com/listing/2-south-end-avenue-unit-9h-manhattan-ny-10280/1810093308190170889/view?agent_id=610d3f3370540700019b0833","2 South End Avenue, Unit 9H")</f>
        <v>2 South End Avenue, Unit 9H</v>
      </c>
      <c r="C478" s="25" t="s">
        <v>22</v>
      </c>
      <c r="D478" s="26" t="s">
        <v>23</v>
      </c>
      <c r="E478" s="27" t="str">
        <f>HYPERLINK("https://www.compass.com/building/the-cove-club-manhattan-ny/282053923898945349/","The Cove Club")</f>
        <v>The Cove Club</v>
      </c>
      <c r="F478" s="25" t="s">
        <v>103</v>
      </c>
      <c r="G478" s="28">
        <v>699999.0</v>
      </c>
      <c r="H478" s="28">
        <v>790.0</v>
      </c>
      <c r="I478" s="28">
        <v>4333.0</v>
      </c>
      <c r="J478" s="28">
        <v>20285.0</v>
      </c>
      <c r="K478" s="25" t="s">
        <v>28</v>
      </c>
      <c r="L478" s="26">
        <v>5.0</v>
      </c>
      <c r="M478" s="26">
        <v>2.0</v>
      </c>
      <c r="N478" s="26">
        <v>1.0</v>
      </c>
      <c r="O478" s="26">
        <v>0.0</v>
      </c>
      <c r="P478" s="26">
        <v>886.0</v>
      </c>
      <c r="Q478" s="35">
        <v>114.0</v>
      </c>
      <c r="R478" s="32">
        <v>45764.0</v>
      </c>
      <c r="S478" s="32">
        <v>45749.0</v>
      </c>
      <c r="T478" s="29"/>
      <c r="U478" s="33"/>
      <c r="V478" s="1"/>
    </row>
    <row r="479" ht="24.0" customHeight="1">
      <c r="A479" s="1"/>
      <c r="B479" s="24" t="str">
        <f>HYPERLINK("https://www.compass.com/listing/69-51-136th-street-unit-2a-queens-ny-11367/1892484210052346041/view?agent_id=610d3f3370540700019b0833","69-51 136th Street, Unit 2A")</f>
        <v>69-51 136th Street, Unit 2A</v>
      </c>
      <c r="C479" s="25" t="s">
        <v>22</v>
      </c>
      <c r="D479" s="26" t="s">
        <v>23</v>
      </c>
      <c r="E479" s="27" t="str">
        <f>HYPERLINK("https://www.compass.com/building/69-51-136th-st-queens-ny-11367/293534270641749029/","69-51 136th St")</f>
        <v>69-51 136th St</v>
      </c>
      <c r="F479" s="25" t="s">
        <v>142</v>
      </c>
      <c r="G479" s="28">
        <v>379000.0</v>
      </c>
      <c r="H479" s="28">
        <v>421.0</v>
      </c>
      <c r="I479" s="28">
        <v>868.0</v>
      </c>
      <c r="J479" s="29"/>
      <c r="K479" s="25" t="s">
        <v>25</v>
      </c>
      <c r="L479" s="26">
        <v>5.0</v>
      </c>
      <c r="M479" s="26">
        <v>2.0</v>
      </c>
      <c r="N479" s="26">
        <v>1.0</v>
      </c>
      <c r="O479" s="30"/>
      <c r="P479" s="26">
        <v>900.0</v>
      </c>
      <c r="Q479" s="35">
        <v>1.0</v>
      </c>
      <c r="R479" s="32">
        <v>45863.0</v>
      </c>
      <c r="S479" s="32">
        <v>45862.0</v>
      </c>
      <c r="T479" s="29"/>
      <c r="U479" s="33"/>
      <c r="V479" s="1"/>
    </row>
    <row r="480" ht="24.0" customHeight="1">
      <c r="A480" s="1"/>
      <c r="B480" s="24" t="str">
        <f>HYPERLINK("https://www.compass.com/listing/301-east-45th-street-unit-10b-manhattan-ny-10017/1855193620273565449/view?agent_id=610d3f3370540700019b0833","301 East 45th Street, Unit 10B")</f>
        <v>301 East 45th Street, Unit 10B</v>
      </c>
      <c r="C480" s="25" t="s">
        <v>22</v>
      </c>
      <c r="D480" s="26" t="s">
        <v>23</v>
      </c>
      <c r="E480" s="27" t="str">
        <f>HYPERLINK("https://www.compass.com/building/the-delegate-manhattan-ny/281942134112706965/","The Delegate")</f>
        <v>The Delegate</v>
      </c>
      <c r="F480" s="25" t="s">
        <v>66</v>
      </c>
      <c r="G480" s="28">
        <v>850000.0</v>
      </c>
      <c r="H480" s="28">
        <v>1121.0</v>
      </c>
      <c r="I480" s="28">
        <v>2224.0</v>
      </c>
      <c r="J480" s="28">
        <v>11040.0</v>
      </c>
      <c r="K480" s="25" t="s">
        <v>28</v>
      </c>
      <c r="L480" s="26">
        <v>4.0</v>
      </c>
      <c r="M480" s="26">
        <v>2.0</v>
      </c>
      <c r="N480" s="26">
        <v>1.0</v>
      </c>
      <c r="O480" s="26">
        <v>0.0</v>
      </c>
      <c r="P480" s="26">
        <v>758.0</v>
      </c>
      <c r="Q480" s="35">
        <v>52.0</v>
      </c>
      <c r="R480" s="32">
        <v>45823.0</v>
      </c>
      <c r="S480" s="32">
        <v>45811.0</v>
      </c>
      <c r="T480" s="29"/>
      <c r="U480" s="33"/>
      <c r="V480" s="1"/>
    </row>
    <row r="481" ht="24.0" customHeight="1">
      <c r="A481" s="1"/>
      <c r="B481" s="24" t="str">
        <f>HYPERLINK("https://www.compass.com/listing/543-west-160th-street-manhattan-ny-10032/1871909817702036025/view?agent_id=610d3f3370540700019b0833","543 West 160th Street")</f>
        <v>543 West 160th Street</v>
      </c>
      <c r="C481" s="25" t="s">
        <v>22</v>
      </c>
      <c r="D481" s="26" t="s">
        <v>23</v>
      </c>
      <c r="E481" s="27" t="str">
        <f>HYPERLINK("https://www.compass.com/building/543-w-160th-st-manhattan-ny-10032/282007525577062357/","543 W 160th St")</f>
        <v>543 W 160th St</v>
      </c>
      <c r="F481" s="25" t="s">
        <v>77</v>
      </c>
      <c r="G481" s="28">
        <v>365000.0</v>
      </c>
      <c r="H481" s="29"/>
      <c r="I481" s="28">
        <v>3353.0</v>
      </c>
      <c r="J481" s="28">
        <v>31600.0</v>
      </c>
      <c r="K481" s="25" t="s">
        <v>28</v>
      </c>
      <c r="L481" s="26">
        <v>2.0</v>
      </c>
      <c r="M481" s="26">
        <v>2.0</v>
      </c>
      <c r="N481" s="26">
        <v>1.0</v>
      </c>
      <c r="O481" s="30"/>
      <c r="P481" s="30"/>
      <c r="Q481" s="35">
        <v>29.0</v>
      </c>
      <c r="R481" s="32">
        <v>45862.0</v>
      </c>
      <c r="S481" s="32">
        <v>45834.0</v>
      </c>
      <c r="T481" s="29"/>
      <c r="U481" s="33"/>
      <c r="V481" s="1"/>
    </row>
    <row r="482" ht="24.0" customHeight="1">
      <c r="A482" s="1"/>
      <c r="B482" s="24" t="str">
        <f>HYPERLINK("https://www.compass.com/listing/1633-tenbroeck-avenue-bronx-ny-10461/1890143785479501329/view?agent_id=610d3f3370540700019b0833","1633 Tenbroeck Avenue")</f>
        <v>1633 Tenbroeck Avenue</v>
      </c>
      <c r="C482" s="25" t="s">
        <v>22</v>
      </c>
      <c r="D482" s="26" t="s">
        <v>23</v>
      </c>
      <c r="E482" s="27" t="str">
        <f>HYPERLINK("https://www.compass.com/building/1633-tenbroeck-ave-bronx-ny-10461/293531754495573301/","1633 Tenbroeck Ave")</f>
        <v>1633 Tenbroeck Ave</v>
      </c>
      <c r="F482" s="25" t="s">
        <v>148</v>
      </c>
      <c r="G482" s="28">
        <v>675000.0</v>
      </c>
      <c r="H482" s="28">
        <v>446.0</v>
      </c>
      <c r="I482" s="28">
        <v>461.0</v>
      </c>
      <c r="J482" s="28">
        <v>5536.0</v>
      </c>
      <c r="K482" s="25" t="s">
        <v>149</v>
      </c>
      <c r="L482" s="30"/>
      <c r="M482" s="26">
        <v>2.0</v>
      </c>
      <c r="N482" s="26">
        <v>1.0</v>
      </c>
      <c r="O482" s="30"/>
      <c r="P482" s="34">
        <v>1512.0</v>
      </c>
      <c r="Q482" s="35">
        <v>4.0</v>
      </c>
      <c r="R482" s="32">
        <v>45862.0</v>
      </c>
      <c r="S482" s="32">
        <v>45859.0</v>
      </c>
      <c r="T482" s="29"/>
      <c r="U482" s="33"/>
      <c r="V482" s="1"/>
    </row>
    <row r="483" ht="24.0" customHeight="1">
      <c r="A483" s="1"/>
      <c r="B483" s="24" t="str">
        <f>HYPERLINK("https://www.compass.com/listing/310-east-46th-street-unit-4l-manhattan-ny-10017/1866298709801389833/view?agent_id=610d3f3370540700019b0833","310 East 46th Street, Unit 4L")</f>
        <v>310 East 46th Street, Unit 4L</v>
      </c>
      <c r="C483" s="25" t="s">
        <v>22</v>
      </c>
      <c r="D483" s="26" t="s">
        <v>23</v>
      </c>
      <c r="E483" s="27" t="str">
        <f>HYPERLINK("https://www.compass.com/building/turtle-bay-towers-manhattan-ny/292843173577817381/","Turtle Bay Towers")</f>
        <v>Turtle Bay Towers</v>
      </c>
      <c r="F483" s="25" t="s">
        <v>66</v>
      </c>
      <c r="G483" s="28">
        <v>1100000.0</v>
      </c>
      <c r="H483" s="29"/>
      <c r="I483" s="28">
        <v>2236.0</v>
      </c>
      <c r="J483" s="28">
        <v>0.0</v>
      </c>
      <c r="K483" s="25" t="s">
        <v>110</v>
      </c>
      <c r="L483" s="26">
        <v>4.0</v>
      </c>
      <c r="M483" s="26">
        <v>2.0</v>
      </c>
      <c r="N483" s="26">
        <v>1.0</v>
      </c>
      <c r="O483" s="26">
        <v>0.0</v>
      </c>
      <c r="P483" s="30"/>
      <c r="Q483" s="35">
        <v>37.0</v>
      </c>
      <c r="R483" s="32">
        <v>45858.0</v>
      </c>
      <c r="S483" s="32">
        <v>45826.0</v>
      </c>
      <c r="T483" s="29"/>
      <c r="U483" s="33"/>
      <c r="V483" s="1"/>
    </row>
    <row r="484" ht="24.0" customHeight="1">
      <c r="A484" s="1"/>
      <c r="B484" s="24" t="str">
        <f>HYPERLINK("https://www.compass.com/listing/420-east-55th-street-unit-9r-manhattan-ny-10022/1865467494226930465/view?agent_id=610d3f3370540700019b0833","420 East 55th Street, Unit 9R")</f>
        <v>420 East 55th Street, Unit 9R</v>
      </c>
      <c r="C484" s="25" t="s">
        <v>22</v>
      </c>
      <c r="D484" s="26" t="s">
        <v>23</v>
      </c>
      <c r="E484" s="27" t="str">
        <f>HYPERLINK("https://www.compass.com/building/420-e-55th-st-manhattan-ny-10022/292858555877370357/","420 E 55th St")</f>
        <v>420 E 55th St</v>
      </c>
      <c r="F484" s="25" t="s">
        <v>73</v>
      </c>
      <c r="G484" s="28">
        <v>750000.0</v>
      </c>
      <c r="H484" s="29"/>
      <c r="I484" s="28">
        <v>1950.0</v>
      </c>
      <c r="J484" s="28">
        <v>0.0</v>
      </c>
      <c r="K484" s="25" t="s">
        <v>25</v>
      </c>
      <c r="L484" s="26">
        <v>4.0</v>
      </c>
      <c r="M484" s="26">
        <v>2.0</v>
      </c>
      <c r="N484" s="26">
        <v>1.0</v>
      </c>
      <c r="O484" s="26">
        <v>0.0</v>
      </c>
      <c r="P484" s="30"/>
      <c r="Q484" s="35">
        <v>38.0</v>
      </c>
      <c r="R484" s="32">
        <v>45825.0</v>
      </c>
      <c r="S484" s="32">
        <v>45825.0</v>
      </c>
      <c r="T484" s="29"/>
      <c r="U484" s="33"/>
      <c r="V484" s="1"/>
    </row>
    <row r="485" ht="24.0" customHeight="1">
      <c r="A485" s="1"/>
      <c r="B485" s="24" t="str">
        <f>HYPERLINK("https://www.compass.com/listing/78-31-147th-street-unit-3j-queens-ny-11367/1886798639732280217/view?agent_id=610d3f3370540700019b0833","78-31 147th Street, Unit 3J")</f>
        <v>78-31 147th Street, Unit 3J</v>
      </c>
      <c r="C485" s="25" t="s">
        <v>22</v>
      </c>
      <c r="D485" s="26" t="s">
        <v>23</v>
      </c>
      <c r="E485" s="27" t="str">
        <f>HYPERLINK("https://www.compass.com/building/78-31-147th-st-queens-ny-11367/293535504614350965/","78-31 147th St")</f>
        <v>78-31 147th St</v>
      </c>
      <c r="F485" s="25" t="s">
        <v>142</v>
      </c>
      <c r="G485" s="28">
        <v>315000.0</v>
      </c>
      <c r="H485" s="28">
        <v>315.0</v>
      </c>
      <c r="I485" s="28">
        <v>1006.0</v>
      </c>
      <c r="J485" s="28">
        <v>0.0</v>
      </c>
      <c r="K485" s="25" t="s">
        <v>25</v>
      </c>
      <c r="L485" s="26">
        <v>4.0</v>
      </c>
      <c r="M485" s="26">
        <v>2.0</v>
      </c>
      <c r="N485" s="26">
        <v>1.0</v>
      </c>
      <c r="O485" s="30"/>
      <c r="P485" s="34">
        <v>1000.0</v>
      </c>
      <c r="Q485" s="35">
        <v>9.0</v>
      </c>
      <c r="R485" s="32">
        <v>45855.0</v>
      </c>
      <c r="S485" s="32">
        <v>45854.0</v>
      </c>
      <c r="T485" s="29"/>
      <c r="U485" s="33"/>
      <c r="V485" s="1"/>
    </row>
    <row r="486" ht="24.0" customHeight="1">
      <c r="A486" s="1"/>
      <c r="B486" s="24" t="str">
        <f>HYPERLINK("https://www.compass.com/listing/12399-flatlands-avenue-unit-9l-brooklyn-ny-11207/1887451804030853569/view?agent_id=610d3f3370540700019b0833","12399 Flatlands Avenue, Unit 9L")</f>
        <v>12399 Flatlands Avenue, Unit 9L</v>
      </c>
      <c r="C486" s="25" t="s">
        <v>22</v>
      </c>
      <c r="D486" s="26" t="s">
        <v>23</v>
      </c>
      <c r="E486" s="27" t="str">
        <f>HYPERLINK("https://www.compass.com/building/meadowwood-at-gateway-brooklyn-ny/294841805430184405/","Meadowwood at Gateway")</f>
        <v>Meadowwood at Gateway</v>
      </c>
      <c r="F486" s="25" t="s">
        <v>85</v>
      </c>
      <c r="G486" s="28">
        <v>359000.0</v>
      </c>
      <c r="H486" s="28">
        <v>444.0</v>
      </c>
      <c r="I486" s="28">
        <v>650.0</v>
      </c>
      <c r="J486" s="28">
        <v>1.0</v>
      </c>
      <c r="K486" s="25" t="s">
        <v>28</v>
      </c>
      <c r="L486" s="26">
        <v>4.0</v>
      </c>
      <c r="M486" s="26">
        <v>2.0</v>
      </c>
      <c r="N486" s="26">
        <v>1.0</v>
      </c>
      <c r="O486" s="26">
        <v>0.0</v>
      </c>
      <c r="P486" s="26">
        <v>808.0</v>
      </c>
      <c r="Q486" s="35">
        <v>8.0</v>
      </c>
      <c r="R486" s="32">
        <v>45863.0</v>
      </c>
      <c r="S486" s="32">
        <v>45855.0</v>
      </c>
      <c r="T486" s="29"/>
      <c r="U486" s="33"/>
      <c r="V486" s="1"/>
    </row>
    <row r="487" ht="24.0" customHeight="1">
      <c r="A487" s="1"/>
      <c r="B487" s="24" t="str">
        <f>HYPERLINK("https://www.compass.com/listing/4-bogardus-place-unit-3d-manhattan-ny-10040/1881707304682258529/view?agent_id=610d3f3370540700019b0833","4 Bogardus Place, Unit 3D")</f>
        <v>4 Bogardus Place, Unit 3D</v>
      </c>
      <c r="C487" s="25" t="s">
        <v>22</v>
      </c>
      <c r="D487" s="26" t="s">
        <v>23</v>
      </c>
      <c r="E487" s="27" t="str">
        <f>HYPERLINK("https://www.compass.com/building/4-bogardus-pl-manhattan-ny-10040/282033577263119381/","4 Bogardus Pl")</f>
        <v>4 Bogardus Pl</v>
      </c>
      <c r="F487" s="25" t="s">
        <v>77</v>
      </c>
      <c r="G487" s="28">
        <v>489000.0</v>
      </c>
      <c r="H487" s="29"/>
      <c r="I487" s="28">
        <v>1332.0</v>
      </c>
      <c r="J487" s="28">
        <v>0.0</v>
      </c>
      <c r="K487" s="25" t="s">
        <v>25</v>
      </c>
      <c r="L487" s="26">
        <v>5.0</v>
      </c>
      <c r="M487" s="26">
        <v>2.0</v>
      </c>
      <c r="N487" s="26">
        <v>1.0</v>
      </c>
      <c r="O487" s="26">
        <v>0.0</v>
      </c>
      <c r="P487" s="30"/>
      <c r="Q487" s="35">
        <v>16.0</v>
      </c>
      <c r="R487" s="32">
        <v>45863.0</v>
      </c>
      <c r="S487" s="32">
        <v>45847.0</v>
      </c>
      <c r="T487" s="29"/>
      <c r="U487" s="33"/>
      <c r="V487" s="1"/>
    </row>
    <row r="488" ht="24.0" customHeight="1">
      <c r="A488" s="1"/>
      <c r="B488" s="24" t="str">
        <f>HYPERLINK("https://www.compass.com/listing/1898-longfellow-avenue-unit-e4-bronx-ny-10460/1845101668960865777/view?agent_id=610d3f3370540700019b0833","1898 Longfellow Avenue, Unit E4")</f>
        <v>1898 Longfellow Avenue, Unit E4</v>
      </c>
      <c r="C488" s="25" t="s">
        <v>22</v>
      </c>
      <c r="D488" s="26" t="s">
        <v>23</v>
      </c>
      <c r="E488" s="27" t="str">
        <f>HYPERLINK("https://www.compass.com/building/1898-longfellow-ave-bronx-ny-10460/293532990405948245/","1898 Longfellow Ave")</f>
        <v>1898 Longfellow Ave</v>
      </c>
      <c r="F488" s="25" t="s">
        <v>150</v>
      </c>
      <c r="G488" s="28">
        <v>130000.0</v>
      </c>
      <c r="H488" s="28">
        <v>146.0</v>
      </c>
      <c r="I488" s="28">
        <v>1027.0</v>
      </c>
      <c r="J488" s="29"/>
      <c r="K488" s="25" t="s">
        <v>25</v>
      </c>
      <c r="L488" s="26">
        <v>4.0</v>
      </c>
      <c r="M488" s="26">
        <v>2.0</v>
      </c>
      <c r="N488" s="26">
        <v>1.0</v>
      </c>
      <c r="O488" s="30"/>
      <c r="P488" s="26">
        <v>890.0</v>
      </c>
      <c r="Q488" s="35">
        <v>66.0</v>
      </c>
      <c r="R488" s="32">
        <v>45802.0</v>
      </c>
      <c r="S488" s="32">
        <v>45797.0</v>
      </c>
      <c r="T488" s="29"/>
      <c r="U488" s="33"/>
      <c r="V488" s="1"/>
    </row>
    <row r="489" ht="24.0" customHeight="1">
      <c r="A489" s="1"/>
      <c r="B489" s="24" t="str">
        <f>HYPERLINK("https://www.compass.com/listing/41-42-73rd-street-unit-2c-queens-ny-11377/1892477415448002857/view?agent_id=610d3f3370540700019b0833","41-42 73rd Street, Unit 2C")</f>
        <v>41-42 73rd Street, Unit 2C</v>
      </c>
      <c r="C489" s="25" t="s">
        <v>22</v>
      </c>
      <c r="D489" s="26" t="s">
        <v>23</v>
      </c>
      <c r="E489" s="27" t="str">
        <f>HYPERLINK("https://www.compass.com/building/41-42-73rd-st-queens-ny-11377/293417345701905237/","41-42 73rd St")</f>
        <v>41-42 73rd St</v>
      </c>
      <c r="F489" s="25" t="s">
        <v>151</v>
      </c>
      <c r="G489" s="28">
        <v>399000.0</v>
      </c>
      <c r="H489" s="28">
        <v>504.0</v>
      </c>
      <c r="I489" s="28">
        <v>814.0</v>
      </c>
      <c r="J489" s="29"/>
      <c r="K489" s="25" t="s">
        <v>25</v>
      </c>
      <c r="L489" s="26">
        <v>4.0</v>
      </c>
      <c r="M489" s="26">
        <v>2.0</v>
      </c>
      <c r="N489" s="26">
        <v>1.0</v>
      </c>
      <c r="O489" s="30"/>
      <c r="P489" s="26">
        <v>792.0</v>
      </c>
      <c r="Q489" s="35">
        <v>1.0</v>
      </c>
      <c r="R489" s="32">
        <v>45863.0</v>
      </c>
      <c r="S489" s="32">
        <v>45862.0</v>
      </c>
      <c r="T489" s="29"/>
      <c r="U489" s="33"/>
      <c r="V489" s="1"/>
    </row>
    <row r="490" ht="24.0" customHeight="1">
      <c r="A490" s="1"/>
      <c r="B490" s="24" t="str">
        <f>HYPERLINK("https://www.compass.com/listing/139-east-30th-street-unit-5c-manhattan-ny-10016/1798709422486006817/view?agent_id=610d3f3370540700019b0833","139 East 30th Street, Unit 5C")</f>
        <v>139 East 30th Street, Unit 5C</v>
      </c>
      <c r="C490" s="25" t="s">
        <v>22</v>
      </c>
      <c r="D490" s="26" t="s">
        <v>23</v>
      </c>
      <c r="E490" s="27" t="str">
        <f>HYPERLINK("https://www.compass.com/building/139-e-30th-st-manhattan-ny-10016/281937385447544949/","139 E 30th St")</f>
        <v>139 E 30th St</v>
      </c>
      <c r="F490" s="25" t="s">
        <v>107</v>
      </c>
      <c r="G490" s="28">
        <v>695000.0</v>
      </c>
      <c r="H490" s="28">
        <v>1158.0</v>
      </c>
      <c r="I490" s="28">
        <v>1274.0</v>
      </c>
      <c r="J490" s="28">
        <v>0.0</v>
      </c>
      <c r="K490" s="25" t="s">
        <v>25</v>
      </c>
      <c r="L490" s="26">
        <v>3.0</v>
      </c>
      <c r="M490" s="26">
        <v>2.0</v>
      </c>
      <c r="N490" s="26">
        <v>1.0</v>
      </c>
      <c r="O490" s="26">
        <v>0.0</v>
      </c>
      <c r="P490" s="26">
        <v>600.0</v>
      </c>
      <c r="Q490" s="35">
        <v>130.0</v>
      </c>
      <c r="R490" s="32">
        <v>45816.0</v>
      </c>
      <c r="S490" s="32">
        <v>45733.0</v>
      </c>
      <c r="T490" s="29"/>
      <c r="U490" s="33"/>
      <c r="V490" s="1"/>
    </row>
    <row r="491" ht="24.0" customHeight="1">
      <c r="A491" s="1"/>
      <c r="B491" s="24" t="str">
        <f>HYPERLINK("https://www.compass.com/listing/226-03-88th-avenue-unit-1-queens-ny-11427/1880324832186072625/view?agent_id=610d3f3370540700019b0833","226-03 88th Avenue, Unit 1")</f>
        <v>226-03 88th Avenue, Unit 1</v>
      </c>
      <c r="C491" s="25" t="s">
        <v>22</v>
      </c>
      <c r="D491" s="26" t="s">
        <v>23</v>
      </c>
      <c r="E491" s="27" t="str">
        <f>HYPERLINK("https://www.compass.com/building/226-03-88th-ave-queens-ny-11427/445799340934922237/","226-03 88th Ave")</f>
        <v>226-03 88th Ave</v>
      </c>
      <c r="F491" s="25" t="s">
        <v>69</v>
      </c>
      <c r="G491" s="28">
        <v>290000.0</v>
      </c>
      <c r="H491" s="29"/>
      <c r="I491" s="28">
        <v>867.0</v>
      </c>
      <c r="J491" s="28">
        <v>0.0</v>
      </c>
      <c r="K491" s="25" t="s">
        <v>25</v>
      </c>
      <c r="L491" s="26">
        <v>5.0</v>
      </c>
      <c r="M491" s="26">
        <v>2.0</v>
      </c>
      <c r="N491" s="26">
        <v>1.0</v>
      </c>
      <c r="O491" s="30"/>
      <c r="P491" s="30"/>
      <c r="Q491" s="35">
        <v>18.0</v>
      </c>
      <c r="R491" s="32">
        <v>45846.0</v>
      </c>
      <c r="S491" s="32">
        <v>45845.0</v>
      </c>
      <c r="T491" s="29"/>
      <c r="U491" s="33"/>
      <c r="V491" s="1"/>
    </row>
    <row r="492" ht="24.0" customHeight="1">
      <c r="A492" s="1"/>
      <c r="B492" s="24" t="str">
        <f>HYPERLINK("https://www.compass.com/listing/648-grand-street-unit-4b-brooklyn-ny-11211/1449840060835994505/view?agent_id=610d3f3370540700019b0833","648 Grand Street, Unit 4B")</f>
        <v>648 Grand Street, Unit 4B</v>
      </c>
      <c r="C492" s="25" t="s">
        <v>22</v>
      </c>
      <c r="D492" s="26" t="s">
        <v>23</v>
      </c>
      <c r="E492" s="27" t="str">
        <f>HYPERLINK("https://www.compass.com/building/648-grand-st-brooklyn-ny-11211/282390682713251957/","648 Grand St")</f>
        <v>648 Grand St</v>
      </c>
      <c r="F492" s="25" t="s">
        <v>46</v>
      </c>
      <c r="G492" s="28">
        <v>585000.0</v>
      </c>
      <c r="H492" s="29"/>
      <c r="I492" s="28">
        <v>578.0</v>
      </c>
      <c r="J492" s="28">
        <v>6936.0</v>
      </c>
      <c r="K492" s="25" t="s">
        <v>25</v>
      </c>
      <c r="L492" s="26">
        <v>3.0</v>
      </c>
      <c r="M492" s="26">
        <v>2.0</v>
      </c>
      <c r="N492" s="30"/>
      <c r="O492" s="30"/>
      <c r="P492" s="30"/>
      <c r="Q492" s="35">
        <v>613.0</v>
      </c>
      <c r="R492" s="32">
        <v>45252.0</v>
      </c>
      <c r="S492" s="32">
        <v>45250.0</v>
      </c>
      <c r="T492" s="29"/>
      <c r="U492" s="33"/>
      <c r="V492" s="1"/>
    </row>
    <row r="493" ht="24.0" customHeight="1">
      <c r="A493" s="1"/>
      <c r="B493" s="24" t="str">
        <f>HYPERLINK("https://www.compass.com/listing/611-west-111th-street-unit-27-manhattan-ny-10025/1826973090782405905/view?agent_id=610d3f3370540700019b0833","611 West 111th Street, Unit 27")</f>
        <v>611 West 111th Street, Unit 27</v>
      </c>
      <c r="C493" s="25" t="s">
        <v>22</v>
      </c>
      <c r="D493" s="26" t="s">
        <v>23</v>
      </c>
      <c r="E493" s="27" t="str">
        <f>HYPERLINK("https://www.compass.com/building/611-w-111th-st-manhattan-ny-10025/292880120757188597/","611 W 111th St")</f>
        <v>611 W 111th St</v>
      </c>
      <c r="F493" s="25" t="s">
        <v>41</v>
      </c>
      <c r="G493" s="28">
        <v>775000.0</v>
      </c>
      <c r="H493" s="28">
        <v>881.0</v>
      </c>
      <c r="I493" s="28">
        <v>1229.0</v>
      </c>
      <c r="J493" s="28">
        <v>0.0</v>
      </c>
      <c r="K493" s="25" t="s">
        <v>25</v>
      </c>
      <c r="L493" s="26">
        <v>4.0</v>
      </c>
      <c r="M493" s="26">
        <v>2.0</v>
      </c>
      <c r="N493" s="26">
        <v>1.0</v>
      </c>
      <c r="O493" s="26">
        <v>0.0</v>
      </c>
      <c r="P493" s="26">
        <v>880.0</v>
      </c>
      <c r="Q493" s="35">
        <v>91.0</v>
      </c>
      <c r="R493" s="32">
        <v>45862.0</v>
      </c>
      <c r="S493" s="32">
        <v>45772.0</v>
      </c>
      <c r="T493" s="29"/>
      <c r="U493" s="33"/>
      <c r="V493" s="1"/>
    </row>
    <row r="494" ht="24.0" customHeight="1">
      <c r="A494" s="1"/>
      <c r="B494" s="24" t="str">
        <f>HYPERLINK("https://www.compass.com/listing/300-albany-street-unit-4l-manhattan-ny-10280/1607866766669023073/view?agent_id=610d3f3370540700019b0833","300 Albany Street, Unit 4L")</f>
        <v>300 Albany Street, Unit 4L</v>
      </c>
      <c r="C494" s="25" t="s">
        <v>22</v>
      </c>
      <c r="D494" s="26" t="s">
        <v>23</v>
      </c>
      <c r="E494" s="27" t="str">
        <f>HYPERLINK("https://www.compass.com/building/hudson-view-west-manhattan-ny/282054143244267349/","Hudson View West")</f>
        <v>Hudson View West</v>
      </c>
      <c r="F494" s="25" t="s">
        <v>103</v>
      </c>
      <c r="G494" s="28">
        <v>750000.0</v>
      </c>
      <c r="H494" s="28">
        <v>1190.0</v>
      </c>
      <c r="I494" s="28">
        <v>2378.0</v>
      </c>
      <c r="J494" s="28">
        <v>12240.0</v>
      </c>
      <c r="K494" s="25" t="s">
        <v>28</v>
      </c>
      <c r="L494" s="26">
        <v>4.0</v>
      </c>
      <c r="M494" s="26">
        <v>2.0</v>
      </c>
      <c r="N494" s="26">
        <v>1.0</v>
      </c>
      <c r="O494" s="30"/>
      <c r="P494" s="26">
        <v>630.0</v>
      </c>
      <c r="Q494" s="35">
        <v>394.0</v>
      </c>
      <c r="R494" s="32">
        <v>45470.0</v>
      </c>
      <c r="S494" s="32">
        <v>45469.0</v>
      </c>
      <c r="T494" s="29"/>
      <c r="U494" s="33"/>
      <c r="V494" s="1"/>
    </row>
    <row r="495" ht="24.0" customHeight="1">
      <c r="A495" s="1"/>
      <c r="B495" s="24" t="str">
        <f>HYPERLINK("https://www.compass.com/listing/33-45-90th-street-unit-5d-queens-ny-11372/1879962297394242233/view?agent_id=610d3f3370540700019b0833","33-45 90th Street, Unit 5D")</f>
        <v>33-45 90th Street, Unit 5D</v>
      </c>
      <c r="C495" s="25" t="s">
        <v>22</v>
      </c>
      <c r="D495" s="26" t="s">
        <v>23</v>
      </c>
      <c r="E495" s="27" t="str">
        <f>HYPERLINK("https://www.compass.com/building/the-inwood-queens-ny/294847515756957205/","The Inwood")</f>
        <v>The Inwood</v>
      </c>
      <c r="F495" s="25" t="s">
        <v>33</v>
      </c>
      <c r="G495" s="28">
        <v>250000.0</v>
      </c>
      <c r="H495" s="28">
        <v>250.0</v>
      </c>
      <c r="I495" s="28">
        <v>869.0</v>
      </c>
      <c r="J495" s="29"/>
      <c r="K495" s="25" t="s">
        <v>25</v>
      </c>
      <c r="L495" s="26">
        <v>5.0</v>
      </c>
      <c r="M495" s="26">
        <v>2.0</v>
      </c>
      <c r="N495" s="26">
        <v>1.0</v>
      </c>
      <c r="O495" s="30"/>
      <c r="P495" s="34">
        <v>1000.0</v>
      </c>
      <c r="Q495" s="35">
        <v>18.0</v>
      </c>
      <c r="R495" s="32">
        <v>45846.0</v>
      </c>
      <c r="S495" s="32">
        <v>45845.0</v>
      </c>
      <c r="T495" s="29"/>
      <c r="U495" s="33"/>
      <c r="V495" s="1"/>
    </row>
    <row r="496" ht="24.0" customHeight="1">
      <c r="A496" s="1"/>
      <c r="B496" s="24" t="str">
        <f>HYPERLINK("https://www.compass.com/listing/870-5th-avenue-unit-1d-manhattan-ny-10065/1408190957357620641/view?agent_id=610d3f3370540700019b0833","870 5th Avenue, Unit 1D")</f>
        <v>870 5th Avenue, Unit 1D</v>
      </c>
      <c r="C496" s="25" t="s">
        <v>22</v>
      </c>
      <c r="D496" s="26" t="s">
        <v>23</v>
      </c>
      <c r="E496" s="27" t="str">
        <f>HYPERLINK("https://www.compass.com/building/870-5th-ave-manhattan-ny-10065/282040957107460005/","870 5th Ave")</f>
        <v>870 5th Ave</v>
      </c>
      <c r="F496" s="25" t="s">
        <v>64</v>
      </c>
      <c r="G496" s="28">
        <v>999999.0</v>
      </c>
      <c r="H496" s="29"/>
      <c r="I496" s="28">
        <v>4550.0</v>
      </c>
      <c r="J496" s="28">
        <v>0.0</v>
      </c>
      <c r="K496" s="25" t="s">
        <v>25</v>
      </c>
      <c r="L496" s="26">
        <v>5.0</v>
      </c>
      <c r="M496" s="26">
        <v>2.0</v>
      </c>
      <c r="N496" s="26">
        <v>1.0</v>
      </c>
      <c r="O496" s="26">
        <v>0.0</v>
      </c>
      <c r="P496" s="30"/>
      <c r="Q496" s="35">
        <v>573.0</v>
      </c>
      <c r="R496" s="32">
        <v>45853.0</v>
      </c>
      <c r="S496" s="32">
        <v>45194.0</v>
      </c>
      <c r="T496" s="29"/>
      <c r="U496" s="33"/>
      <c r="V496" s="1"/>
    </row>
    <row r="497" ht="24.0" customHeight="1">
      <c r="A497" s="1"/>
      <c r="B497" s="24" t="str">
        <f>HYPERLINK("https://www.compass.com/listing/33-25-90th-street-unit-3a-queens-ny-11372/1879931962015152665/view?agent_id=610d3f3370540700019b0833","33-25 90th Street, Unit 3A")</f>
        <v>33-25 90th Street, Unit 3A</v>
      </c>
      <c r="C497" s="25" t="s">
        <v>22</v>
      </c>
      <c r="D497" s="26" t="s">
        <v>23</v>
      </c>
      <c r="E497" s="27" t="str">
        <f>HYPERLINK("https://www.compass.com/building/33-25-90th-st-queens-ny-11372/293528739621375509/","33-25 90th St")</f>
        <v>33-25 90th St</v>
      </c>
      <c r="F497" s="25" t="s">
        <v>33</v>
      </c>
      <c r="G497" s="28">
        <v>325000.0</v>
      </c>
      <c r="H497" s="28">
        <v>325.0</v>
      </c>
      <c r="I497" s="28">
        <v>1715.0</v>
      </c>
      <c r="J497" s="29"/>
      <c r="K497" s="25" t="s">
        <v>25</v>
      </c>
      <c r="L497" s="26">
        <v>5.0</v>
      </c>
      <c r="M497" s="26">
        <v>2.0</v>
      </c>
      <c r="N497" s="26">
        <v>1.0</v>
      </c>
      <c r="O497" s="30"/>
      <c r="P497" s="34">
        <v>1000.0</v>
      </c>
      <c r="Q497" s="35">
        <v>18.0</v>
      </c>
      <c r="R497" s="32">
        <v>45850.0</v>
      </c>
      <c r="S497" s="32">
        <v>45845.0</v>
      </c>
      <c r="T497" s="29"/>
      <c r="U497" s="33"/>
      <c r="V497" s="1"/>
    </row>
    <row r="498" ht="24.0" customHeight="1">
      <c r="A498" s="1"/>
      <c r="B498" s="24" t="str">
        <f>HYPERLINK("https://www.compass.com/listing/2503-ocean-avenue-unit-2b-brooklyn-ny-11229/1892270380814979841/view?agent_id=610d3f3370540700019b0833","2503 Ocean Avenue, Unit 2B")</f>
        <v>2503 Ocean Avenue, Unit 2B</v>
      </c>
      <c r="C498" s="25" t="s">
        <v>22</v>
      </c>
      <c r="D498" s="26" t="s">
        <v>23</v>
      </c>
      <c r="E498" s="27" t="str">
        <f>HYPERLINK("https://www.compass.com/building/2503-ocean-ave-brooklyn-ny-11229/293530634876378645/","2503 Ocean Ave")</f>
        <v>2503 Ocean Ave</v>
      </c>
      <c r="F498" s="25" t="s">
        <v>152</v>
      </c>
      <c r="G498" s="28">
        <v>599000.0</v>
      </c>
      <c r="H498" s="28">
        <v>716.0</v>
      </c>
      <c r="I498" s="28">
        <v>1180.0</v>
      </c>
      <c r="J498" s="28">
        <v>9361.0</v>
      </c>
      <c r="K498" s="25" t="s">
        <v>28</v>
      </c>
      <c r="L498" s="26">
        <v>4.0</v>
      </c>
      <c r="M498" s="26">
        <v>2.0</v>
      </c>
      <c r="N498" s="26">
        <v>1.0</v>
      </c>
      <c r="O498" s="30"/>
      <c r="P498" s="26">
        <v>837.0</v>
      </c>
      <c r="Q498" s="35">
        <v>0.0</v>
      </c>
      <c r="R498" s="32">
        <v>45862.0</v>
      </c>
      <c r="S498" s="32">
        <v>45862.0</v>
      </c>
      <c r="T498" s="29"/>
      <c r="U498" s="33"/>
      <c r="V498" s="1"/>
    </row>
    <row r="499" ht="24.0" customHeight="1">
      <c r="A499" s="1"/>
      <c r="B499" s="24" t="str">
        <f>HYPERLINK("https://www.compass.com/listing/102-56-46th-avenue-queens-ny-11368/1891516719743012817/view?agent_id=610d3f3370540700019b0833","102-56 46th Avenue")</f>
        <v>102-56 46th Avenue</v>
      </c>
      <c r="C499" s="25" t="s">
        <v>22</v>
      </c>
      <c r="D499" s="26" t="s">
        <v>23</v>
      </c>
      <c r="E499" s="27" t="str">
        <f>HYPERLINK("https://www.compass.com/building/102-56-46th-ave-queens-ny-11368/293526586559334021/","102-56 46th Ave")</f>
        <v>102-56 46th Ave</v>
      </c>
      <c r="F499" s="25" t="s">
        <v>153</v>
      </c>
      <c r="G499" s="28">
        <v>868888.0</v>
      </c>
      <c r="H499" s="28">
        <v>603.0</v>
      </c>
      <c r="I499" s="28">
        <v>516.0</v>
      </c>
      <c r="J499" s="28">
        <v>6197.0</v>
      </c>
      <c r="K499" s="25" t="s">
        <v>149</v>
      </c>
      <c r="L499" s="30"/>
      <c r="M499" s="26">
        <v>2.0</v>
      </c>
      <c r="N499" s="26">
        <v>1.0</v>
      </c>
      <c r="O499" s="30"/>
      <c r="P499" s="34">
        <v>1440.0</v>
      </c>
      <c r="Q499" s="35">
        <v>2.0</v>
      </c>
      <c r="R499" s="32">
        <v>45862.0</v>
      </c>
      <c r="S499" s="32">
        <v>45861.0</v>
      </c>
      <c r="T499" s="29"/>
      <c r="U499" s="33"/>
      <c r="V499" s="1"/>
    </row>
    <row r="500" ht="24.0" customHeight="1">
      <c r="A500" s="1"/>
      <c r="B500" s="24" t="str">
        <f>HYPERLINK("https://www.compass.com/listing/3176-decatur-avenue-unit-4f-bronx-ny-10467/1839956367614384569/view?agent_id=610d3f3370540700019b0833","3176 Decatur Avenue, Unit 4F")</f>
        <v>3176 Decatur Avenue, Unit 4F</v>
      </c>
      <c r="C500" s="25" t="s">
        <v>22</v>
      </c>
      <c r="D500" s="26" t="s">
        <v>23</v>
      </c>
      <c r="E500" s="27" t="str">
        <f>HYPERLINK("https://www.compass.com/building/decatur-towers-bronx-ny/293534251188561237/","Decatur Towers")</f>
        <v>Decatur Towers</v>
      </c>
      <c r="F500" s="25" t="s">
        <v>154</v>
      </c>
      <c r="G500" s="28">
        <v>195000.0</v>
      </c>
      <c r="H500" s="28">
        <v>217.0</v>
      </c>
      <c r="I500" s="28">
        <v>1408.0</v>
      </c>
      <c r="J500" s="29"/>
      <c r="K500" s="25" t="s">
        <v>25</v>
      </c>
      <c r="L500" s="26">
        <v>4.0</v>
      </c>
      <c r="M500" s="26">
        <v>2.0</v>
      </c>
      <c r="N500" s="26">
        <v>1.0</v>
      </c>
      <c r="O500" s="30"/>
      <c r="P500" s="26">
        <v>900.0</v>
      </c>
      <c r="Q500" s="35">
        <v>73.0</v>
      </c>
      <c r="R500" s="32">
        <v>45791.0</v>
      </c>
      <c r="S500" s="32">
        <v>45790.0</v>
      </c>
      <c r="T500" s="29"/>
      <c r="U500" s="33"/>
      <c r="V500" s="1"/>
    </row>
    <row r="501" ht="24.0" customHeight="1">
      <c r="A501" s="1"/>
      <c r="B501" s="24" t="str">
        <f>HYPERLINK("https://www.compass.com/listing/240-east-46th-street-unit-1d-manhattan-ny-10017/1832368112123459129/view?agent_id=610d3f3370540700019b0833","240 East 46th Street, Unit 1D")</f>
        <v>240 East 46th Street, Unit 1D</v>
      </c>
      <c r="C501" s="25" t="s">
        <v>22</v>
      </c>
      <c r="D501" s="26" t="s">
        <v>23</v>
      </c>
      <c r="E501" s="27" t="str">
        <f>HYPERLINK("https://www.compass.com/building/240-east-46th-street-condominium-manhattan-ny/281941980450185477/","240 East 46th Street Condominium")</f>
        <v>240 East 46th Street Condominium</v>
      </c>
      <c r="F501" s="25" t="s">
        <v>66</v>
      </c>
      <c r="G501" s="28">
        <v>725000.0</v>
      </c>
      <c r="H501" s="28">
        <v>1007.0</v>
      </c>
      <c r="I501" s="28">
        <v>661.0</v>
      </c>
      <c r="J501" s="28">
        <v>7932.0</v>
      </c>
      <c r="K501" s="25" t="s">
        <v>28</v>
      </c>
      <c r="L501" s="26">
        <v>4.0</v>
      </c>
      <c r="M501" s="26">
        <v>2.0</v>
      </c>
      <c r="N501" s="26">
        <v>1.0</v>
      </c>
      <c r="O501" s="30"/>
      <c r="P501" s="26">
        <v>720.0</v>
      </c>
      <c r="Q501" s="35">
        <v>83.0</v>
      </c>
      <c r="R501" s="32">
        <v>45781.0</v>
      </c>
      <c r="S501" s="32">
        <v>45780.0</v>
      </c>
      <c r="T501" s="29"/>
      <c r="U501" s="33"/>
      <c r="V501" s="1"/>
    </row>
    <row r="502" ht="24.0" customHeight="1">
      <c r="A502" s="1"/>
      <c r="B502" s="24" t="str">
        <f>HYPERLINK("https://www.compass.com/listing/505-west-47th-street-unit-5dn-manhattan-ny-10036/1813964423011031769/view?agent_id=610d3f3370540700019b0833","505 West 47th Street, Unit 5DN")</f>
        <v>505 West 47th Street, Unit 5DN</v>
      </c>
      <c r="C502" s="25" t="s">
        <v>22</v>
      </c>
      <c r="D502" s="26" t="s">
        <v>23</v>
      </c>
      <c r="E502" s="27" t="str">
        <f>HYPERLINK("https://www.compass.com/building/the-505-manhattan-ny/282025970708263317/","The 505")</f>
        <v>The 505</v>
      </c>
      <c r="F502" s="25" t="s">
        <v>47</v>
      </c>
      <c r="G502" s="28">
        <v>995000.0</v>
      </c>
      <c r="H502" s="28">
        <v>1183.0</v>
      </c>
      <c r="I502" s="28">
        <v>2389.0</v>
      </c>
      <c r="J502" s="28">
        <v>12468.0</v>
      </c>
      <c r="K502" s="25" t="s">
        <v>28</v>
      </c>
      <c r="L502" s="26">
        <v>3.0</v>
      </c>
      <c r="M502" s="26">
        <v>2.0</v>
      </c>
      <c r="N502" s="26">
        <v>1.0</v>
      </c>
      <c r="O502" s="26">
        <v>0.0</v>
      </c>
      <c r="P502" s="26">
        <v>841.0</v>
      </c>
      <c r="Q502" s="35">
        <v>109.0</v>
      </c>
      <c r="R502" s="32">
        <v>45837.0</v>
      </c>
      <c r="S502" s="32">
        <v>45754.0</v>
      </c>
      <c r="T502" s="29"/>
      <c r="U502" s="33"/>
      <c r="V502" s="1"/>
    </row>
    <row r="503" ht="24.0" customHeight="1">
      <c r="A503" s="1"/>
      <c r="B503" s="24" t="str">
        <f>HYPERLINK("https://www.compass.com/listing/1046-amsterdam-avenue-unit-24-manhattan-ny-10025/1758779518977549649/view?agent_id=610d3f3370540700019b0833","1046 Amsterdam Avenue, Unit 24")</f>
        <v>1046 Amsterdam Avenue, Unit 24</v>
      </c>
      <c r="C503" s="25" t="s">
        <v>22</v>
      </c>
      <c r="D503" s="26" t="s">
        <v>23</v>
      </c>
      <c r="E503" s="27" t="str">
        <f>HYPERLINK("https://www.compass.com/building/1046-amsterdam-ave-manhattan-ny-10025/281968257093683077/","1046 Amsterdam Ave")</f>
        <v>1046 Amsterdam Ave</v>
      </c>
      <c r="F503" s="25" t="s">
        <v>41</v>
      </c>
      <c r="G503" s="28">
        <v>425000.0</v>
      </c>
      <c r="H503" s="28">
        <v>708.0</v>
      </c>
      <c r="I503" s="28">
        <v>718.0</v>
      </c>
      <c r="J503" s="29"/>
      <c r="K503" s="25" t="s">
        <v>25</v>
      </c>
      <c r="L503" s="26">
        <v>4.0</v>
      </c>
      <c r="M503" s="26">
        <v>2.0</v>
      </c>
      <c r="N503" s="26">
        <v>1.0</v>
      </c>
      <c r="O503" s="30"/>
      <c r="P503" s="26">
        <v>600.0</v>
      </c>
      <c r="Q503" s="35">
        <v>185.0</v>
      </c>
      <c r="R503" s="32">
        <v>45758.0</v>
      </c>
      <c r="S503" s="32">
        <v>45678.0</v>
      </c>
      <c r="T503" s="29"/>
      <c r="U503" s="33"/>
      <c r="V503" s="1"/>
    </row>
    <row r="504" ht="24.0" customHeight="1">
      <c r="A504" s="1"/>
      <c r="B504" s="24" t="str">
        <f>HYPERLINK("https://www.compass.com/listing/224-22nd-street-unit-4d-brooklyn-ny-11232/1529413872739948537/view?agent_id=610d3f3370540700019b0833","224 22nd Street, Unit 4D")</f>
        <v>224 22nd Street, Unit 4D</v>
      </c>
      <c r="C504" s="25" t="s">
        <v>22</v>
      </c>
      <c r="D504" s="26" t="s">
        <v>23</v>
      </c>
      <c r="E504" s="27" t="str">
        <f>HYPERLINK("https://www.compass.com/building/224-22nd-st-brooklyn-ny-11232/293534294339573701/","224 22nd St")</f>
        <v>224 22nd St</v>
      </c>
      <c r="F504" s="25" t="s">
        <v>155</v>
      </c>
      <c r="G504" s="28">
        <v>500000.0</v>
      </c>
      <c r="H504" s="28">
        <v>750.0</v>
      </c>
      <c r="I504" s="28">
        <v>1229.0</v>
      </c>
      <c r="J504" s="28">
        <v>5750.0</v>
      </c>
      <c r="K504" s="25" t="s">
        <v>28</v>
      </c>
      <c r="L504" s="26">
        <v>3.0</v>
      </c>
      <c r="M504" s="26">
        <v>2.0</v>
      </c>
      <c r="N504" s="26">
        <v>1.0</v>
      </c>
      <c r="O504" s="30"/>
      <c r="P504" s="26">
        <v>667.0</v>
      </c>
      <c r="Q504" s="35">
        <v>18.0</v>
      </c>
      <c r="R504" s="32">
        <v>45845.0</v>
      </c>
      <c r="S504" s="32">
        <v>45845.0</v>
      </c>
      <c r="T504" s="29"/>
      <c r="U504" s="33"/>
      <c r="V504" s="1"/>
    </row>
    <row r="505" ht="24.0" customHeight="1">
      <c r="A505" s="1"/>
      <c r="B505" s="24" t="str">
        <f>HYPERLINK("https://www.compass.com/listing/154-attorney-street-unit-603-manhattan-ny-10002/1881931837964074777/view?agent_id=610d3f3370540700019b0833","154 Attorney Street, Unit 603")</f>
        <v>154 Attorney Street, Unit 603</v>
      </c>
      <c r="C505" s="25" t="s">
        <v>22</v>
      </c>
      <c r="D505" s="26" t="s">
        <v>23</v>
      </c>
      <c r="E505" s="27" t="str">
        <f>HYPERLINK("https://www.compass.com/building/154-attorney-st-manhattan-ny-10002/281885470206463525/","154 Attorney St")</f>
        <v>154 Attorney St</v>
      </c>
      <c r="F505" s="25" t="s">
        <v>119</v>
      </c>
      <c r="G505" s="28">
        <v>1325000.0</v>
      </c>
      <c r="H505" s="28">
        <v>1576.0</v>
      </c>
      <c r="I505" s="28">
        <v>2301.0</v>
      </c>
      <c r="J505" s="28">
        <v>14520.0</v>
      </c>
      <c r="K505" s="25" t="s">
        <v>28</v>
      </c>
      <c r="L505" s="26">
        <v>4.0</v>
      </c>
      <c r="M505" s="26">
        <v>2.0</v>
      </c>
      <c r="N505" s="26">
        <v>1.0</v>
      </c>
      <c r="O505" s="26">
        <v>0.0</v>
      </c>
      <c r="P505" s="26">
        <v>841.0</v>
      </c>
      <c r="Q505" s="35">
        <v>15.0</v>
      </c>
      <c r="R505" s="32">
        <v>45861.0</v>
      </c>
      <c r="S505" s="32">
        <v>45848.0</v>
      </c>
      <c r="T505" s="29"/>
      <c r="U505" s="33"/>
      <c r="V505" s="1"/>
    </row>
    <row r="506" ht="24.0" customHeight="1">
      <c r="A506" s="1"/>
      <c r="B506" s="24" t="str">
        <f>HYPERLINK("https://www.compass.com/listing/23-north-elliott-place-unit-4-brooklyn-ny-11205/1826406124925093249/view?agent_id=610d3f3370540700019b0833","23 North Elliott Place, Unit 4")</f>
        <v>23 North Elliott Place, Unit 4</v>
      </c>
      <c r="C506" s="25" t="s">
        <v>22</v>
      </c>
      <c r="D506" s="26" t="s">
        <v>23</v>
      </c>
      <c r="E506" s="27" t="str">
        <f>HYPERLINK("https://www.compass.com/building/23-n-elliott-pl-brooklyn-ny-11205/282509639751390821/","23 N Elliott Pl")</f>
        <v>23 N Elliott Pl</v>
      </c>
      <c r="F506" s="25" t="s">
        <v>59</v>
      </c>
      <c r="G506" s="28">
        <v>950000.0</v>
      </c>
      <c r="H506" s="28">
        <v>1188.0</v>
      </c>
      <c r="I506" s="28">
        <v>653.0</v>
      </c>
      <c r="J506" s="28">
        <v>3804.0</v>
      </c>
      <c r="K506" s="25" t="s">
        <v>118</v>
      </c>
      <c r="L506" s="26">
        <v>3.0</v>
      </c>
      <c r="M506" s="26">
        <v>2.0</v>
      </c>
      <c r="N506" s="26">
        <v>1.0</v>
      </c>
      <c r="O506" s="26">
        <v>0.0</v>
      </c>
      <c r="P506" s="26">
        <v>800.0</v>
      </c>
      <c r="Q506" s="35">
        <v>92.0</v>
      </c>
      <c r="R506" s="32">
        <v>45837.0</v>
      </c>
      <c r="S506" s="32">
        <v>45771.0</v>
      </c>
      <c r="T506" s="29"/>
      <c r="U506" s="33"/>
      <c r="V506" s="1"/>
    </row>
    <row r="507" ht="24.0" customHeight="1">
      <c r="A507" s="1"/>
      <c r="B507" s="24" t="str">
        <f>HYPERLINK("https://www.compass.com/listing/1655-flatbush-avenue-unit-b1809-brooklyn-ny-11210/1885006196266836169/view?agent_id=610d3f3370540700019b0833","1655 Flatbush Avenue, Unit B1809")</f>
        <v>1655 Flatbush Avenue, Unit B1809</v>
      </c>
      <c r="C507" s="25" t="s">
        <v>22</v>
      </c>
      <c r="D507" s="26" t="s">
        <v>23</v>
      </c>
      <c r="E507" s="27" t="str">
        <f>HYPERLINK("https://www.compass.com/building/philip-howard-apartments-brooklyn-ny/293416486054242853/","Philip Howard Apartments")</f>
        <v>Philip Howard Apartments</v>
      </c>
      <c r="F507" s="25" t="s">
        <v>123</v>
      </c>
      <c r="G507" s="28">
        <v>489000.0</v>
      </c>
      <c r="H507" s="28">
        <v>489.0</v>
      </c>
      <c r="I507" s="28">
        <v>908.0</v>
      </c>
      <c r="J507" s="29"/>
      <c r="K507" s="25" t="s">
        <v>25</v>
      </c>
      <c r="L507" s="26">
        <v>4.0</v>
      </c>
      <c r="M507" s="26">
        <v>2.0</v>
      </c>
      <c r="N507" s="30"/>
      <c r="O507" s="30"/>
      <c r="P507" s="34">
        <v>1000.0</v>
      </c>
      <c r="Q507" s="35">
        <v>11.0</v>
      </c>
      <c r="R507" s="32">
        <v>45852.0</v>
      </c>
      <c r="S507" s="32">
        <v>45852.0</v>
      </c>
      <c r="T507" s="29"/>
      <c r="U507" s="33"/>
      <c r="V507" s="1"/>
    </row>
    <row r="508" ht="24.0" customHeight="1">
      <c r="A508" s="1"/>
      <c r="B508" s="24" t="str">
        <f>HYPERLINK("https://www.compass.com/listing/609-west-114th-street-unit-6-manhattan-ny-10025/1765921549283576553/view?agent_id=610d3f3370540700019b0833","609 West 114th Street, Unit 6")</f>
        <v>609 West 114th Street, Unit 6</v>
      </c>
      <c r="C508" s="25" t="s">
        <v>22</v>
      </c>
      <c r="D508" s="26" t="s">
        <v>23</v>
      </c>
      <c r="E508" s="27" t="str">
        <f>HYPERLINK("https://www.compass.com/building/609-w-114th-st-manhattan-ny-10025/294844324562695845/","609 W 114th St")</f>
        <v>609 W 114th St</v>
      </c>
      <c r="F508" s="25" t="s">
        <v>41</v>
      </c>
      <c r="G508" s="28">
        <v>600000.0</v>
      </c>
      <c r="H508" s="28">
        <v>923.0</v>
      </c>
      <c r="I508" s="28">
        <v>1252.0</v>
      </c>
      <c r="J508" s="28">
        <v>0.0</v>
      </c>
      <c r="K508" s="25" t="s">
        <v>25</v>
      </c>
      <c r="L508" s="26">
        <v>3.0</v>
      </c>
      <c r="M508" s="26">
        <v>2.0</v>
      </c>
      <c r="N508" s="26">
        <v>1.0</v>
      </c>
      <c r="O508" s="26">
        <v>0.0</v>
      </c>
      <c r="P508" s="26">
        <v>650.0</v>
      </c>
      <c r="Q508" s="35">
        <v>176.0</v>
      </c>
      <c r="R508" s="32">
        <v>45861.0</v>
      </c>
      <c r="S508" s="32">
        <v>45687.0</v>
      </c>
      <c r="T508" s="29"/>
      <c r="U508" s="33"/>
      <c r="V508" s="1"/>
    </row>
    <row r="509" ht="24.0" customHeight="1">
      <c r="A509" s="1"/>
      <c r="B509" s="24" t="str">
        <f>HYPERLINK("https://www.compass.com/listing/138-46-68th-drive-unit-a-queens-ny-11367/1890309332955896097/view?agent_id=610d3f3370540700019b0833","138-46 68th Drive, Unit A")</f>
        <v>138-46 68th Drive, Unit A</v>
      </c>
      <c r="C509" s="25" t="s">
        <v>22</v>
      </c>
      <c r="D509" s="26" t="s">
        <v>23</v>
      </c>
      <c r="E509" s="27" t="str">
        <f>HYPERLINK("https://www.compass.com/building/138-46-68th-dr-queens-ny-11367/307459306118878325/","138-46 68th Dr")</f>
        <v>138-46 68th Dr</v>
      </c>
      <c r="F509" s="25" t="s">
        <v>142</v>
      </c>
      <c r="G509" s="28">
        <v>350000.0</v>
      </c>
      <c r="H509" s="28">
        <v>389.0</v>
      </c>
      <c r="I509" s="28">
        <v>1325.0</v>
      </c>
      <c r="J509" s="29"/>
      <c r="K509" s="25" t="s">
        <v>25</v>
      </c>
      <c r="L509" s="26">
        <v>5.0</v>
      </c>
      <c r="M509" s="26">
        <v>2.0</v>
      </c>
      <c r="N509" s="26">
        <v>1.0</v>
      </c>
      <c r="O509" s="30"/>
      <c r="P509" s="26">
        <v>900.0</v>
      </c>
      <c r="Q509" s="35">
        <v>4.0</v>
      </c>
      <c r="R509" s="32">
        <v>45861.0</v>
      </c>
      <c r="S509" s="32">
        <v>45859.0</v>
      </c>
      <c r="T509" s="29"/>
      <c r="U509" s="33"/>
      <c r="V509" s="1"/>
    </row>
    <row r="510" ht="24.0" customHeight="1">
      <c r="A510" s="1"/>
      <c r="B510" s="24" t="str">
        <f>HYPERLINK("https://www.compass.com/listing/629-51st-street-unit-4c-brooklyn-ny-11220/1885947248666691753/view?agent_id=610d3f3370540700019b0833","629 51st Street, Unit 4C")</f>
        <v>629 51st Street, Unit 4C</v>
      </c>
      <c r="C510" s="25" t="s">
        <v>22</v>
      </c>
      <c r="D510" s="26" t="s">
        <v>23</v>
      </c>
      <c r="E510" s="27" t="str">
        <f>HYPERLINK("https://www.compass.com/building/629-51st-st-brooklyn-ny-11220/293529647881132533/","629 51st St")</f>
        <v>629 51st St</v>
      </c>
      <c r="F510" s="25" t="s">
        <v>128</v>
      </c>
      <c r="G510" s="28">
        <v>528000.0</v>
      </c>
      <c r="H510" s="28">
        <v>960.0</v>
      </c>
      <c r="I510" s="28">
        <v>349.0</v>
      </c>
      <c r="J510" s="28">
        <v>82.0</v>
      </c>
      <c r="K510" s="25" t="s">
        <v>28</v>
      </c>
      <c r="L510" s="26">
        <v>4.0</v>
      </c>
      <c r="M510" s="26">
        <v>2.0</v>
      </c>
      <c r="N510" s="26">
        <v>1.0</v>
      </c>
      <c r="O510" s="30"/>
      <c r="P510" s="26">
        <v>550.0</v>
      </c>
      <c r="Q510" s="35">
        <v>9.0</v>
      </c>
      <c r="R510" s="32">
        <v>45854.0</v>
      </c>
      <c r="S510" s="32">
        <v>45853.0</v>
      </c>
      <c r="T510" s="29"/>
      <c r="U510" s="33"/>
      <c r="V510" s="1"/>
    </row>
    <row r="511" ht="24.0" customHeight="1">
      <c r="A511" s="1"/>
      <c r="B511" s="24" t="str">
        <f>HYPERLINK("https://www.compass.com/listing/453-fdr-drive-unit-c207-manhattan-ny-10002/1882158443962643265/view?agent_id=610d3f3370540700019b0833","453 FDR Drive, Unit C207")</f>
        <v>453 FDR Drive, Unit C207</v>
      </c>
      <c r="C511" s="25" t="s">
        <v>22</v>
      </c>
      <c r="D511" s="26" t="s">
        <v>23</v>
      </c>
      <c r="E511" s="27" t="str">
        <f>HYPERLINK("https://www.compass.com/building/453-fdr-dr-manhattan-ny-10002/567688687028833029/","453 Fdr Dr")</f>
        <v>453 Fdr Dr</v>
      </c>
      <c r="F511" s="25" t="s">
        <v>119</v>
      </c>
      <c r="G511" s="28">
        <v>875000.0</v>
      </c>
      <c r="H511" s="28">
        <v>875.0</v>
      </c>
      <c r="I511" s="28">
        <v>1711.0</v>
      </c>
      <c r="J511" s="28">
        <v>0.0</v>
      </c>
      <c r="K511" s="25" t="s">
        <v>25</v>
      </c>
      <c r="L511" s="26">
        <v>5.0</v>
      </c>
      <c r="M511" s="26">
        <v>2.0</v>
      </c>
      <c r="N511" s="26">
        <v>1.0</v>
      </c>
      <c r="O511" s="26">
        <v>0.0</v>
      </c>
      <c r="P511" s="34">
        <v>1000.0</v>
      </c>
      <c r="Q511" s="35">
        <v>15.0</v>
      </c>
      <c r="R511" s="32">
        <v>45856.0</v>
      </c>
      <c r="S511" s="32">
        <v>45848.0</v>
      </c>
      <c r="T511" s="29"/>
      <c r="U511" s="33"/>
      <c r="V511" s="1"/>
    </row>
    <row r="512" ht="24.0" customHeight="1">
      <c r="A512" s="1"/>
      <c r="B512" s="24" t="str">
        <f>HYPERLINK("https://www.compass.com/listing/3850-sedgwick-avenue-unit-5b-bronx-ny-10463/1881924769731387769/view?agent_id=610d3f3370540700019b0833","3850 Sedgwick Avenue, Unit 5B")</f>
        <v>3850 Sedgwick Avenue, Unit 5B</v>
      </c>
      <c r="C512" s="25" t="s">
        <v>22</v>
      </c>
      <c r="D512" s="26" t="s">
        <v>23</v>
      </c>
      <c r="E512" s="27" t="str">
        <f>HYPERLINK("https://www.compass.com/building/3850-sedgwick-ave-bronx-ny-10463/293528096584356885/","3850 Sedgwick Ave")</f>
        <v>3850 Sedgwick Ave</v>
      </c>
      <c r="F512" s="25" t="s">
        <v>116</v>
      </c>
      <c r="G512" s="28">
        <v>275000.0</v>
      </c>
      <c r="H512" s="28">
        <v>275.0</v>
      </c>
      <c r="I512" s="28">
        <v>848.0</v>
      </c>
      <c r="J512" s="28">
        <v>0.0</v>
      </c>
      <c r="K512" s="25" t="s">
        <v>25</v>
      </c>
      <c r="L512" s="26">
        <v>4.0</v>
      </c>
      <c r="M512" s="26">
        <v>2.0</v>
      </c>
      <c r="N512" s="26">
        <v>1.0</v>
      </c>
      <c r="O512" s="26">
        <v>0.0</v>
      </c>
      <c r="P512" s="34">
        <v>1000.0</v>
      </c>
      <c r="Q512" s="35">
        <v>14.0</v>
      </c>
      <c r="R512" s="32">
        <v>45862.0</v>
      </c>
      <c r="S512" s="32">
        <v>45849.0</v>
      </c>
      <c r="T512" s="29"/>
      <c r="U512" s="33"/>
      <c r="V512" s="1"/>
    </row>
    <row r="513" ht="24.0" customHeight="1">
      <c r="A513" s="1"/>
      <c r="B513" s="24" t="str">
        <f>HYPERLINK("https://www.compass.com/listing/517-east-87th-street-unit-4w-manhattan-ny-10128/1786343279244510761/view?agent_id=610d3f3370540700019b0833","517 East 87th Street, Unit 4W")</f>
        <v>517 East 87th Street, Unit 4W</v>
      </c>
      <c r="C513" s="25" t="s">
        <v>22</v>
      </c>
      <c r="D513" s="26" t="s">
        <v>23</v>
      </c>
      <c r="E513" s="27" t="str">
        <f>HYPERLINK("https://www.compass.com/building/517-e-87th-st-manhattan-ny-10128/282052948849096277/","517 E 87th St")</f>
        <v>517 E 87th St</v>
      </c>
      <c r="F513" s="25" t="s">
        <v>44</v>
      </c>
      <c r="G513" s="28">
        <v>665000.0</v>
      </c>
      <c r="H513" s="28">
        <v>917.0</v>
      </c>
      <c r="I513" s="28">
        <v>1575.0</v>
      </c>
      <c r="J513" s="28">
        <v>0.0</v>
      </c>
      <c r="K513" s="25" t="s">
        <v>25</v>
      </c>
      <c r="L513" s="26">
        <v>4.0</v>
      </c>
      <c r="M513" s="26">
        <v>2.0</v>
      </c>
      <c r="N513" s="26">
        <v>1.0</v>
      </c>
      <c r="O513" s="26">
        <v>0.0</v>
      </c>
      <c r="P513" s="26">
        <v>725.0</v>
      </c>
      <c r="Q513" s="35">
        <v>147.0</v>
      </c>
      <c r="R513" s="32">
        <v>45826.0</v>
      </c>
      <c r="S513" s="32">
        <v>45716.0</v>
      </c>
      <c r="T513" s="29"/>
      <c r="U513" s="33"/>
      <c r="V513" s="1"/>
    </row>
    <row r="514" ht="24.0" customHeight="1">
      <c r="A514" s="1"/>
      <c r="B514" s="24" t="str">
        <f>HYPERLINK("https://www.compass.com/listing/518-west-161st-street-unit-10-manhattan-ny-10032/1790049776194082057/view?agent_id=610d3f3370540700019b0833","518 West 161st Street, Unit 10")</f>
        <v>518 West 161st Street, Unit 10</v>
      </c>
      <c r="C514" s="25" t="s">
        <v>22</v>
      </c>
      <c r="D514" s="26" t="s">
        <v>23</v>
      </c>
      <c r="E514" s="27" t="str">
        <f>HYPERLINK("https://www.compass.com/building/518-w-161st-st-manhattan-ny-10032/282006938173174933/","518 W 161st St")</f>
        <v>518 W 161st St</v>
      </c>
      <c r="F514" s="25" t="s">
        <v>77</v>
      </c>
      <c r="G514" s="28">
        <v>268790.0</v>
      </c>
      <c r="H514" s="28">
        <v>499.0</v>
      </c>
      <c r="I514" s="28">
        <v>0.0</v>
      </c>
      <c r="J514" s="28">
        <v>0.0</v>
      </c>
      <c r="K514" s="25" t="s">
        <v>156</v>
      </c>
      <c r="L514" s="26">
        <v>4.0</v>
      </c>
      <c r="M514" s="26">
        <v>2.0</v>
      </c>
      <c r="N514" s="26">
        <v>1.0</v>
      </c>
      <c r="O514" s="30"/>
      <c r="P514" s="26">
        <v>539.0</v>
      </c>
      <c r="Q514" s="35">
        <v>143.0</v>
      </c>
      <c r="R514" s="32">
        <v>45721.0</v>
      </c>
      <c r="S514" s="32">
        <v>45720.0</v>
      </c>
      <c r="T514" s="29"/>
      <c r="U514" s="33"/>
      <c r="V514" s="1"/>
    </row>
    <row r="515" ht="24.0" customHeight="1">
      <c r="A515" s="1"/>
      <c r="B515" s="24" t="str">
        <f>HYPERLINK("https://www.compass.com/listing/35-crown-street-unit-1f-brooklyn-ny-11225/1834232299192052513/view?agent_id=610d3f3370540700019b0833","35 Crown Street, Unit 1F")</f>
        <v>35 Crown Street, Unit 1F</v>
      </c>
      <c r="C515" s="25" t="s">
        <v>22</v>
      </c>
      <c r="D515" s="26" t="s">
        <v>23</v>
      </c>
      <c r="E515" s="27" t="str">
        <f>HYPERLINK("https://www.compass.com/building/35-crown-st-brooklyn-ny-11225/307436008706195621/","35 Crown St")</f>
        <v>35 Crown St</v>
      </c>
      <c r="F515" s="25" t="s">
        <v>113</v>
      </c>
      <c r="G515" s="28">
        <v>650000.0</v>
      </c>
      <c r="H515" s="28">
        <v>813.0</v>
      </c>
      <c r="I515" s="28">
        <v>886.0</v>
      </c>
      <c r="J515" s="29"/>
      <c r="K515" s="25" t="s">
        <v>25</v>
      </c>
      <c r="L515" s="26">
        <v>4.0</v>
      </c>
      <c r="M515" s="26">
        <v>2.0</v>
      </c>
      <c r="N515" s="26">
        <v>1.0</v>
      </c>
      <c r="O515" s="30"/>
      <c r="P515" s="26">
        <v>800.0</v>
      </c>
      <c r="Q515" s="35">
        <v>81.0</v>
      </c>
      <c r="R515" s="32">
        <v>45800.0</v>
      </c>
      <c r="S515" s="32">
        <v>45782.0</v>
      </c>
      <c r="T515" s="29"/>
      <c r="U515" s="33"/>
      <c r="V515" s="1"/>
    </row>
    <row r="516" ht="24.0" customHeight="1">
      <c r="A516" s="1"/>
      <c r="B516" s="24" t="str">
        <f>HYPERLINK("https://www.compass.com/listing/1047-faile-street-unit-1047a-bronx-ny-10459/1884883438384069033/view?agent_id=610d3f3370540700019b0833","1047 Faile Street, Unit 1047A")</f>
        <v>1047 Faile Street, Unit 1047A</v>
      </c>
      <c r="C516" s="25" t="s">
        <v>22</v>
      </c>
      <c r="D516" s="26" t="s">
        <v>23</v>
      </c>
      <c r="E516" s="27" t="str">
        <f>HYPERLINK("https://www.compass.com/building/1047-faile-st-bronx-ny-10459/307455800108621605/","1047 Faile St")</f>
        <v>1047 Faile St</v>
      </c>
      <c r="F516" s="25" t="s">
        <v>134</v>
      </c>
      <c r="G516" s="28">
        <v>289000.0</v>
      </c>
      <c r="H516" s="28">
        <v>378.0</v>
      </c>
      <c r="I516" s="28">
        <v>544.0</v>
      </c>
      <c r="J516" s="28">
        <v>519.0</v>
      </c>
      <c r="K516" s="25" t="s">
        <v>28</v>
      </c>
      <c r="L516" s="26">
        <v>5.0</v>
      </c>
      <c r="M516" s="26">
        <v>2.0</v>
      </c>
      <c r="N516" s="26">
        <v>1.0</v>
      </c>
      <c r="O516" s="30"/>
      <c r="P516" s="26">
        <v>764.0</v>
      </c>
      <c r="Q516" s="35">
        <v>11.0</v>
      </c>
      <c r="R516" s="32">
        <v>45853.0</v>
      </c>
      <c r="S516" s="32">
        <v>45852.0</v>
      </c>
      <c r="T516" s="29"/>
      <c r="U516" s="33"/>
      <c r="V516" s="1"/>
    </row>
    <row r="517" ht="24.0" customHeight="1">
      <c r="A517" s="1"/>
      <c r="B517" s="24" t="str">
        <f>HYPERLINK("https://www.compass.com/listing/3410-de-reimer-avenue-unit-2b-bronx-ny-10475/1871420061952473297/view?agent_id=610d3f3370540700019b0833","3410 De Reimer Avenue, Unit 2B")</f>
        <v>3410 De Reimer Avenue, Unit 2B</v>
      </c>
      <c r="C517" s="25" t="s">
        <v>22</v>
      </c>
      <c r="D517" s="26" t="s">
        <v>23</v>
      </c>
      <c r="E517" s="27" t="str">
        <f>HYPERLINK("https://www.compass.com/building/3410-de-reimer-ave-bronx-ny-10475/293533785595590005/","3410 De Reimer Ave")</f>
        <v>3410 De Reimer Ave</v>
      </c>
      <c r="F517" s="25" t="s">
        <v>157</v>
      </c>
      <c r="G517" s="28">
        <v>260000.0</v>
      </c>
      <c r="H517" s="28">
        <v>284.0</v>
      </c>
      <c r="I517" s="28">
        <v>1293.0</v>
      </c>
      <c r="J517" s="29"/>
      <c r="K517" s="25" t="s">
        <v>25</v>
      </c>
      <c r="L517" s="26">
        <v>4.0</v>
      </c>
      <c r="M517" s="26">
        <v>2.0</v>
      </c>
      <c r="N517" s="26">
        <v>1.0</v>
      </c>
      <c r="O517" s="30"/>
      <c r="P517" s="26">
        <v>916.0</v>
      </c>
      <c r="Q517" s="35">
        <v>30.0</v>
      </c>
      <c r="R517" s="32">
        <v>45834.0</v>
      </c>
      <c r="S517" s="32">
        <v>45833.0</v>
      </c>
      <c r="T517" s="29"/>
      <c r="U517" s="33"/>
      <c r="V517" s="1"/>
    </row>
    <row r="518" ht="24.0" customHeight="1">
      <c r="A518" s="1"/>
      <c r="B518" s="24" t="str">
        <f>HYPERLINK("https://www.compass.com/listing/130-east-94th-street-unit-2e-manhattan-ny-10128/1814553004834152169/view?agent_id=610d3f3370540700019b0833","130 East 94th Street, Unit 2E")</f>
        <v>130 East 94th Street, Unit 2E</v>
      </c>
      <c r="C518" s="25" t="s">
        <v>22</v>
      </c>
      <c r="D518" s="26" t="s">
        <v>23</v>
      </c>
      <c r="E518" s="27" t="str">
        <f>HYPERLINK("https://www.compass.com/building/130-e-94th-st-manhattan-ny-10128/282046949064992373/","130 E 94th St")</f>
        <v>130 E 94th St</v>
      </c>
      <c r="F518" s="25" t="s">
        <v>44</v>
      </c>
      <c r="G518" s="28">
        <v>835000.0</v>
      </c>
      <c r="H518" s="29"/>
      <c r="I518" s="28">
        <v>2786.0</v>
      </c>
      <c r="J518" s="28">
        <v>0.0</v>
      </c>
      <c r="K518" s="25" t="s">
        <v>25</v>
      </c>
      <c r="L518" s="26">
        <v>4.0</v>
      </c>
      <c r="M518" s="26">
        <v>2.0</v>
      </c>
      <c r="N518" s="26">
        <v>1.0</v>
      </c>
      <c r="O518" s="26">
        <v>0.0</v>
      </c>
      <c r="P518" s="30"/>
      <c r="Q518" s="35">
        <v>108.0</v>
      </c>
      <c r="R518" s="32">
        <v>45861.0</v>
      </c>
      <c r="S518" s="32">
        <v>45755.0</v>
      </c>
      <c r="T518" s="29"/>
      <c r="U518" s="33"/>
      <c r="V518" s="1"/>
    </row>
    <row r="519" ht="24.0" customHeight="1">
      <c r="A519" s="1"/>
      <c r="B519" s="24" t="str">
        <f>HYPERLINK("https://www.compass.com/listing/1199-park-avenue-unit-1f-manhattan-ny-10128/1754510879838504001/view?agent_id=610d3f3370540700019b0833","1199 Park Avenue, Unit 1F")</f>
        <v>1199 Park Avenue, Unit 1F</v>
      </c>
      <c r="C519" s="25" t="s">
        <v>22</v>
      </c>
      <c r="D519" s="26" t="s">
        <v>23</v>
      </c>
      <c r="E519" s="27" t="str">
        <f>HYPERLINK("https://www.compass.com/building/1199-park-ave-manhattan-ny-10128/282060005874630853/","1199 Park Ave")</f>
        <v>1199 Park Ave</v>
      </c>
      <c r="F519" s="25" t="s">
        <v>44</v>
      </c>
      <c r="G519" s="28">
        <v>795000.0</v>
      </c>
      <c r="H519" s="28">
        <v>612.0</v>
      </c>
      <c r="I519" s="28">
        <v>4271.0</v>
      </c>
      <c r="J519" s="28">
        <v>0.0</v>
      </c>
      <c r="K519" s="25" t="s">
        <v>25</v>
      </c>
      <c r="L519" s="26">
        <v>6.0</v>
      </c>
      <c r="M519" s="26">
        <v>2.0</v>
      </c>
      <c r="N519" s="30"/>
      <c r="O519" s="26">
        <v>1.0</v>
      </c>
      <c r="P519" s="34">
        <v>1300.0</v>
      </c>
      <c r="Q519" s="35">
        <v>191.0</v>
      </c>
      <c r="R519" s="32">
        <v>45672.0</v>
      </c>
      <c r="S519" s="32">
        <v>45672.0</v>
      </c>
      <c r="T519" s="29"/>
      <c r="U519" s="33"/>
      <c r="V519" s="1"/>
    </row>
    <row r="520" ht="24.0" customHeight="1">
      <c r="A520" s="1"/>
      <c r="B520" s="24" t="str">
        <f>HYPERLINK("https://www.compass.com/listing/50-06-marathon-parkway-queens-ny-11362/1890102353607997121/view?agent_id=610d3f3370540700019b0833","50-06 Marathon Parkway")</f>
        <v>50-06 Marathon Parkway</v>
      </c>
      <c r="C520" s="25" t="s">
        <v>22</v>
      </c>
      <c r="D520" s="26" t="s">
        <v>23</v>
      </c>
      <c r="E520" s="27" t="str">
        <f>HYPERLINK("https://www.compass.com/building/50-06-marathon-pkwy-queens-ny-11362/293528367108566165/","50-06 Marathon Pkwy")</f>
        <v>50-06 Marathon Pkwy</v>
      </c>
      <c r="F520" s="25" t="s">
        <v>158</v>
      </c>
      <c r="G520" s="28">
        <v>1168000.0</v>
      </c>
      <c r="H520" s="28">
        <v>973.0</v>
      </c>
      <c r="I520" s="28">
        <v>780.0</v>
      </c>
      <c r="J520" s="28">
        <v>9358.0</v>
      </c>
      <c r="K520" s="25" t="s">
        <v>159</v>
      </c>
      <c r="L520" s="26">
        <v>5.0</v>
      </c>
      <c r="M520" s="26">
        <v>2.0</v>
      </c>
      <c r="N520" s="26">
        <v>1.0</v>
      </c>
      <c r="O520" s="30"/>
      <c r="P520" s="34">
        <v>1200.0</v>
      </c>
      <c r="Q520" s="35">
        <v>2.0</v>
      </c>
      <c r="R520" s="32">
        <v>45862.0</v>
      </c>
      <c r="S520" s="32">
        <v>45861.0</v>
      </c>
      <c r="T520" s="29"/>
      <c r="U520" s="33"/>
      <c r="V520" s="1"/>
    </row>
    <row r="521" ht="24.0" customHeight="1">
      <c r="A521" s="1"/>
      <c r="B521" s="24" t="str">
        <f>HYPERLINK("https://www.compass.com/listing/123-east-88th-street-unit-1a-manhattan-ny-10128/1669121838098664001/view?agent_id=610d3f3370540700019b0833","123 East 88th Street, Unit 1A")</f>
        <v>123 East 88th Street, Unit 1A</v>
      </c>
      <c r="C521" s="25" t="s">
        <v>22</v>
      </c>
      <c r="D521" s="26" t="s">
        <v>23</v>
      </c>
      <c r="E521" s="27" t="str">
        <f>HYPERLINK("https://www.compass.com/building/123-e-88th-st-manhattan-ny-10128/282046533560458325/","123 E 88th St")</f>
        <v>123 E 88th St</v>
      </c>
      <c r="F521" s="25" t="s">
        <v>44</v>
      </c>
      <c r="G521" s="28">
        <v>435000.0</v>
      </c>
      <c r="H521" s="28">
        <v>870.0</v>
      </c>
      <c r="I521" s="28">
        <v>1049.0</v>
      </c>
      <c r="J521" s="28">
        <v>0.0</v>
      </c>
      <c r="K521" s="25" t="s">
        <v>25</v>
      </c>
      <c r="L521" s="26">
        <v>3.0</v>
      </c>
      <c r="M521" s="26">
        <v>2.0</v>
      </c>
      <c r="N521" s="26">
        <v>1.0</v>
      </c>
      <c r="O521" s="26">
        <v>0.0</v>
      </c>
      <c r="P521" s="26">
        <v>500.0</v>
      </c>
      <c r="Q521" s="35">
        <v>305.0</v>
      </c>
      <c r="R521" s="32">
        <v>45860.0</v>
      </c>
      <c r="S521" s="32">
        <v>45558.0</v>
      </c>
      <c r="T521" s="29"/>
      <c r="U521" s="33"/>
      <c r="V521" s="1"/>
    </row>
    <row r="522" ht="24.0" customHeight="1">
      <c r="A522" s="1"/>
      <c r="B522" s="24" t="str">
        <f>HYPERLINK("https://www.compass.com/listing/1070-park-avenue-unit-1d-manhattan-ny-10128/1628047144797638209/view?agent_id=610d3f3370540700019b0833","1070 Park Avenue, Unit 1D")</f>
        <v>1070 Park Avenue, Unit 1D</v>
      </c>
      <c r="C522" s="25" t="s">
        <v>22</v>
      </c>
      <c r="D522" s="26" t="s">
        <v>23</v>
      </c>
      <c r="E522" s="27" t="str">
        <f>HYPERLINK("https://www.compass.com/building/1070-park-ave-manhattan-ny-10128/282045697828608997/","1070 Park Ave")</f>
        <v>1070 Park Ave</v>
      </c>
      <c r="F522" s="25" t="s">
        <v>44</v>
      </c>
      <c r="G522" s="28">
        <v>295000.0</v>
      </c>
      <c r="H522" s="28">
        <v>295.0</v>
      </c>
      <c r="I522" s="28">
        <v>6603.0</v>
      </c>
      <c r="J522" s="28">
        <v>0.0</v>
      </c>
      <c r="K522" s="25" t="s">
        <v>25</v>
      </c>
      <c r="L522" s="26">
        <v>4.0</v>
      </c>
      <c r="M522" s="26">
        <v>2.0</v>
      </c>
      <c r="N522" s="26">
        <v>1.0</v>
      </c>
      <c r="O522" s="26">
        <v>0.0</v>
      </c>
      <c r="P522" s="34">
        <v>1000.0</v>
      </c>
      <c r="Q522" s="35">
        <v>144.0</v>
      </c>
      <c r="R522" s="32">
        <v>45859.0</v>
      </c>
      <c r="S522" s="32">
        <v>45719.0</v>
      </c>
      <c r="T522" s="29"/>
      <c r="U522" s="33"/>
      <c r="V522" s="1"/>
    </row>
    <row r="523" ht="24.0" customHeight="1">
      <c r="A523" s="1"/>
      <c r="B523" s="24" t="str">
        <f>HYPERLINK("https://www.compass.com/listing/635-west-42nd-street-unit-14g-manhattan-ny-10036/1674429063228824737/view?agent_id=610d3f3370540700019b0833","635 West 42nd Street, Unit 14G")</f>
        <v>635 West 42nd Street, Unit 14G</v>
      </c>
      <c r="C523" s="25" t="s">
        <v>22</v>
      </c>
      <c r="D523" s="26" t="s">
        <v>23</v>
      </c>
      <c r="E523" s="27" t="str">
        <f>HYPERLINK("https://www.compass.com/building/the-atelier-manhattan-ny/282026826413386389/","The Atelier")</f>
        <v>The Atelier</v>
      </c>
      <c r="F523" s="25" t="s">
        <v>47</v>
      </c>
      <c r="G523" s="28">
        <v>1200000.0</v>
      </c>
      <c r="H523" s="28">
        <v>1500.0</v>
      </c>
      <c r="I523" s="28">
        <v>2000.0</v>
      </c>
      <c r="J523" s="28">
        <v>13800.0</v>
      </c>
      <c r="K523" s="25" t="s">
        <v>28</v>
      </c>
      <c r="L523" s="26">
        <v>4.0</v>
      </c>
      <c r="M523" s="26">
        <v>2.0</v>
      </c>
      <c r="N523" s="26">
        <v>1.0</v>
      </c>
      <c r="O523" s="30"/>
      <c r="P523" s="26">
        <v>800.0</v>
      </c>
      <c r="Q523" s="35">
        <v>302.0</v>
      </c>
      <c r="R523" s="32">
        <v>45562.0</v>
      </c>
      <c r="S523" s="32">
        <v>45561.0</v>
      </c>
      <c r="T523" s="29"/>
      <c r="U523" s="33"/>
      <c r="V523" s="1"/>
    </row>
    <row r="524" ht="24.0" customHeight="1">
      <c r="A524" s="1"/>
      <c r="B524" s="24" t="str">
        <f>HYPERLINK("https://www.compass.com/listing/1564-unionport-road-unit-1d-bronx-ny-10462/1869811699322186337/view?agent_id=610d3f3370540700019b0833","1564 Unionport Road, Unit 1D")</f>
        <v>1564 Unionport Road, Unit 1D</v>
      </c>
      <c r="C524" s="25" t="s">
        <v>22</v>
      </c>
      <c r="D524" s="26" t="s">
        <v>23</v>
      </c>
      <c r="E524" s="27" t="str">
        <f>HYPERLINK("https://www.compass.com/building/1564-unionport-rd-bronx-ny-10462/294840012801491077/","1564 Unionport Rd")</f>
        <v>1564 Unionport Rd</v>
      </c>
      <c r="F524" s="25" t="s">
        <v>129</v>
      </c>
      <c r="G524" s="28">
        <v>320000.0</v>
      </c>
      <c r="H524" s="28">
        <v>439.0</v>
      </c>
      <c r="I524" s="28">
        <v>1173.0</v>
      </c>
      <c r="J524" s="28">
        <v>1750.0</v>
      </c>
      <c r="K524" s="25" t="s">
        <v>28</v>
      </c>
      <c r="L524" s="26">
        <v>5.0</v>
      </c>
      <c r="M524" s="26">
        <v>2.0</v>
      </c>
      <c r="N524" s="26">
        <v>1.0</v>
      </c>
      <c r="O524" s="30"/>
      <c r="P524" s="26">
        <v>729.0</v>
      </c>
      <c r="Q524" s="35">
        <v>32.0</v>
      </c>
      <c r="R524" s="32">
        <v>45832.0</v>
      </c>
      <c r="S524" s="32">
        <v>45831.0</v>
      </c>
      <c r="T524" s="29"/>
      <c r="U524" s="33"/>
      <c r="V524" s="1"/>
    </row>
    <row r="525" ht="24.0" customHeight="1">
      <c r="A525" s="1"/>
      <c r="B525" s="24" t="str">
        <f>HYPERLINK("https://www.compass.com/listing/635-west-42nd-street-unit-19g-manhattan-ny-10036/1838992061127025809/view?agent_id=610d3f3370540700019b0833","635 West 42nd Street, Unit 19G")</f>
        <v>635 West 42nd Street, Unit 19G</v>
      </c>
      <c r="C525" s="25" t="s">
        <v>22</v>
      </c>
      <c r="D525" s="26" t="s">
        <v>23</v>
      </c>
      <c r="E525" s="27" t="str">
        <f>HYPERLINK("https://www.compass.com/building/the-atelier-manhattan-ny/282026826413386389/","The Atelier")</f>
        <v>The Atelier</v>
      </c>
      <c r="F525" s="25" t="s">
        <v>47</v>
      </c>
      <c r="G525" s="28">
        <v>1400000.0</v>
      </c>
      <c r="H525" s="28">
        <v>1750.0</v>
      </c>
      <c r="I525" s="28">
        <v>1440.0</v>
      </c>
      <c r="J525" s="28">
        <v>9360.0</v>
      </c>
      <c r="K525" s="25" t="s">
        <v>28</v>
      </c>
      <c r="L525" s="26">
        <v>3.0</v>
      </c>
      <c r="M525" s="26">
        <v>2.0</v>
      </c>
      <c r="N525" s="30"/>
      <c r="O525" s="30"/>
      <c r="P525" s="26">
        <v>800.0</v>
      </c>
      <c r="Q525" s="35">
        <v>2255.0</v>
      </c>
      <c r="R525" s="32">
        <v>43552.0</v>
      </c>
      <c r="S525" s="32">
        <v>43514.0</v>
      </c>
      <c r="T525" s="29"/>
      <c r="U525" s="33"/>
      <c r="V525" s="1"/>
    </row>
    <row r="526" ht="24.0" customHeight="1">
      <c r="A526" s="1"/>
      <c r="B526" s="24" t="str">
        <f>HYPERLINK("https://www.compass.com/listing/1545-archer-road-unit-2g-bronx-ny-10462/1839084200423557537/view?agent_id=610d3f3370540700019b0833","1545 Archer Road, Unit 2G")</f>
        <v>1545 Archer Road, Unit 2G</v>
      </c>
      <c r="C526" s="25" t="s">
        <v>22</v>
      </c>
      <c r="D526" s="26" t="s">
        <v>23</v>
      </c>
      <c r="E526" s="27" t="str">
        <f>HYPERLINK("https://www.compass.com/building/1545-archer-rd-bronx-ny-10462/307442424473184245/","1545 Archer Rd")</f>
        <v>1545 Archer Rd</v>
      </c>
      <c r="F526" s="25" t="s">
        <v>129</v>
      </c>
      <c r="G526" s="28">
        <v>234999.0</v>
      </c>
      <c r="H526" s="28">
        <v>292.0</v>
      </c>
      <c r="I526" s="28">
        <v>1132.0</v>
      </c>
      <c r="J526" s="28">
        <v>792.0</v>
      </c>
      <c r="K526" s="25" t="s">
        <v>28</v>
      </c>
      <c r="L526" s="26">
        <v>7.0</v>
      </c>
      <c r="M526" s="26">
        <v>2.0</v>
      </c>
      <c r="N526" s="26">
        <v>1.0</v>
      </c>
      <c r="O526" s="30"/>
      <c r="P526" s="26">
        <v>804.0</v>
      </c>
      <c r="Q526" s="35">
        <v>75.0</v>
      </c>
      <c r="R526" s="32">
        <v>45789.0</v>
      </c>
      <c r="S526" s="32">
        <v>45788.0</v>
      </c>
      <c r="T526" s="29"/>
      <c r="U526" s="33"/>
      <c r="V526" s="1"/>
    </row>
    <row r="527" ht="24.0" customHeight="1">
      <c r="A527" s="1"/>
      <c r="B527" s="24" t="str">
        <f>HYPERLINK("https://www.compass.com/listing/260-beach-81st-street-unit-1d-queens-ny-11693/1892227850941570569/view?agent_id=610d3f3370540700019b0833","260 Beach 81st Street, Unit 1D")</f>
        <v>260 Beach 81st Street, Unit 1D</v>
      </c>
      <c r="C527" s="25" t="s">
        <v>22</v>
      </c>
      <c r="D527" s="26" t="s">
        <v>23</v>
      </c>
      <c r="E527" s="27" t="str">
        <f>HYPERLINK("https://www.compass.com/building/260-beach-81st-st-queens-ny-11693/307435657970099941/","260 Beach 81st St")</f>
        <v>260 Beach 81st St</v>
      </c>
      <c r="F527" s="25" t="s">
        <v>35</v>
      </c>
      <c r="G527" s="28">
        <v>390000.0</v>
      </c>
      <c r="H527" s="28">
        <v>433.0</v>
      </c>
      <c r="I527" s="28">
        <v>1071.0</v>
      </c>
      <c r="J527" s="28">
        <v>3474.0</v>
      </c>
      <c r="K527" s="25" t="s">
        <v>28</v>
      </c>
      <c r="L527" s="26">
        <v>4.0</v>
      </c>
      <c r="M527" s="26">
        <v>2.0</v>
      </c>
      <c r="N527" s="26">
        <v>1.0</v>
      </c>
      <c r="O527" s="30"/>
      <c r="P527" s="26">
        <v>900.0</v>
      </c>
      <c r="Q527" s="35">
        <v>1.0</v>
      </c>
      <c r="R527" s="32">
        <v>45863.0</v>
      </c>
      <c r="S527" s="32">
        <v>45862.0</v>
      </c>
      <c r="T527" s="29"/>
      <c r="U527" s="33"/>
      <c r="V527" s="1"/>
    </row>
    <row r="528" ht="24.0" customHeight="1">
      <c r="A528" s="1"/>
      <c r="B528" s="24" t="str">
        <f>HYPERLINK("https://www.compass.com/listing/635-west-42nd-street-unit-phh-manhattan-ny-10036/1680218532479707897/view?agent_id=610d3f3370540700019b0833","635 West 42nd Street, Unit PHH")</f>
        <v>635 West 42nd Street, Unit PHH</v>
      </c>
      <c r="C528" s="25" t="s">
        <v>22</v>
      </c>
      <c r="D528" s="26" t="s">
        <v>23</v>
      </c>
      <c r="E528" s="27" t="str">
        <f>HYPERLINK("https://www.compass.com/building/the-atelier-manhattan-ny/282026826413386389/","The Atelier")</f>
        <v>The Atelier</v>
      </c>
      <c r="F528" s="25" t="s">
        <v>47</v>
      </c>
      <c r="G528" s="28">
        <v>1300000.0</v>
      </c>
      <c r="H528" s="28">
        <v>1625.0</v>
      </c>
      <c r="I528" s="28">
        <v>1900.0</v>
      </c>
      <c r="J528" s="28">
        <v>13200.0</v>
      </c>
      <c r="K528" s="25" t="s">
        <v>28</v>
      </c>
      <c r="L528" s="26">
        <v>4.0</v>
      </c>
      <c r="M528" s="26">
        <v>2.0</v>
      </c>
      <c r="N528" s="26">
        <v>1.0</v>
      </c>
      <c r="O528" s="30"/>
      <c r="P528" s="26">
        <v>800.0</v>
      </c>
      <c r="Q528" s="35">
        <v>294.0</v>
      </c>
      <c r="R528" s="32">
        <v>45575.0</v>
      </c>
      <c r="S528" s="32">
        <v>45569.0</v>
      </c>
      <c r="T528" s="29"/>
      <c r="U528" s="33"/>
      <c r="V528" s="1"/>
    </row>
    <row r="529" ht="24.0" customHeight="1">
      <c r="A529" s="1"/>
      <c r="B529" s="24" t="str">
        <f>HYPERLINK("https://www.compass.com/listing/309-east-87th-street-unit-6h-manhattan-ny-10128/1703122229758463945/view?agent_id=610d3f3370540700019b0833","309 East 87th Street, Unit 6H")</f>
        <v>309 East 87th Street, Unit 6H</v>
      </c>
      <c r="C529" s="25" t="s">
        <v>22</v>
      </c>
      <c r="D529" s="26" t="s">
        <v>23</v>
      </c>
      <c r="E529" s="27" t="str">
        <f>HYPERLINK("https://www.compass.com/building/309-e-87th-st-manhattan-ny-10128/282059538545278277/","309 E 87th St")</f>
        <v>309 E 87th St</v>
      </c>
      <c r="F529" s="25" t="s">
        <v>44</v>
      </c>
      <c r="G529" s="28">
        <v>699000.0</v>
      </c>
      <c r="H529" s="29"/>
      <c r="I529" s="28">
        <v>1767.0</v>
      </c>
      <c r="J529" s="28">
        <v>0.0</v>
      </c>
      <c r="K529" s="25" t="s">
        <v>25</v>
      </c>
      <c r="L529" s="26">
        <v>3.0</v>
      </c>
      <c r="M529" s="26">
        <v>2.0</v>
      </c>
      <c r="N529" s="26">
        <v>1.0</v>
      </c>
      <c r="O529" s="26">
        <v>0.0</v>
      </c>
      <c r="P529" s="30"/>
      <c r="Q529" s="35">
        <v>259.0</v>
      </c>
      <c r="R529" s="32">
        <v>45853.0</v>
      </c>
      <c r="S529" s="32">
        <v>45604.0</v>
      </c>
      <c r="T529" s="29"/>
      <c r="U529" s="33"/>
      <c r="V529" s="1"/>
    </row>
    <row r="530" ht="24.0" customHeight="1">
      <c r="A530" s="1"/>
      <c r="B530" s="24" t="str">
        <f>HYPERLINK("https://www.compass.com/listing/421-crown-street-unit-16r-brooklyn-ny-11225/1511714777694823105/view?agent_id=610d3f3370540700019b0833","421 Crown Street, Unit 16R")</f>
        <v>421 Crown Street, Unit 16R</v>
      </c>
      <c r="C530" s="25" t="s">
        <v>22</v>
      </c>
      <c r="D530" s="26" t="s">
        <v>23</v>
      </c>
      <c r="E530" s="27" t="str">
        <f>HYPERLINK("https://www.compass.com/building/421-crown-st-brooklyn-ny-11225/293528945276579285/","421 Crown St")</f>
        <v>421 Crown St</v>
      </c>
      <c r="F530" s="25" t="s">
        <v>113</v>
      </c>
      <c r="G530" s="28">
        <v>429999.0</v>
      </c>
      <c r="H530" s="28">
        <v>533.0</v>
      </c>
      <c r="I530" s="28">
        <v>660.0</v>
      </c>
      <c r="J530" s="29"/>
      <c r="K530" s="25" t="s">
        <v>25</v>
      </c>
      <c r="L530" s="26">
        <v>4.0</v>
      </c>
      <c r="M530" s="26">
        <v>2.0</v>
      </c>
      <c r="N530" s="26">
        <v>1.0</v>
      </c>
      <c r="O530" s="30"/>
      <c r="P530" s="26">
        <v>806.0</v>
      </c>
      <c r="Q530" s="35">
        <v>526.0</v>
      </c>
      <c r="R530" s="32">
        <v>45863.0</v>
      </c>
      <c r="S530" s="32">
        <v>45337.0</v>
      </c>
      <c r="T530" s="29"/>
      <c r="U530" s="33"/>
      <c r="V530" s="1"/>
    </row>
    <row r="531" ht="24.0" customHeight="1">
      <c r="A531" s="1"/>
      <c r="B531" s="24" t="str">
        <f>HYPERLINK("https://www.compass.com/listing/555-west-149th-street-unit-3-manhattan-ny-10031/1810838578444735449/view?agent_id=610d3f3370540700019b0833","555 West 149th Street, Unit 3")</f>
        <v>555 West 149th Street, Unit 3</v>
      </c>
      <c r="C531" s="25" t="s">
        <v>22</v>
      </c>
      <c r="D531" s="26" t="s">
        <v>23</v>
      </c>
      <c r="E531" s="27" t="str">
        <f>HYPERLINK("https://www.compass.com/building/555-w-149th-st-manhattan-ny-10031/282001357156773269/","555 W 149th St")</f>
        <v>555 W 149th St</v>
      </c>
      <c r="F531" s="25" t="s">
        <v>71</v>
      </c>
      <c r="G531" s="28">
        <v>699000.0</v>
      </c>
      <c r="H531" s="28">
        <v>666.0</v>
      </c>
      <c r="I531" s="28">
        <v>1254.0</v>
      </c>
      <c r="J531" s="28">
        <v>6048.0</v>
      </c>
      <c r="K531" s="25" t="s">
        <v>28</v>
      </c>
      <c r="L531" s="26">
        <v>4.0</v>
      </c>
      <c r="M531" s="26">
        <v>2.0</v>
      </c>
      <c r="N531" s="26">
        <v>1.0</v>
      </c>
      <c r="O531" s="26">
        <v>0.0</v>
      </c>
      <c r="P531" s="34">
        <v>1050.0</v>
      </c>
      <c r="Q531" s="35">
        <v>113.0</v>
      </c>
      <c r="R531" s="32">
        <v>45863.0</v>
      </c>
      <c r="S531" s="32">
        <v>45750.0</v>
      </c>
      <c r="T531" s="29"/>
      <c r="U531" s="33"/>
      <c r="V531" s="1"/>
    </row>
    <row r="532" ht="24.0" customHeight="1">
      <c r="A532" s="1"/>
      <c r="B532" s="24" t="str">
        <f>HYPERLINK("https://www.compass.com/listing/541-west-133rd-street-unit-8-manhattan-ny-10027/1783221982472712409/view?agent_id=610d3f3370540700019b0833","541 West 133rd Street, Unit 8")</f>
        <v>541 West 133rd Street, Unit 8</v>
      </c>
      <c r="C532" s="25" t="s">
        <v>22</v>
      </c>
      <c r="D532" s="26" t="s">
        <v>23</v>
      </c>
      <c r="E532" s="27" t="str">
        <f>HYPERLINK("https://www.compass.com/building/541-w-133rd-st-manhattan-ny-10027/281983193471621333/","541 W 133rd St")</f>
        <v>541 W 133rd St</v>
      </c>
      <c r="F532" s="25" t="s">
        <v>50</v>
      </c>
      <c r="G532" s="28">
        <v>327000.0</v>
      </c>
      <c r="H532" s="28">
        <v>727.0</v>
      </c>
      <c r="I532" s="28">
        <v>540.0</v>
      </c>
      <c r="J532" s="28">
        <v>0.0</v>
      </c>
      <c r="K532" s="25" t="s">
        <v>25</v>
      </c>
      <c r="L532" s="26">
        <v>3.0</v>
      </c>
      <c r="M532" s="26">
        <v>2.0</v>
      </c>
      <c r="N532" s="26">
        <v>1.0</v>
      </c>
      <c r="O532" s="30"/>
      <c r="P532" s="26">
        <v>450.0</v>
      </c>
      <c r="Q532" s="35">
        <v>153.0</v>
      </c>
      <c r="R532" s="32">
        <v>45712.0</v>
      </c>
      <c r="S532" s="32">
        <v>45710.0</v>
      </c>
      <c r="T532" s="29"/>
      <c r="U532" s="33"/>
      <c r="V532" s="1"/>
    </row>
    <row r="533" ht="24.0" customHeight="1">
      <c r="A533" s="1"/>
      <c r="B533" s="24" t="str">
        <f>HYPERLINK("https://www.compass.com/listing/144-18-78th-avenue-unit-2n-queens-ny-11367/1888480055028870545/view?agent_id=610d3f3370540700019b0833","144-18 78th Avenue, Unit 2N")</f>
        <v>144-18 78th Avenue, Unit 2N</v>
      </c>
      <c r="C533" s="25" t="s">
        <v>22</v>
      </c>
      <c r="D533" s="26" t="s">
        <v>23</v>
      </c>
      <c r="E533" s="27" t="str">
        <f>HYPERLINK("https://www.compass.com/building/144-18-78th-ave-queens-ny-11367/307459016678342693/","144-18 78th Ave")</f>
        <v>144-18 78th Ave</v>
      </c>
      <c r="F533" s="25" t="s">
        <v>142</v>
      </c>
      <c r="G533" s="28">
        <v>310000.0</v>
      </c>
      <c r="H533" s="28">
        <v>326.0</v>
      </c>
      <c r="I533" s="28">
        <v>1006.0</v>
      </c>
      <c r="J533" s="29"/>
      <c r="K533" s="25" t="s">
        <v>25</v>
      </c>
      <c r="L533" s="26">
        <v>5.0</v>
      </c>
      <c r="M533" s="26">
        <v>2.0</v>
      </c>
      <c r="N533" s="26">
        <v>1.0</v>
      </c>
      <c r="O533" s="30"/>
      <c r="P533" s="26">
        <v>950.0</v>
      </c>
      <c r="Q533" s="35">
        <v>6.0</v>
      </c>
      <c r="R533" s="32">
        <v>45860.0</v>
      </c>
      <c r="S533" s="32">
        <v>45857.0</v>
      </c>
      <c r="T533" s="29"/>
      <c r="U533" s="33"/>
      <c r="V533" s="1"/>
    </row>
    <row r="534" ht="24.0" customHeight="1">
      <c r="A534" s="1"/>
      <c r="B534" s="24" t="str">
        <f>HYPERLINK("https://www.compass.com/listing/754-brady-avenue-unit-303-bronx-ny-10462/1884128411385806857/view?agent_id=610d3f3370540700019b0833","754 Brady Avenue, Unit 303")</f>
        <v>754 Brady Avenue, Unit 303</v>
      </c>
      <c r="C534" s="25" t="s">
        <v>22</v>
      </c>
      <c r="D534" s="26" t="s">
        <v>23</v>
      </c>
      <c r="E534" s="27" t="str">
        <f>HYPERLINK("https://www.compass.com/building/brady-court-bronx-ny/293418292549346885/","Brady Court")</f>
        <v>Brady Court</v>
      </c>
      <c r="F534" s="25" t="s">
        <v>147</v>
      </c>
      <c r="G534" s="28">
        <v>225000.0</v>
      </c>
      <c r="H534" s="29"/>
      <c r="I534" s="28">
        <v>897.0</v>
      </c>
      <c r="J534" s="28">
        <v>0.0</v>
      </c>
      <c r="K534" s="25" t="s">
        <v>25</v>
      </c>
      <c r="L534" s="26">
        <v>4.0</v>
      </c>
      <c r="M534" s="26">
        <v>2.0</v>
      </c>
      <c r="N534" s="26">
        <v>1.0</v>
      </c>
      <c r="O534" s="26">
        <v>0.0</v>
      </c>
      <c r="P534" s="30"/>
      <c r="Q534" s="35">
        <v>12.0</v>
      </c>
      <c r="R534" s="32">
        <v>45858.0</v>
      </c>
      <c r="S534" s="32">
        <v>45851.0</v>
      </c>
      <c r="T534" s="29"/>
      <c r="U534" s="33"/>
      <c r="V534" s="1"/>
    </row>
    <row r="535" ht="24.0" customHeight="1">
      <c r="A535" s="1"/>
      <c r="B535" s="24" t="str">
        <f>HYPERLINK("https://www.compass.com/listing/324-east-50th-street-unit-4d-manhattan-ny-10022/1855758291950534297/view?agent_id=610d3f3370540700019b0833","324 East 50th Street, Unit 4D")</f>
        <v>324 East 50th Street, Unit 4D</v>
      </c>
      <c r="C535" s="25" t="s">
        <v>22</v>
      </c>
      <c r="D535" s="26" t="s">
        <v>23</v>
      </c>
      <c r="E535" s="27" t="str">
        <f>HYPERLINK("https://www.compass.com/building/324-e-50th-st-manhattan-ny-10022/567561965369147789/","324 E 50th St")</f>
        <v>324 E 50th St</v>
      </c>
      <c r="F535" s="25" t="s">
        <v>66</v>
      </c>
      <c r="G535" s="28">
        <v>589000.0</v>
      </c>
      <c r="H535" s="29"/>
      <c r="I535" s="28">
        <v>1431.0</v>
      </c>
      <c r="J535" s="28">
        <v>0.0</v>
      </c>
      <c r="K535" s="25" t="s">
        <v>25</v>
      </c>
      <c r="L535" s="26">
        <v>4.0</v>
      </c>
      <c r="M535" s="26">
        <v>2.0</v>
      </c>
      <c r="N535" s="26">
        <v>1.0</v>
      </c>
      <c r="O535" s="26">
        <v>0.0</v>
      </c>
      <c r="P535" s="26">
        <v>0.0</v>
      </c>
      <c r="Q535" s="35">
        <v>51.0</v>
      </c>
      <c r="R535" s="32">
        <v>45858.0</v>
      </c>
      <c r="S535" s="32">
        <v>45812.0</v>
      </c>
      <c r="T535" s="29"/>
      <c r="U535" s="33"/>
      <c r="V535" s="1"/>
    </row>
    <row r="536" ht="24.0" customHeight="1">
      <c r="A536" s="1"/>
      <c r="B536" s="24" t="str">
        <f>HYPERLINK("https://www.compass.com/listing/9-pinehurst-avenue-unit-1c-manhattan-ny-10033/1872101916322277401/view?agent_id=610d3f3370540700019b0833","9 Pinehurst Avenue, Unit 1C")</f>
        <v>9 Pinehurst Avenue, Unit 1C</v>
      </c>
      <c r="C536" s="25" t="s">
        <v>22</v>
      </c>
      <c r="D536" s="26" t="s">
        <v>23</v>
      </c>
      <c r="E536" s="27" t="str">
        <f>HYPERLINK("https://www.compass.com/building/pinehurst-house-manhattan-ny/282060491348542021/","Pinehurst House")</f>
        <v>Pinehurst House</v>
      </c>
      <c r="F536" s="25" t="s">
        <v>58</v>
      </c>
      <c r="G536" s="28">
        <v>585000.0</v>
      </c>
      <c r="H536" s="29"/>
      <c r="I536" s="28">
        <v>884.0</v>
      </c>
      <c r="J536" s="28">
        <v>0.0</v>
      </c>
      <c r="K536" s="25" t="s">
        <v>25</v>
      </c>
      <c r="L536" s="26">
        <v>4.0</v>
      </c>
      <c r="M536" s="26">
        <v>2.0</v>
      </c>
      <c r="N536" s="26">
        <v>1.0</v>
      </c>
      <c r="O536" s="26">
        <v>0.0</v>
      </c>
      <c r="P536" s="30"/>
      <c r="Q536" s="35">
        <v>29.0</v>
      </c>
      <c r="R536" s="32">
        <v>45860.0</v>
      </c>
      <c r="S536" s="32">
        <v>45834.0</v>
      </c>
      <c r="T536" s="29"/>
      <c r="U536" s="33"/>
      <c r="V536" s="1"/>
    </row>
    <row r="537" ht="24.0" customHeight="1">
      <c r="A537" s="1"/>
      <c r="B537" s="24" t="str">
        <f>HYPERLINK("https://www.compass.com/listing/74-04-255th-street-unit-g1-queens-ny-11004/1886470713744521593/view?agent_id=610d3f3370540700019b0833","74-04 255th Street, Unit G1")</f>
        <v>74-04 255th Street, Unit G1</v>
      </c>
      <c r="C537" s="25" t="s">
        <v>22</v>
      </c>
      <c r="D537" s="26" t="s">
        <v>23</v>
      </c>
      <c r="E537" s="27" t="str">
        <f>HYPERLINK("https://www.compass.com/building/74-04-255th-st-queens-ny-11004/307452108273786229/","74-04 255th St")</f>
        <v>74-04 255th St</v>
      </c>
      <c r="F537" s="25" t="s">
        <v>92</v>
      </c>
      <c r="G537" s="28">
        <v>389900.0</v>
      </c>
      <c r="H537" s="28">
        <v>541.0</v>
      </c>
      <c r="I537" s="28">
        <v>842.0</v>
      </c>
      <c r="J537" s="29"/>
      <c r="K537" s="25" t="s">
        <v>25</v>
      </c>
      <c r="L537" s="26">
        <v>4.0</v>
      </c>
      <c r="M537" s="26">
        <v>2.0</v>
      </c>
      <c r="N537" s="26">
        <v>1.0</v>
      </c>
      <c r="O537" s="30"/>
      <c r="P537" s="26">
        <v>721.0</v>
      </c>
      <c r="Q537" s="35">
        <v>6.0</v>
      </c>
      <c r="R537" s="32">
        <v>45857.0</v>
      </c>
      <c r="S537" s="32">
        <v>45857.0</v>
      </c>
      <c r="T537" s="29"/>
      <c r="U537" s="33"/>
      <c r="V537" s="1"/>
    </row>
    <row r="538" ht="24.0" customHeight="1">
      <c r="A538" s="1"/>
      <c r="B538" s="24" t="str">
        <f>HYPERLINK("https://www.compass.com/listing/324-east-41st-street-unit-904c-manhattan-ny-10017/1871211912703993617/view?agent_id=610d3f3370540700019b0833","324 East 41st Street, Unit 904C")</f>
        <v>324 East 41st Street, Unit 904C</v>
      </c>
      <c r="C538" s="25" t="s">
        <v>22</v>
      </c>
      <c r="D538" s="26" t="s">
        <v>23</v>
      </c>
      <c r="E538" s="27" t="str">
        <f>HYPERLINK("https://www.compass.com/building/324-e-41st-st-manhattan-ny-10017/282060254949181717/","324 E 41st St")</f>
        <v>324 E 41st St</v>
      </c>
      <c r="F538" s="25" t="s">
        <v>72</v>
      </c>
      <c r="G538" s="28">
        <v>850000.0</v>
      </c>
      <c r="H538" s="29"/>
      <c r="I538" s="28">
        <v>2154.0</v>
      </c>
      <c r="J538" s="28">
        <v>0.0</v>
      </c>
      <c r="K538" s="25" t="s">
        <v>25</v>
      </c>
      <c r="L538" s="26">
        <v>4.0</v>
      </c>
      <c r="M538" s="26">
        <v>2.0</v>
      </c>
      <c r="N538" s="26">
        <v>1.0</v>
      </c>
      <c r="O538" s="26">
        <v>0.0</v>
      </c>
      <c r="P538" s="30"/>
      <c r="Q538" s="35">
        <v>30.0</v>
      </c>
      <c r="R538" s="32">
        <v>45860.0</v>
      </c>
      <c r="S538" s="32">
        <v>45833.0</v>
      </c>
      <c r="T538" s="29"/>
      <c r="U538" s="33"/>
      <c r="V538" s="1"/>
    </row>
    <row r="539" ht="24.0" customHeight="1">
      <c r="A539" s="1"/>
      <c r="B539" s="24" t="str">
        <f>HYPERLINK("https://www.compass.com/listing/1505-archer-road-unit-6b-bronx-ny-10462/1885592391187450273/view?agent_id=610d3f3370540700019b0833","1505 Archer Road, Unit 6B")</f>
        <v>1505 Archer Road, Unit 6B</v>
      </c>
      <c r="C539" s="25" t="s">
        <v>22</v>
      </c>
      <c r="D539" s="26" t="s">
        <v>23</v>
      </c>
      <c r="E539" s="27" t="str">
        <f>HYPERLINK("https://www.compass.com/building/1505-archer-rd-bronx-ny-10462/293526490719577941/","1505 Archer Rd")</f>
        <v>1505 Archer Rd</v>
      </c>
      <c r="F539" s="25" t="s">
        <v>129</v>
      </c>
      <c r="G539" s="28">
        <v>338000.0</v>
      </c>
      <c r="H539" s="28">
        <v>398.0</v>
      </c>
      <c r="I539" s="28">
        <v>1158.0</v>
      </c>
      <c r="J539" s="28">
        <v>712.0</v>
      </c>
      <c r="K539" s="25" t="s">
        <v>28</v>
      </c>
      <c r="L539" s="26">
        <v>4.0</v>
      </c>
      <c r="M539" s="26">
        <v>2.0</v>
      </c>
      <c r="N539" s="26">
        <v>1.0</v>
      </c>
      <c r="O539" s="30"/>
      <c r="P539" s="26">
        <v>850.0</v>
      </c>
      <c r="Q539" s="35">
        <v>10.0</v>
      </c>
      <c r="R539" s="32">
        <v>45859.0</v>
      </c>
      <c r="S539" s="32">
        <v>45853.0</v>
      </c>
      <c r="T539" s="29"/>
      <c r="U539" s="33"/>
      <c r="V539" s="1"/>
    </row>
    <row r="540" ht="24.0" customHeight="1">
      <c r="A540" s="1"/>
      <c r="B540" s="24" t="str">
        <f>HYPERLINK("https://www.compass.com/listing/144-44-41st-avenue-unit-3e-queens-ny-11355/1892944175003109497/view?agent_id=610d3f3370540700019b0833","144-44 41st Avenue, Unit 3E")</f>
        <v>144-44 41st Avenue, Unit 3E</v>
      </c>
      <c r="C540" s="25" t="s">
        <v>22</v>
      </c>
      <c r="D540" s="26" t="s">
        <v>23</v>
      </c>
      <c r="E540" s="27" t="str">
        <f>HYPERLINK("https://www.compass.com/building/144-44-41st-ave-queens-ny-11355/293528858068571813/","144-44 41st Ave")</f>
        <v>144-44 41st Ave</v>
      </c>
      <c r="F540" s="25" t="s">
        <v>160</v>
      </c>
      <c r="G540" s="28">
        <v>458000.0</v>
      </c>
      <c r="H540" s="28">
        <v>458.0</v>
      </c>
      <c r="I540" s="28">
        <v>1040.0</v>
      </c>
      <c r="J540" s="29"/>
      <c r="K540" s="25" t="s">
        <v>25</v>
      </c>
      <c r="L540" s="26">
        <v>5.0</v>
      </c>
      <c r="M540" s="26">
        <v>2.0</v>
      </c>
      <c r="N540" s="26">
        <v>1.0</v>
      </c>
      <c r="O540" s="30"/>
      <c r="P540" s="34">
        <v>1000.0</v>
      </c>
      <c r="Q540" s="35">
        <v>0.0</v>
      </c>
      <c r="R540" s="32">
        <v>45863.0</v>
      </c>
      <c r="S540" s="32">
        <v>45863.0</v>
      </c>
      <c r="T540" s="29"/>
      <c r="U540" s="33"/>
      <c r="V540" s="1"/>
    </row>
    <row r="541" ht="24.0" customHeight="1">
      <c r="A541" s="1"/>
      <c r="B541" s="24" t="str">
        <f>HYPERLINK("https://www.compass.com/listing/212-east-47th-street-unit-14e-manhattan-ny-10017/1847253847940138049/view?agent_id=610d3f3370540700019b0833","212 East 47th Street, Unit 14E")</f>
        <v>212 East 47th Street, Unit 14E</v>
      </c>
      <c r="C541" s="25" t="s">
        <v>22</v>
      </c>
      <c r="D541" s="26" t="s">
        <v>23</v>
      </c>
      <c r="E541" s="27" t="str">
        <f>HYPERLINK("https://www.compass.com/building/212-e-47th-st-manhattan-ny-10017/281941782973964293/","212 E 47th St")</f>
        <v>212 E 47th St</v>
      </c>
      <c r="F541" s="25" t="s">
        <v>66</v>
      </c>
      <c r="G541" s="28">
        <v>1092500.0</v>
      </c>
      <c r="H541" s="28">
        <v>1305.0</v>
      </c>
      <c r="I541" s="28">
        <v>1964.0</v>
      </c>
      <c r="J541" s="28">
        <v>11482.0</v>
      </c>
      <c r="K541" s="25" t="s">
        <v>28</v>
      </c>
      <c r="L541" s="26">
        <v>4.0</v>
      </c>
      <c r="M541" s="26">
        <v>2.0</v>
      </c>
      <c r="N541" s="26">
        <v>1.0</v>
      </c>
      <c r="O541" s="30"/>
      <c r="P541" s="26">
        <v>837.0</v>
      </c>
      <c r="Q541" s="35">
        <v>63.0</v>
      </c>
      <c r="R541" s="32">
        <v>45862.0</v>
      </c>
      <c r="S541" s="32">
        <v>45800.0</v>
      </c>
      <c r="T541" s="29"/>
      <c r="U541" s="33"/>
      <c r="V541" s="1"/>
    </row>
    <row r="542" ht="24.0" customHeight="1">
      <c r="A542" s="1"/>
      <c r="B542" s="24" t="str">
        <f>HYPERLINK("https://www.compass.com/listing/231-08-mentone-avenue-queens-ny-11413/1892864277337578217/view?agent_id=610d3f3370540700019b0833","231-08 Mentone Avenue")</f>
        <v>231-08 Mentone Avenue</v>
      </c>
      <c r="C542" s="25" t="s">
        <v>22</v>
      </c>
      <c r="D542" s="26" t="s">
        <v>23</v>
      </c>
      <c r="E542" s="27" t="str">
        <f>HYPERLINK("https://www.compass.com/building/231-08-mentone-ave-queens-ny-11413/293527841461521125/","231-08 Mentone Ave")</f>
        <v>231-08 Mentone Ave</v>
      </c>
      <c r="F542" s="25" t="s">
        <v>161</v>
      </c>
      <c r="G542" s="28">
        <v>699000.0</v>
      </c>
      <c r="H542" s="28">
        <v>520.0</v>
      </c>
      <c r="I542" s="28">
        <v>448.0</v>
      </c>
      <c r="J542" s="28">
        <v>5378.0</v>
      </c>
      <c r="K542" s="25" t="s">
        <v>149</v>
      </c>
      <c r="L542" s="30"/>
      <c r="M542" s="26">
        <v>2.0</v>
      </c>
      <c r="N542" s="26">
        <v>1.0</v>
      </c>
      <c r="O542" s="30"/>
      <c r="P542" s="34">
        <v>1344.0</v>
      </c>
      <c r="Q542" s="35">
        <v>0.0</v>
      </c>
      <c r="R542" s="32">
        <v>45863.0</v>
      </c>
      <c r="S542" s="32">
        <v>45863.0</v>
      </c>
      <c r="T542" s="29"/>
      <c r="U542" s="33"/>
      <c r="V542" s="1"/>
    </row>
    <row r="543" ht="24.0" customHeight="1">
      <c r="A543" s="1"/>
      <c r="B543" s="24" t="str">
        <f>HYPERLINK("https://www.compass.com/listing/3845-shore-parkway-unit-5d-brooklyn-ny-11235/1882454108613335897/view?agent_id=610d3f3370540700019b0833","3845 Shore Parkway, Unit 5D")</f>
        <v>3845 Shore Parkway, Unit 5D</v>
      </c>
      <c r="C543" s="25" t="s">
        <v>22</v>
      </c>
      <c r="D543" s="26" t="s">
        <v>23</v>
      </c>
      <c r="E543" s="27" t="str">
        <f>HYPERLINK("https://www.compass.com/building/3845-shore-pkwy-brooklyn-ny-11235/293529038968849957/","3845 Shore Pkwy")</f>
        <v>3845 Shore Pkwy</v>
      </c>
      <c r="F543" s="25" t="s">
        <v>70</v>
      </c>
      <c r="G543" s="28">
        <v>419000.0</v>
      </c>
      <c r="H543" s="29"/>
      <c r="I543" s="28">
        <v>1063.0</v>
      </c>
      <c r="J543" s="28">
        <v>0.0</v>
      </c>
      <c r="K543" s="25" t="s">
        <v>25</v>
      </c>
      <c r="L543" s="26">
        <v>4.0</v>
      </c>
      <c r="M543" s="26">
        <v>2.0</v>
      </c>
      <c r="N543" s="26">
        <v>1.0</v>
      </c>
      <c r="O543" s="30"/>
      <c r="P543" s="26">
        <v>0.0</v>
      </c>
      <c r="Q543" s="35">
        <v>15.0</v>
      </c>
      <c r="R543" s="32">
        <v>45849.0</v>
      </c>
      <c r="S543" s="32">
        <v>45848.0</v>
      </c>
      <c r="T543" s="29"/>
      <c r="U543" s="33"/>
      <c r="V543" s="1"/>
    </row>
    <row r="544" ht="24.0" customHeight="1">
      <c r="A544" s="1"/>
      <c r="B544" s="24" t="str">
        <f>HYPERLINK("https://www.compass.com/listing/88-10-34th-avenue-unit-1d-queens-ny-11372/1813711234621461113/view?agent_id=610d3f3370540700019b0833","88-10 34th Avenue, Unit 1D")</f>
        <v>88-10 34th Avenue, Unit 1D</v>
      </c>
      <c r="C544" s="25" t="s">
        <v>22</v>
      </c>
      <c r="D544" s="26" t="s">
        <v>23</v>
      </c>
      <c r="E544" s="27" t="str">
        <f>HYPERLINK("https://www.compass.com/building/88-10-34th-ave-queens-ny-11372/293526247793777909/","88-10 34th Ave")</f>
        <v>88-10 34th Ave</v>
      </c>
      <c r="F544" s="25" t="s">
        <v>33</v>
      </c>
      <c r="G544" s="28">
        <v>405000.0</v>
      </c>
      <c r="H544" s="29"/>
      <c r="I544" s="28">
        <v>888.0</v>
      </c>
      <c r="J544" s="28">
        <v>0.0</v>
      </c>
      <c r="K544" s="25" t="s">
        <v>25</v>
      </c>
      <c r="L544" s="26">
        <v>5.0</v>
      </c>
      <c r="M544" s="26">
        <v>2.0</v>
      </c>
      <c r="N544" s="26">
        <v>1.0</v>
      </c>
      <c r="O544" s="30"/>
      <c r="P544" s="26">
        <v>0.0</v>
      </c>
      <c r="Q544" s="35">
        <v>110.0</v>
      </c>
      <c r="R544" s="32">
        <v>45754.0</v>
      </c>
      <c r="S544" s="32">
        <v>45753.0</v>
      </c>
      <c r="T544" s="29"/>
      <c r="U544" s="33"/>
      <c r="V544" s="1"/>
    </row>
    <row r="545" ht="24.0" customHeight="1">
      <c r="A545" s="1"/>
      <c r="B545" s="24" t="str">
        <f>HYPERLINK("https://www.compass.com/listing/1470-east-avenue-unit-5g-bronx-ny-10462/1867693180262251553/view?agent_id=610d3f3370540700019b0833","1470 East Avenue, Unit 5G")</f>
        <v>1470 East Avenue, Unit 5G</v>
      </c>
      <c r="C545" s="25" t="s">
        <v>22</v>
      </c>
      <c r="D545" s="26" t="s">
        <v>23</v>
      </c>
      <c r="E545" s="27" t="str">
        <f>HYPERLINK("https://www.compass.com/building/1470-east-ave-bronx-ny-10462/307445907549067269/","1470 East Ave")</f>
        <v>1470 East Ave</v>
      </c>
      <c r="F545" s="25" t="s">
        <v>129</v>
      </c>
      <c r="G545" s="28">
        <v>330000.0</v>
      </c>
      <c r="H545" s="28">
        <v>393.0</v>
      </c>
      <c r="I545" s="28">
        <v>53.0</v>
      </c>
      <c r="J545" s="28">
        <v>636.0</v>
      </c>
      <c r="K545" s="25" t="s">
        <v>28</v>
      </c>
      <c r="L545" s="26">
        <v>4.0</v>
      </c>
      <c r="M545" s="26">
        <v>2.0</v>
      </c>
      <c r="N545" s="26">
        <v>1.0</v>
      </c>
      <c r="O545" s="30"/>
      <c r="P545" s="26">
        <v>840.0</v>
      </c>
      <c r="Q545" s="35">
        <v>35.0</v>
      </c>
      <c r="R545" s="32">
        <v>45829.0</v>
      </c>
      <c r="S545" s="32">
        <v>45828.0</v>
      </c>
      <c r="T545" s="29"/>
      <c r="U545" s="33"/>
      <c r="V545" s="1"/>
    </row>
    <row r="546" ht="24.0" customHeight="1">
      <c r="A546" s="1"/>
      <c r="B546" s="24" t="str">
        <f>HYPERLINK("https://www.compass.com/listing/209-80-18th-avenue-unit-2g-queens-ny-11360/1891832850197871585/view?agent_id=610d3f3370540700019b0833","209-80 18th Avenue, Unit 2G")</f>
        <v>209-80 18th Avenue, Unit 2G</v>
      </c>
      <c r="C546" s="25" t="s">
        <v>22</v>
      </c>
      <c r="D546" s="26" t="s">
        <v>23</v>
      </c>
      <c r="E546" s="27" t="str">
        <f>HYPERLINK("https://www.compass.com/building/209-80-18th-ave-queens-ny-11360/307438809243116181/","209-80 18th Ave")</f>
        <v>209-80 18th Ave</v>
      </c>
      <c r="F546" s="25" t="s">
        <v>79</v>
      </c>
      <c r="G546" s="28">
        <v>264990.0</v>
      </c>
      <c r="H546" s="28">
        <v>241.0</v>
      </c>
      <c r="I546" s="28">
        <v>1736.0</v>
      </c>
      <c r="J546" s="29"/>
      <c r="K546" s="25" t="s">
        <v>25</v>
      </c>
      <c r="L546" s="26">
        <v>5.0</v>
      </c>
      <c r="M546" s="26">
        <v>2.0</v>
      </c>
      <c r="N546" s="26">
        <v>1.0</v>
      </c>
      <c r="O546" s="30"/>
      <c r="P546" s="34">
        <v>1100.0</v>
      </c>
      <c r="Q546" s="35">
        <v>1.0</v>
      </c>
      <c r="R546" s="32">
        <v>45863.0</v>
      </c>
      <c r="S546" s="32">
        <v>45862.0</v>
      </c>
      <c r="T546" s="29"/>
      <c r="U546" s="33"/>
      <c r="V546" s="1"/>
    </row>
    <row r="547" ht="24.0" customHeight="1">
      <c r="A547" s="1"/>
      <c r="B547" s="24" t="str">
        <f>HYPERLINK("https://www.compass.com/listing/32-40-89th-street-unit-209-queens-ny-11369/1886453506830524417/view?agent_id=610d3f3370540700019b0833","32-40 89th Street, Unit 209")</f>
        <v>32-40 89th Street, Unit 209</v>
      </c>
      <c r="C547" s="25" t="s">
        <v>22</v>
      </c>
      <c r="D547" s="26" t="s">
        <v>23</v>
      </c>
      <c r="E547" s="27" t="str">
        <f>HYPERLINK("https://www.compass.com/building/32-40-89th-st-queens-ny-11369/307454806460993237/","32-40 89th St")</f>
        <v>32-40 89th St</v>
      </c>
      <c r="F547" s="25" t="s">
        <v>33</v>
      </c>
      <c r="G547" s="28">
        <v>388000.0</v>
      </c>
      <c r="H547" s="28">
        <v>388.0</v>
      </c>
      <c r="I547" s="28">
        <v>1019.0</v>
      </c>
      <c r="J547" s="29"/>
      <c r="K547" s="25" t="s">
        <v>25</v>
      </c>
      <c r="L547" s="26">
        <v>5.0</v>
      </c>
      <c r="M547" s="26">
        <v>2.0</v>
      </c>
      <c r="N547" s="26">
        <v>1.0</v>
      </c>
      <c r="O547" s="30"/>
      <c r="P547" s="34">
        <v>1000.0</v>
      </c>
      <c r="Q547" s="35">
        <v>9.0</v>
      </c>
      <c r="R547" s="32">
        <v>45858.0</v>
      </c>
      <c r="S547" s="32">
        <v>45854.0</v>
      </c>
      <c r="T547" s="29"/>
      <c r="U547" s="33"/>
      <c r="V547" s="1"/>
    </row>
    <row r="548" ht="24.0" customHeight="1">
      <c r="A548" s="1"/>
      <c r="B548" s="24" t="str">
        <f>HYPERLINK("https://www.compass.com/listing/165-20-highland-avenue-unit-302-queens-ny-11432/1880542870428993713/view?agent_id=610d3f3370540700019b0833","165-20 Highland Avenue, Unit 302")</f>
        <v>165-20 Highland Avenue, Unit 302</v>
      </c>
      <c r="C548" s="25" t="s">
        <v>22</v>
      </c>
      <c r="D548" s="26" t="s">
        <v>23</v>
      </c>
      <c r="E548" s="27" t="str">
        <f>HYPERLINK("https://www.compass.com/building/165-20-highland-ave-queens-ny-11432/293527409037260293/","165-20 Highland Ave")</f>
        <v>165-20 Highland Ave</v>
      </c>
      <c r="F548" s="25" t="s">
        <v>162</v>
      </c>
      <c r="G548" s="28">
        <v>280000.0</v>
      </c>
      <c r="H548" s="28">
        <v>280.0</v>
      </c>
      <c r="I548" s="28">
        <v>1239.0</v>
      </c>
      <c r="J548" s="29"/>
      <c r="K548" s="25" t="s">
        <v>25</v>
      </c>
      <c r="L548" s="26">
        <v>4.0</v>
      </c>
      <c r="M548" s="26">
        <v>2.0</v>
      </c>
      <c r="N548" s="26">
        <v>1.0</v>
      </c>
      <c r="O548" s="30"/>
      <c r="P548" s="34">
        <v>1000.0</v>
      </c>
      <c r="Q548" s="35">
        <v>17.0</v>
      </c>
      <c r="R548" s="32">
        <v>45847.0</v>
      </c>
      <c r="S548" s="32">
        <v>45846.0</v>
      </c>
      <c r="T548" s="29"/>
      <c r="U548" s="33"/>
      <c r="V548" s="1"/>
    </row>
    <row r="549" ht="24.0" customHeight="1">
      <c r="A549" s="1"/>
      <c r="B549" s="24" t="str">
        <f>HYPERLINK("https://www.compass.com/listing/460-west-42nd-street-unit-57k-manhattan-ny-10036/1543312731693731609/view?agent_id=610d3f3370540700019b0833","460 West 42nd Street, Unit 57K")</f>
        <v>460 West 42nd Street, Unit 57K</v>
      </c>
      <c r="C549" s="25" t="s">
        <v>22</v>
      </c>
      <c r="D549" s="26" t="s">
        <v>23</v>
      </c>
      <c r="E549" s="27" t="str">
        <f>HYPERLINK("https://www.compass.com/building/manhattan-view-manhattan-ny/282058624119899157/","Manhattan View")</f>
        <v>Manhattan View</v>
      </c>
      <c r="F549" s="25" t="s">
        <v>47</v>
      </c>
      <c r="G549" s="28">
        <v>3289000.0</v>
      </c>
      <c r="H549" s="28">
        <v>2598.0</v>
      </c>
      <c r="I549" s="28">
        <v>5924.0</v>
      </c>
      <c r="J549" s="28">
        <v>40716.0</v>
      </c>
      <c r="K549" s="25" t="s">
        <v>28</v>
      </c>
      <c r="L549" s="26">
        <v>5.0</v>
      </c>
      <c r="M549" s="26">
        <v>2.0</v>
      </c>
      <c r="N549" s="26">
        <v>0.0</v>
      </c>
      <c r="O549" s="30"/>
      <c r="P549" s="34">
        <v>1266.0</v>
      </c>
      <c r="Q549" s="35">
        <v>483.0</v>
      </c>
      <c r="R549" s="32">
        <v>45499.0</v>
      </c>
      <c r="S549" s="32">
        <v>45380.0</v>
      </c>
      <c r="T549" s="29"/>
      <c r="U549" s="33"/>
      <c r="V549" s="1"/>
    </row>
    <row r="550" ht="24.0" customHeight="1">
      <c r="A550" s="1"/>
      <c r="B550" s="24" t="str">
        <f>HYPERLINK("https://www.compass.com/listing/48-35-43rd-street-unit-7a-queens-ny-11377/1881588668357609705/view?agent_id=610d3f3370540700019b0833","48-35 43rd Street, Unit 7A")</f>
        <v>48-35 43rd Street, Unit 7A</v>
      </c>
      <c r="C550" s="25" t="s">
        <v>22</v>
      </c>
      <c r="D550" s="26" t="s">
        <v>23</v>
      </c>
      <c r="E550" s="27" t="str">
        <f>HYPERLINK("https://www.compass.com/building/48-35-43rd-st-queens-ny-11377/307442584200751221/","48-35 43rd St")</f>
        <v>48-35 43rd St</v>
      </c>
      <c r="F550" s="25" t="s">
        <v>88</v>
      </c>
      <c r="G550" s="28">
        <v>630000.0</v>
      </c>
      <c r="H550" s="28">
        <v>677.0</v>
      </c>
      <c r="I550" s="28">
        <v>1280.0</v>
      </c>
      <c r="J550" s="29"/>
      <c r="K550" s="25" t="s">
        <v>25</v>
      </c>
      <c r="L550" s="26">
        <v>4.0</v>
      </c>
      <c r="M550" s="26">
        <v>2.0</v>
      </c>
      <c r="N550" s="26">
        <v>1.0</v>
      </c>
      <c r="O550" s="26">
        <v>0.0</v>
      </c>
      <c r="P550" s="26">
        <v>930.0</v>
      </c>
      <c r="Q550" s="35">
        <v>16.0</v>
      </c>
      <c r="R550" s="32">
        <v>45851.0</v>
      </c>
      <c r="S550" s="32">
        <v>45847.0</v>
      </c>
      <c r="T550" s="29"/>
      <c r="U550" s="33"/>
      <c r="V550" s="1"/>
    </row>
    <row r="551" ht="24.0" customHeight="1">
      <c r="A551" s="1"/>
      <c r="B551" s="24" t="str">
        <f>HYPERLINK("https://www.compass.com/listing/243-mcdonald-avenue-unit-1d-brooklyn-ny-11218/1728221249049815185/view?agent_id=610d3f3370540700019b0833","243 McDonald Avenue, Unit 1D")</f>
        <v>243 McDonald Avenue, Unit 1D</v>
      </c>
      <c r="C551" s="25" t="s">
        <v>22</v>
      </c>
      <c r="D551" s="26" t="s">
        <v>23</v>
      </c>
      <c r="E551" s="27" t="str">
        <f>HYPERLINK("https://www.compass.com/building/243-mcdonald-ave-brooklyn-ny-11218/293416561484606197/","243 Mcdonald Ave")</f>
        <v>243 Mcdonald Ave</v>
      </c>
      <c r="F551" s="25" t="s">
        <v>106</v>
      </c>
      <c r="G551" s="28">
        <v>599000.0</v>
      </c>
      <c r="H551" s="28">
        <v>599.0</v>
      </c>
      <c r="I551" s="28">
        <v>1100.0</v>
      </c>
      <c r="J551" s="29"/>
      <c r="K551" s="25" t="s">
        <v>25</v>
      </c>
      <c r="L551" s="26">
        <v>5.0</v>
      </c>
      <c r="M551" s="26">
        <v>2.0</v>
      </c>
      <c r="N551" s="26">
        <v>1.0</v>
      </c>
      <c r="O551" s="30"/>
      <c r="P551" s="34">
        <v>1000.0</v>
      </c>
      <c r="Q551" s="35">
        <v>225.0</v>
      </c>
      <c r="R551" s="32">
        <v>45862.0</v>
      </c>
      <c r="S551" s="32">
        <v>45637.0</v>
      </c>
      <c r="T551" s="29"/>
      <c r="U551" s="33"/>
      <c r="V551" s="1"/>
    </row>
    <row r="552" ht="24.0" customHeight="1">
      <c r="A552" s="1"/>
      <c r="B552" s="24" t="str">
        <f>HYPERLINK("https://www.compass.com/listing/3333-henry-hudson-parkway-unit-4f-bronx-ny-10463/1887913728618807305/view?agent_id=610d3f3370540700019b0833","3333 Henry Hudson Parkway, Unit 4F")</f>
        <v>3333 Henry Hudson Parkway, Unit 4F</v>
      </c>
      <c r="C552" s="25" t="s">
        <v>22</v>
      </c>
      <c r="D552" s="26" t="s">
        <v>23</v>
      </c>
      <c r="E552" s="27" t="str">
        <f>HYPERLINK("https://www.compass.com/building/the-whitehall-bronx-ny/294837813753110597/","The Whitehall")</f>
        <v>The Whitehall</v>
      </c>
      <c r="F552" s="25" t="s">
        <v>76</v>
      </c>
      <c r="G552" s="28">
        <v>325000.0</v>
      </c>
      <c r="H552" s="28">
        <v>325.0</v>
      </c>
      <c r="I552" s="28">
        <v>1813.0</v>
      </c>
      <c r="J552" s="29"/>
      <c r="K552" s="25" t="s">
        <v>25</v>
      </c>
      <c r="L552" s="26">
        <v>5.0</v>
      </c>
      <c r="M552" s="26">
        <v>2.0</v>
      </c>
      <c r="N552" s="26">
        <v>1.0</v>
      </c>
      <c r="O552" s="30"/>
      <c r="P552" s="34">
        <v>1000.0</v>
      </c>
      <c r="Q552" s="35">
        <v>7.0</v>
      </c>
      <c r="R552" s="32">
        <v>45862.0</v>
      </c>
      <c r="S552" s="32">
        <v>45856.0</v>
      </c>
      <c r="T552" s="29"/>
      <c r="U552" s="33"/>
      <c r="V552" s="1"/>
    </row>
    <row r="553" ht="24.0" customHeight="1">
      <c r="A553" s="1"/>
      <c r="B553" s="24" t="str">
        <f>HYPERLINK("https://www.compass.com/listing/21-67-33rd-street-unit-2c-queens-ny-11105/1884155820415667137/view?agent_id=610d3f3370540700019b0833","21-67 33rd Street, Unit 2C")</f>
        <v>21-67 33rd Street, Unit 2C</v>
      </c>
      <c r="C553" s="25" t="s">
        <v>22</v>
      </c>
      <c r="D553" s="26" t="s">
        <v>23</v>
      </c>
      <c r="E553" s="27" t="str">
        <f>HYPERLINK("https://www.compass.com/building/21-67-33rd-st-queens-ny-11105/294841651054755861/","21-67 33rd St")</f>
        <v>21-67 33rd St</v>
      </c>
      <c r="F553" s="25" t="s">
        <v>68</v>
      </c>
      <c r="G553" s="28">
        <v>350000.0</v>
      </c>
      <c r="H553" s="29"/>
      <c r="I553" s="28">
        <v>1291.0</v>
      </c>
      <c r="J553" s="28">
        <v>0.0</v>
      </c>
      <c r="K553" s="25" t="s">
        <v>25</v>
      </c>
      <c r="L553" s="26">
        <v>4.0</v>
      </c>
      <c r="M553" s="26">
        <v>2.0</v>
      </c>
      <c r="N553" s="26">
        <v>1.0</v>
      </c>
      <c r="O553" s="26">
        <v>0.0</v>
      </c>
      <c r="P553" s="30"/>
      <c r="Q553" s="35">
        <v>13.0</v>
      </c>
      <c r="R553" s="32">
        <v>45859.0</v>
      </c>
      <c r="S553" s="32">
        <v>45850.0</v>
      </c>
      <c r="T553" s="29"/>
      <c r="U553" s="33"/>
      <c r="V553" s="1"/>
    </row>
    <row r="554" ht="24.0" customHeight="1">
      <c r="A554" s="1"/>
      <c r="B554" s="24" t="str">
        <f>HYPERLINK("https://www.compass.com/listing/463-west-142nd-street-unit-2a-manhattan-ny-10031/1790030173384405649/view?agent_id=610d3f3370540700019b0833","463 West 142nd Street, Unit 2A")</f>
        <v>463 West 142nd Street, Unit 2A</v>
      </c>
      <c r="C554" s="25" t="s">
        <v>22</v>
      </c>
      <c r="D554" s="26" t="s">
        <v>23</v>
      </c>
      <c r="E554" s="27" t="str">
        <f>HYPERLINK("https://www.compass.com/building/463-w-142nd-st-manhattan-ny-10031/293418111682503765/","463 W 142nd St")</f>
        <v>463 W 142nd St</v>
      </c>
      <c r="F554" s="25" t="s">
        <v>71</v>
      </c>
      <c r="G554" s="28">
        <v>964000.0</v>
      </c>
      <c r="H554" s="28">
        <v>1087.0</v>
      </c>
      <c r="I554" s="28">
        <v>2139.0</v>
      </c>
      <c r="J554" s="28">
        <v>13644.0</v>
      </c>
      <c r="K554" s="25" t="s">
        <v>28</v>
      </c>
      <c r="L554" s="26">
        <v>4.0</v>
      </c>
      <c r="M554" s="26">
        <v>2.0</v>
      </c>
      <c r="N554" s="26">
        <v>1.0</v>
      </c>
      <c r="O554" s="26">
        <v>0.0</v>
      </c>
      <c r="P554" s="26">
        <v>887.0</v>
      </c>
      <c r="Q554" s="35">
        <v>555.0</v>
      </c>
      <c r="R554" s="32">
        <v>45812.0</v>
      </c>
      <c r="S554" s="32">
        <v>45308.0</v>
      </c>
      <c r="T554" s="29"/>
      <c r="U554" s="33"/>
      <c r="V554" s="1"/>
    </row>
    <row r="555" ht="24.0" customHeight="1">
      <c r="A555" s="1"/>
      <c r="B555" s="24" t="str">
        <f>HYPERLINK("https://www.compass.com/listing/33-25-81st-street-unit-3h-queens-ny-11372/1827386570773639841/view?agent_id=610d3f3370540700019b0833","33-25 81st Street, Unit 3H")</f>
        <v>33-25 81st Street, Unit 3H</v>
      </c>
      <c r="C555" s="25" t="s">
        <v>22</v>
      </c>
      <c r="D555" s="26" t="s">
        <v>23</v>
      </c>
      <c r="E555" s="27" t="str">
        <f>HYPERLINK("https://www.compass.com/building/donner-gardens-queens-ny/307458330834343477/","Donner Gardens")</f>
        <v>Donner Gardens</v>
      </c>
      <c r="F555" s="25" t="s">
        <v>33</v>
      </c>
      <c r="G555" s="28">
        <v>435000.0</v>
      </c>
      <c r="H555" s="29"/>
      <c r="I555" s="28">
        <v>1022.0</v>
      </c>
      <c r="J555" s="28">
        <v>0.0</v>
      </c>
      <c r="K555" s="25" t="s">
        <v>25</v>
      </c>
      <c r="L555" s="26">
        <v>4.0</v>
      </c>
      <c r="M555" s="26">
        <v>2.0</v>
      </c>
      <c r="N555" s="26">
        <v>1.0</v>
      </c>
      <c r="O555" s="30"/>
      <c r="P555" s="26">
        <v>0.0</v>
      </c>
      <c r="Q555" s="35">
        <v>91.0</v>
      </c>
      <c r="R555" s="32">
        <v>45773.0</v>
      </c>
      <c r="S555" s="32">
        <v>45772.0</v>
      </c>
      <c r="T555" s="29"/>
      <c r="U555" s="33"/>
      <c r="V555" s="1"/>
    </row>
    <row r="556" ht="24.0" customHeight="1">
      <c r="A556" s="1"/>
      <c r="B556" s="24" t="str">
        <f>HYPERLINK("https://www.compass.com/listing/222-grafton-street-brooklyn-ny-11212/1857145882118180057/view?agent_id=610d3f3370540700019b0833","222 Grafton Street")</f>
        <v>222 Grafton Street</v>
      </c>
      <c r="C556" s="25" t="s">
        <v>22</v>
      </c>
      <c r="D556" s="26" t="s">
        <v>23</v>
      </c>
      <c r="E556" s="27" t="str">
        <f>HYPERLINK("https://www.compass.com/building/222-grafton-st-brooklyn-ny-11212/293533314675986789/","222 Grafton St")</f>
        <v>222 Grafton St</v>
      </c>
      <c r="F556" s="25" t="s">
        <v>163</v>
      </c>
      <c r="G556" s="28">
        <v>549000.0</v>
      </c>
      <c r="H556" s="28">
        <v>324.0</v>
      </c>
      <c r="I556" s="28">
        <v>0.0</v>
      </c>
      <c r="J556" s="28">
        <v>0.0</v>
      </c>
      <c r="K556" s="25" t="s">
        <v>97</v>
      </c>
      <c r="L556" s="26">
        <v>9.0</v>
      </c>
      <c r="M556" s="26">
        <v>2.0</v>
      </c>
      <c r="N556" s="26">
        <v>1.0</v>
      </c>
      <c r="O556" s="30"/>
      <c r="P556" s="34">
        <v>1697.0</v>
      </c>
      <c r="Q556" s="35">
        <v>50.0</v>
      </c>
      <c r="R556" s="32">
        <v>45814.0</v>
      </c>
      <c r="S556" s="32">
        <v>45813.0</v>
      </c>
      <c r="T556" s="29"/>
      <c r="U556" s="33"/>
      <c r="V556" s="1"/>
    </row>
    <row r="557" ht="24.0" customHeight="1">
      <c r="A557" s="1"/>
      <c r="B557" s="24" t="str">
        <f>HYPERLINK("https://www.compass.com/listing/16-37-utopia-parkway-unit-233-queens-ny-11357/1892976518363480465/view?agent_id=610d3f3370540700019b0833","16-37 Utopia Parkway, Unit 233")</f>
        <v>16-37 Utopia Parkway, Unit 233</v>
      </c>
      <c r="C557" s="25" t="s">
        <v>22</v>
      </c>
      <c r="D557" s="26" t="s">
        <v>23</v>
      </c>
      <c r="E557" s="27" t="str">
        <f>HYPERLINK("https://www.compass.com/building/16-37-utopia-pkwy-queens-ny-11357/307460119838950245/","16-37 Utopia Pkwy")</f>
        <v>16-37 Utopia Pkwy</v>
      </c>
      <c r="F557" s="25" t="s">
        <v>164</v>
      </c>
      <c r="G557" s="28">
        <v>385000.0</v>
      </c>
      <c r="H557" s="28">
        <v>490.0</v>
      </c>
      <c r="I557" s="28">
        <v>1208.0</v>
      </c>
      <c r="J557" s="29"/>
      <c r="K557" s="25" t="s">
        <v>25</v>
      </c>
      <c r="L557" s="26">
        <v>5.0</v>
      </c>
      <c r="M557" s="26">
        <v>2.0</v>
      </c>
      <c r="N557" s="26">
        <v>1.0</v>
      </c>
      <c r="O557" s="30"/>
      <c r="P557" s="26">
        <v>786.0</v>
      </c>
      <c r="Q557" s="35">
        <v>0.0</v>
      </c>
      <c r="R557" s="32">
        <v>45863.0</v>
      </c>
      <c r="S557" s="32">
        <v>45863.0</v>
      </c>
      <c r="T557" s="29"/>
      <c r="U557" s="33"/>
      <c r="V557" s="1"/>
    </row>
    <row r="558" ht="24.0" customHeight="1">
      <c r="A558" s="1"/>
      <c r="B558" s="24" t="str">
        <f>HYPERLINK("https://www.compass.com/listing/609-kappock-street-unit-3f-bronx-ny-10463/1851086087640357905/view?agent_id=610d3f3370540700019b0833","609 Kappock Street, Unit 3F")</f>
        <v>609 Kappock Street, Unit 3F</v>
      </c>
      <c r="C558" s="25" t="s">
        <v>22</v>
      </c>
      <c r="D558" s="26" t="s">
        <v>23</v>
      </c>
      <c r="E558" s="27" t="str">
        <f>HYPERLINK("https://www.compass.com/building/609-kappock-st-bronx-ny-10463/293533241946723573/","609 Kappock St")</f>
        <v>609 Kappock St</v>
      </c>
      <c r="F558" s="25" t="s">
        <v>89</v>
      </c>
      <c r="G558" s="28">
        <v>329000.0</v>
      </c>
      <c r="H558" s="28">
        <v>356.0</v>
      </c>
      <c r="I558" s="28">
        <v>1465.0</v>
      </c>
      <c r="J558" s="29"/>
      <c r="K558" s="25" t="s">
        <v>25</v>
      </c>
      <c r="L558" s="26">
        <v>4.0</v>
      </c>
      <c r="M558" s="26">
        <v>2.0</v>
      </c>
      <c r="N558" s="26">
        <v>1.0</v>
      </c>
      <c r="O558" s="30"/>
      <c r="P558" s="26">
        <v>925.0</v>
      </c>
      <c r="Q558" s="35">
        <v>58.0</v>
      </c>
      <c r="R558" s="32">
        <v>45808.0</v>
      </c>
      <c r="S558" s="32">
        <v>45805.0</v>
      </c>
      <c r="T558" s="29"/>
      <c r="U558" s="33"/>
      <c r="V558" s="1"/>
    </row>
    <row r="559" ht="24.0" customHeight="1">
      <c r="A559" s="1"/>
      <c r="B559" s="24" t="str">
        <f>HYPERLINK("https://www.compass.com/listing/825-morrison-avenue-unit-11k-bronx-ny-10473/1834980666038160209/view?agent_id=610d3f3370540700019b0833","825 Morrison Avenue, Unit 11K")</f>
        <v>825 Morrison Avenue, Unit 11K</v>
      </c>
      <c r="C559" s="25" t="s">
        <v>22</v>
      </c>
      <c r="D559" s="26" t="s">
        <v>23</v>
      </c>
      <c r="E559" s="27" t="str">
        <f>HYPERLINK("https://www.compass.com/building/825-morrison-ave-bronx-ny-10473/293528118453467941/","825 Morrison Ave")</f>
        <v>825 Morrison Ave</v>
      </c>
      <c r="F559" s="25" t="s">
        <v>121</v>
      </c>
      <c r="G559" s="28">
        <v>375000.0</v>
      </c>
      <c r="H559" s="28">
        <v>417.0</v>
      </c>
      <c r="I559" s="28">
        <v>845.0</v>
      </c>
      <c r="J559" s="29"/>
      <c r="K559" s="25" t="s">
        <v>25</v>
      </c>
      <c r="L559" s="26">
        <v>4.0</v>
      </c>
      <c r="M559" s="26">
        <v>2.0</v>
      </c>
      <c r="N559" s="26">
        <v>1.0</v>
      </c>
      <c r="O559" s="30"/>
      <c r="P559" s="26">
        <v>900.0</v>
      </c>
      <c r="Q559" s="35">
        <v>80.0</v>
      </c>
      <c r="R559" s="32">
        <v>45791.0</v>
      </c>
      <c r="S559" s="32">
        <v>45783.0</v>
      </c>
      <c r="T559" s="29"/>
      <c r="U559" s="33"/>
      <c r="V559" s="1"/>
    </row>
    <row r="560" ht="24.0" customHeight="1">
      <c r="A560" s="1"/>
      <c r="B560" s="24" t="str">
        <f>HYPERLINK("https://www.compass.com/listing/150-25-72nd-road-unit-1g-queens-ny-11367/1881713080456894425/view?agent_id=610d3f3370540700019b0833","150-25 72nd Road, Unit 1G")</f>
        <v>150-25 72nd Road, Unit 1G</v>
      </c>
      <c r="C560" s="25" t="s">
        <v>22</v>
      </c>
      <c r="D560" s="26" t="s">
        <v>23</v>
      </c>
      <c r="E560" s="27" t="str">
        <f>HYPERLINK("https://www.compass.com/building/dara-gardens-devon-house-queens-ny/294843030368461397/","Dara Gardens (Devon House)")</f>
        <v>Dara Gardens (Devon House)</v>
      </c>
      <c r="F560" s="25" t="s">
        <v>142</v>
      </c>
      <c r="G560" s="28">
        <v>279000.0</v>
      </c>
      <c r="H560" s="29"/>
      <c r="I560" s="28">
        <v>1239.0</v>
      </c>
      <c r="J560" s="28">
        <v>0.0</v>
      </c>
      <c r="K560" s="25" t="s">
        <v>25</v>
      </c>
      <c r="L560" s="26">
        <v>4.0</v>
      </c>
      <c r="M560" s="26">
        <v>2.0</v>
      </c>
      <c r="N560" s="26">
        <v>1.0</v>
      </c>
      <c r="O560" s="26">
        <v>0.0</v>
      </c>
      <c r="P560" s="26">
        <v>0.0</v>
      </c>
      <c r="Q560" s="35">
        <v>4.0</v>
      </c>
      <c r="R560" s="32">
        <v>45859.0</v>
      </c>
      <c r="S560" s="32">
        <v>45859.0</v>
      </c>
      <c r="T560" s="29"/>
      <c r="U560" s="33"/>
      <c r="V560" s="1"/>
    </row>
    <row r="561" ht="24.0" customHeight="1">
      <c r="A561" s="1"/>
      <c r="B561" s="24" t="str">
        <f>HYPERLINK("https://www.compass.com/listing/67-12-yellowstone-boulevard-unit-e5-queens-ny-11375/1806488069977457921/view?agent_id=610d3f3370540700019b0833","67-12 Yellowstone Boulevard, Unit E5")</f>
        <v>67-12 Yellowstone Boulevard, Unit E5</v>
      </c>
      <c r="C561" s="25" t="s">
        <v>22</v>
      </c>
      <c r="D561" s="26" t="s">
        <v>23</v>
      </c>
      <c r="E561" s="27" t="str">
        <f>HYPERLINK("https://www.compass.com/building/67-12-yellowstone-blvd-queens-ny-11375/293529676536631813/","67-12 Yellowstone Blvd")</f>
        <v>67-12 Yellowstone Blvd</v>
      </c>
      <c r="F561" s="25" t="s">
        <v>165</v>
      </c>
      <c r="G561" s="28">
        <v>488000.0</v>
      </c>
      <c r="H561" s="28">
        <v>465.0</v>
      </c>
      <c r="I561" s="28">
        <v>1434.0</v>
      </c>
      <c r="J561" s="28">
        <v>0.0</v>
      </c>
      <c r="K561" s="25" t="s">
        <v>25</v>
      </c>
      <c r="L561" s="26">
        <v>4.0</v>
      </c>
      <c r="M561" s="26">
        <v>2.0</v>
      </c>
      <c r="N561" s="26">
        <v>1.0</v>
      </c>
      <c r="O561" s="30"/>
      <c r="P561" s="34">
        <v>1050.0</v>
      </c>
      <c r="Q561" s="35">
        <v>120.0</v>
      </c>
      <c r="R561" s="32">
        <v>45744.0</v>
      </c>
      <c r="S561" s="32">
        <v>45743.0</v>
      </c>
      <c r="T561" s="29"/>
      <c r="U561" s="33"/>
      <c r="V561" s="1"/>
    </row>
    <row r="562" ht="24.0" customHeight="1">
      <c r="A562" s="1"/>
      <c r="B562" s="24" t="str">
        <f>HYPERLINK("https://www.compass.com/listing/227-03-88th-avenue-unit-437-queens-ny-11427/1879712648250892361/view?agent_id=610d3f3370540700019b0833","227-03 88th Avenue, Unit 437")</f>
        <v>227-03 88th Avenue, Unit 437</v>
      </c>
      <c r="C562" s="25" t="s">
        <v>22</v>
      </c>
      <c r="D562" s="26" t="s">
        <v>23</v>
      </c>
      <c r="E562" s="27" t="str">
        <f>HYPERLINK("https://www.compass.com/building/227-03-88th-ave-queens-ny-11427/445088215137933517/","227-03 88th Ave")</f>
        <v>227-03 88th Ave</v>
      </c>
      <c r="F562" s="25" t="s">
        <v>69</v>
      </c>
      <c r="G562" s="28">
        <v>290000.0</v>
      </c>
      <c r="H562" s="28">
        <v>504.0</v>
      </c>
      <c r="I562" s="28">
        <v>1734.0</v>
      </c>
      <c r="J562" s="29"/>
      <c r="K562" s="25" t="s">
        <v>25</v>
      </c>
      <c r="L562" s="26">
        <v>5.0</v>
      </c>
      <c r="M562" s="26">
        <v>2.0</v>
      </c>
      <c r="N562" s="26">
        <v>1.0</v>
      </c>
      <c r="O562" s="30"/>
      <c r="P562" s="26">
        <v>575.0</v>
      </c>
      <c r="Q562" s="35">
        <v>18.0</v>
      </c>
      <c r="R562" s="32">
        <v>45853.0</v>
      </c>
      <c r="S562" s="32">
        <v>45845.0</v>
      </c>
      <c r="T562" s="29"/>
      <c r="U562" s="33"/>
      <c r="V562" s="1"/>
    </row>
    <row r="563" ht="24.0" customHeight="1">
      <c r="A563" s="1"/>
      <c r="B563" s="24" t="str">
        <f>HYPERLINK("https://www.compass.com/listing/35-21-81st-street-unit-1b-queens-ny-11372/1876135620901062809/view?agent_id=610d3f3370540700019b0833","35-21 81st Street, Unit 1B")</f>
        <v>35-21 81st Street, Unit 1B</v>
      </c>
      <c r="C563" s="25" t="s">
        <v>22</v>
      </c>
      <c r="D563" s="26" t="s">
        <v>23</v>
      </c>
      <c r="E563" s="27" t="str">
        <f>HYPERLINK("https://www.compass.com/building/35-21-81st-st-queens-ny-11372/293534579350903445/","35-21 81st St")</f>
        <v>35-21 81st St</v>
      </c>
      <c r="F563" s="25" t="s">
        <v>33</v>
      </c>
      <c r="G563" s="28">
        <v>659000.0</v>
      </c>
      <c r="H563" s="28">
        <v>527.0</v>
      </c>
      <c r="I563" s="28">
        <v>1299.0</v>
      </c>
      <c r="J563" s="29"/>
      <c r="K563" s="25" t="s">
        <v>25</v>
      </c>
      <c r="L563" s="26">
        <v>4.0</v>
      </c>
      <c r="M563" s="26">
        <v>2.0</v>
      </c>
      <c r="N563" s="26">
        <v>1.0</v>
      </c>
      <c r="O563" s="30"/>
      <c r="P563" s="34">
        <v>1250.0</v>
      </c>
      <c r="Q563" s="35">
        <v>23.0</v>
      </c>
      <c r="R563" s="32">
        <v>45841.0</v>
      </c>
      <c r="S563" s="32">
        <v>45840.0</v>
      </c>
      <c r="T563" s="29"/>
      <c r="U563" s="33"/>
      <c r="V563" s="1"/>
    </row>
    <row r="564" ht="24.0" customHeight="1">
      <c r="A564" s="1"/>
      <c r="B564" s="24" t="str">
        <f>HYPERLINK("https://www.compass.com/listing/150-29-72nd-road-unit-4b-queens-ny-11367/1880436718668062201/view?agent_id=610d3f3370540700019b0833","150-29 72nd Road, Unit 4B")</f>
        <v>150-29 72nd Road, Unit 4B</v>
      </c>
      <c r="C564" s="25" t="s">
        <v>22</v>
      </c>
      <c r="D564" s="26" t="s">
        <v>23</v>
      </c>
      <c r="E564" s="27" t="str">
        <f>HYPERLINK("https://www.compass.com/building/150-29-72nd-rd-queens-ny-11367/294841301417693765/","150-29 72nd Rd")</f>
        <v>150-29 72nd Rd</v>
      </c>
      <c r="F564" s="25" t="s">
        <v>142</v>
      </c>
      <c r="G564" s="28">
        <v>362888.0</v>
      </c>
      <c r="H564" s="28">
        <v>403.0</v>
      </c>
      <c r="I564" s="28">
        <v>1227.0</v>
      </c>
      <c r="J564" s="29"/>
      <c r="K564" s="25" t="s">
        <v>25</v>
      </c>
      <c r="L564" s="26">
        <v>6.0</v>
      </c>
      <c r="M564" s="26">
        <v>2.0</v>
      </c>
      <c r="N564" s="26">
        <v>1.0</v>
      </c>
      <c r="O564" s="30"/>
      <c r="P564" s="26">
        <v>900.0</v>
      </c>
      <c r="Q564" s="35">
        <v>17.0</v>
      </c>
      <c r="R564" s="32">
        <v>45847.0</v>
      </c>
      <c r="S564" s="32">
        <v>45846.0</v>
      </c>
      <c r="T564" s="29"/>
      <c r="U564" s="33"/>
      <c r="V564" s="1"/>
    </row>
    <row r="565" ht="24.0" customHeight="1">
      <c r="A565" s="1"/>
      <c r="B565" s="24" t="str">
        <f>HYPERLINK("https://www.compass.com/listing/210-east-47th-street-unit-7d-manhattan-ny-10017/1803584381074783441/view?agent_id=610d3f3370540700019b0833","210 East 47th Street, Unit 7D")</f>
        <v>210 East 47th Street, Unit 7D</v>
      </c>
      <c r="C565" s="25" t="s">
        <v>22</v>
      </c>
      <c r="D565" s="26" t="s">
        <v>23</v>
      </c>
      <c r="E565" s="27" t="str">
        <f>HYPERLINK("https://www.compass.com/building/the-diplomat-manhattan-ny/281941731425969845/","The Diplomat")</f>
        <v>The Diplomat</v>
      </c>
      <c r="F565" s="25" t="s">
        <v>66</v>
      </c>
      <c r="G565" s="28">
        <v>775000.0</v>
      </c>
      <c r="H565" s="28">
        <v>969.0</v>
      </c>
      <c r="I565" s="28">
        <v>1887.0</v>
      </c>
      <c r="J565" s="28">
        <v>9456.0</v>
      </c>
      <c r="K565" s="25" t="s">
        <v>28</v>
      </c>
      <c r="L565" s="26">
        <v>3.0</v>
      </c>
      <c r="M565" s="26">
        <v>2.0</v>
      </c>
      <c r="N565" s="26">
        <v>1.0</v>
      </c>
      <c r="O565" s="30"/>
      <c r="P565" s="26">
        <v>800.0</v>
      </c>
      <c r="Q565" s="35">
        <v>124.0</v>
      </c>
      <c r="R565" s="32">
        <v>45740.0</v>
      </c>
      <c r="S565" s="32">
        <v>45739.0</v>
      </c>
      <c r="T565" s="29"/>
      <c r="U565" s="33"/>
      <c r="V565" s="1"/>
    </row>
    <row r="566" ht="24.0" customHeight="1">
      <c r="A566" s="1"/>
      <c r="B566" s="24" t="str">
        <f>HYPERLINK("https://www.compass.com/listing/98-05-63rd-road-unit-15d-queens-ny-11374/1892882471036665353/view?agent_id=610d3f3370540700019b0833","98-05 63rd Road, Unit 15D")</f>
        <v>98-05 63rd Road, Unit 15D</v>
      </c>
      <c r="C566" s="25" t="s">
        <v>22</v>
      </c>
      <c r="D566" s="26" t="s">
        <v>23</v>
      </c>
      <c r="E566" s="27" t="str">
        <f>HYPERLINK("https://www.compass.com/building/98-05-63rd-rd-queens-ny-11374/307457323471342645/","98-05 63rd Rd")</f>
        <v>98-05 63rd Rd</v>
      </c>
      <c r="F566" s="25" t="s">
        <v>166</v>
      </c>
      <c r="G566" s="28">
        <v>442000.0</v>
      </c>
      <c r="H566" s="28">
        <v>442.0</v>
      </c>
      <c r="I566" s="28">
        <v>1128.0</v>
      </c>
      <c r="J566" s="29"/>
      <c r="K566" s="25" t="s">
        <v>25</v>
      </c>
      <c r="L566" s="26">
        <v>5.0</v>
      </c>
      <c r="M566" s="26">
        <v>2.0</v>
      </c>
      <c r="N566" s="26">
        <v>1.0</v>
      </c>
      <c r="O566" s="30"/>
      <c r="P566" s="34">
        <v>1000.0</v>
      </c>
      <c r="Q566" s="35">
        <v>0.0</v>
      </c>
      <c r="R566" s="32">
        <v>45863.0</v>
      </c>
      <c r="S566" s="32">
        <v>45863.0</v>
      </c>
      <c r="T566" s="29"/>
      <c r="U566" s="33"/>
      <c r="V566" s="1"/>
    </row>
    <row r="567" ht="24.0" customHeight="1">
      <c r="A567" s="1"/>
      <c r="B567" s="24" t="str">
        <f>HYPERLINK("https://www.compass.com/listing/4015-7th-avenue-unit-12-brooklyn-ny-11232/1887717442766525961/view?agent_id=610d3f3370540700019b0833","4015 7th Avenue, Unit 12")</f>
        <v>4015 7th Avenue, Unit 12</v>
      </c>
      <c r="C567" s="25" t="s">
        <v>22</v>
      </c>
      <c r="D567" s="26" t="s">
        <v>23</v>
      </c>
      <c r="E567" s="27" t="str">
        <f>HYPERLINK("https://www.compass.com/building/4015-7th-ave-brooklyn-ny-11232/293416930231037125/","4015 7th Ave")</f>
        <v>4015 7th Ave</v>
      </c>
      <c r="F567" s="25" t="s">
        <v>128</v>
      </c>
      <c r="G567" s="28">
        <v>499000.0</v>
      </c>
      <c r="H567" s="29"/>
      <c r="I567" s="28">
        <v>315.0</v>
      </c>
      <c r="J567" s="28">
        <v>0.0</v>
      </c>
      <c r="K567" s="25" t="s">
        <v>25</v>
      </c>
      <c r="L567" s="26">
        <v>4.0</v>
      </c>
      <c r="M567" s="26">
        <v>2.0</v>
      </c>
      <c r="N567" s="26">
        <v>1.0</v>
      </c>
      <c r="O567" s="26">
        <v>0.0</v>
      </c>
      <c r="P567" s="30"/>
      <c r="Q567" s="35">
        <v>7.0</v>
      </c>
      <c r="R567" s="32">
        <v>45861.0</v>
      </c>
      <c r="S567" s="32">
        <v>45856.0</v>
      </c>
      <c r="T567" s="29"/>
      <c r="U567" s="33"/>
      <c r="V567" s="1"/>
    </row>
    <row r="568" ht="24.0" customHeight="1">
      <c r="A568" s="1"/>
      <c r="B568" s="24" t="str">
        <f>HYPERLINK("https://www.compass.com/listing/220-west-111th-street-unit-2b-manhattan-ny-10026/1854469619658224073/view?agent_id=610d3f3370540700019b0833","220 West 111th Street, Unit 2B")</f>
        <v>220 West 111th Street, Unit 2B</v>
      </c>
      <c r="C568" s="25" t="s">
        <v>22</v>
      </c>
      <c r="D568" s="26" t="s">
        <v>23</v>
      </c>
      <c r="E568" s="27" t="str">
        <f>HYPERLINK("https://www.compass.com/building/the-park-central-manhattan-ny/281975604063070805/","The Park Central")</f>
        <v>The Park Central</v>
      </c>
      <c r="F568" s="25" t="s">
        <v>45</v>
      </c>
      <c r="G568" s="28">
        <v>735000.0</v>
      </c>
      <c r="H568" s="28">
        <v>1205.0</v>
      </c>
      <c r="I568" s="28">
        <v>1334.0</v>
      </c>
      <c r="J568" s="28">
        <v>5736.0</v>
      </c>
      <c r="K568" s="25" t="s">
        <v>28</v>
      </c>
      <c r="L568" s="26">
        <v>4.0</v>
      </c>
      <c r="M568" s="26">
        <v>2.0</v>
      </c>
      <c r="N568" s="26">
        <v>1.0</v>
      </c>
      <c r="O568" s="26">
        <v>0.0</v>
      </c>
      <c r="P568" s="26">
        <v>610.0</v>
      </c>
      <c r="Q568" s="35">
        <v>53.0</v>
      </c>
      <c r="R568" s="32">
        <v>45862.0</v>
      </c>
      <c r="S568" s="32">
        <v>45810.0</v>
      </c>
      <c r="T568" s="29"/>
      <c r="U568" s="33"/>
      <c r="V568" s="1"/>
    </row>
    <row r="569" ht="24.0" customHeight="1">
      <c r="A569" s="1"/>
      <c r="B569" s="24" t="str">
        <f>HYPERLINK("https://www.compass.com/listing/759-42nd-street-unit-12-brooklyn-ny-11232/1887124622079455593/view?agent_id=610d3f3370540700019b0833","759 42nd Street, Unit 12")</f>
        <v>759 42nd Street, Unit 12</v>
      </c>
      <c r="C569" s="25" t="s">
        <v>22</v>
      </c>
      <c r="D569" s="26" t="s">
        <v>23</v>
      </c>
      <c r="E569" s="27" t="str">
        <f>HYPERLINK("https://www.compass.com/building/759-42nd-st-brooklyn-ny-11232/293534151380860917/","759 42nd St")</f>
        <v>759 42nd St</v>
      </c>
      <c r="F569" s="25" t="s">
        <v>128</v>
      </c>
      <c r="G569" s="28">
        <v>679000.0</v>
      </c>
      <c r="H569" s="28">
        <v>700.0</v>
      </c>
      <c r="I569" s="28">
        <v>911.0</v>
      </c>
      <c r="J569" s="28">
        <v>0.0</v>
      </c>
      <c r="K569" s="25" t="s">
        <v>25</v>
      </c>
      <c r="L569" s="26">
        <v>5.0</v>
      </c>
      <c r="M569" s="26">
        <v>2.0</v>
      </c>
      <c r="N569" s="26">
        <v>1.0</v>
      </c>
      <c r="O569" s="26">
        <v>0.0</v>
      </c>
      <c r="P569" s="26">
        <v>970.0</v>
      </c>
      <c r="Q569" s="35">
        <v>8.0</v>
      </c>
      <c r="R569" s="32">
        <v>45861.0</v>
      </c>
      <c r="S569" s="32">
        <v>45855.0</v>
      </c>
      <c r="T569" s="29"/>
      <c r="U569" s="33"/>
      <c r="V569" s="1"/>
    </row>
    <row r="570" ht="24.0" customHeight="1">
      <c r="A570" s="1"/>
      <c r="B570" s="24" t="str">
        <f>HYPERLINK("https://www.compass.com/listing/210-19-26th-avenue-unit-tl-queens-ny-11360/1884406025111646145/view?agent_id=610d3f3370540700019b0833","210-19 26th Avenue, Unit TL")</f>
        <v>210-19 26th Avenue, Unit TL</v>
      </c>
      <c r="C570" s="25" t="s">
        <v>22</v>
      </c>
      <c r="D570" s="26" t="s">
        <v>23</v>
      </c>
      <c r="E570" s="27" t="str">
        <f>HYPERLINK("https://www.compass.com/building/210-19-26th-ave-queens-ny-11360/307440690220802197/","210-19 26th Ave")</f>
        <v>210-19 26th Ave</v>
      </c>
      <c r="F570" s="25" t="s">
        <v>79</v>
      </c>
      <c r="G570" s="28">
        <v>949999.0</v>
      </c>
      <c r="H570" s="28">
        <v>792.0</v>
      </c>
      <c r="I570" s="28">
        <v>1177.0</v>
      </c>
      <c r="J570" s="28">
        <v>5665.0</v>
      </c>
      <c r="K570" s="25" t="s">
        <v>28</v>
      </c>
      <c r="L570" s="26">
        <v>5.0</v>
      </c>
      <c r="M570" s="26">
        <v>2.0</v>
      </c>
      <c r="N570" s="26">
        <v>1.0</v>
      </c>
      <c r="O570" s="30"/>
      <c r="P570" s="34">
        <v>1200.0</v>
      </c>
      <c r="Q570" s="35">
        <v>12.0</v>
      </c>
      <c r="R570" s="32">
        <v>45852.0</v>
      </c>
      <c r="S570" s="32">
        <v>45851.0</v>
      </c>
      <c r="T570" s="29"/>
      <c r="U570" s="33"/>
      <c r="V570" s="1"/>
    </row>
    <row r="571" ht="24.0" customHeight="1">
      <c r="A571" s="1"/>
      <c r="B571" s="24" t="str">
        <f>HYPERLINK("https://www.compass.com/listing/2090-madison-avenue-unit-4d-manhattan-ny-10037/1866064163951472569/view?agent_id=610d3f3370540700019b0833","2090 Madison Avenue, Unit 4D")</f>
        <v>2090 Madison Avenue, Unit 4D</v>
      </c>
      <c r="C571" s="25" t="s">
        <v>22</v>
      </c>
      <c r="D571" s="26" t="s">
        <v>23</v>
      </c>
      <c r="E571" s="27" t="str">
        <f>HYPERLINK("https://www.compass.com/building/2090-madison-ave-manhattan-ny-10037/282027790834872101/","2090 Madison Ave")</f>
        <v>2090 Madison Ave</v>
      </c>
      <c r="F571" s="25" t="s">
        <v>32</v>
      </c>
      <c r="G571" s="28">
        <v>299999.0</v>
      </c>
      <c r="H571" s="28">
        <v>395.0</v>
      </c>
      <c r="I571" s="28">
        <v>1089.0</v>
      </c>
      <c r="J571" s="28">
        <v>0.0</v>
      </c>
      <c r="K571" s="25" t="s">
        <v>25</v>
      </c>
      <c r="L571" s="26">
        <v>4.0</v>
      </c>
      <c r="M571" s="26">
        <v>2.0</v>
      </c>
      <c r="N571" s="26">
        <v>1.0</v>
      </c>
      <c r="O571" s="26">
        <v>0.0</v>
      </c>
      <c r="P571" s="26">
        <v>760.0</v>
      </c>
      <c r="Q571" s="35">
        <v>37.0</v>
      </c>
      <c r="R571" s="32">
        <v>45853.0</v>
      </c>
      <c r="S571" s="32">
        <v>45826.0</v>
      </c>
      <c r="T571" s="29"/>
      <c r="U571" s="33"/>
      <c r="V571" s="1"/>
    </row>
    <row r="572" ht="24.0" customHeight="1">
      <c r="A572" s="1"/>
      <c r="B572" s="24" t="str">
        <f>HYPERLINK("https://www.compass.com/listing/209-25-18th-avenue-unit-1c-queens-ny-11360/1887181757382983817/view?agent_id=610d3f3370540700019b0833","209-25 18th Avenue, Unit 1C")</f>
        <v>209-25 18th Avenue, Unit 1C</v>
      </c>
      <c r="C572" s="25" t="s">
        <v>22</v>
      </c>
      <c r="D572" s="26" t="s">
        <v>23</v>
      </c>
      <c r="E572" s="27" t="str">
        <f>HYPERLINK("https://www.compass.com/building/209-25-18th-ave-queens-ny-11360/294845225977383061/","209-25 18th Ave")</f>
        <v>209-25 18th Ave</v>
      </c>
      <c r="F572" s="25" t="s">
        <v>79</v>
      </c>
      <c r="G572" s="28">
        <v>329000.0</v>
      </c>
      <c r="H572" s="28">
        <v>299.0</v>
      </c>
      <c r="I572" s="28">
        <v>1417.0</v>
      </c>
      <c r="J572" s="29"/>
      <c r="K572" s="25" t="s">
        <v>25</v>
      </c>
      <c r="L572" s="26">
        <v>5.0</v>
      </c>
      <c r="M572" s="26">
        <v>2.0</v>
      </c>
      <c r="N572" s="26">
        <v>1.0</v>
      </c>
      <c r="O572" s="30"/>
      <c r="P572" s="34">
        <v>1100.0</v>
      </c>
      <c r="Q572" s="35">
        <v>8.0</v>
      </c>
      <c r="R572" s="32">
        <v>45856.0</v>
      </c>
      <c r="S572" s="32">
        <v>45855.0</v>
      </c>
      <c r="T572" s="29"/>
      <c r="U572" s="33"/>
      <c r="V572" s="1"/>
    </row>
    <row r="573" ht="24.0" customHeight="1">
      <c r="A573" s="1"/>
      <c r="B573" s="24" t="str">
        <f>HYPERLINK("https://www.compass.com/listing/110-20-71st-unit-602-queens-ny-11375/1885720308022533089/view?agent_id=610d3f3370540700019b0833","110-20 71st, Unit 602")</f>
        <v>110-20 71st, Unit 602</v>
      </c>
      <c r="C573" s="25" t="s">
        <v>22</v>
      </c>
      <c r="D573" s="26" t="s">
        <v>23</v>
      </c>
      <c r="E573" s="26" t="s">
        <v>167</v>
      </c>
      <c r="F573" s="25" t="s">
        <v>83</v>
      </c>
      <c r="G573" s="28">
        <v>415000.0</v>
      </c>
      <c r="H573" s="28">
        <v>1660.0</v>
      </c>
      <c r="I573" s="28">
        <v>1094.0</v>
      </c>
      <c r="J573" s="29"/>
      <c r="K573" s="25" t="s">
        <v>25</v>
      </c>
      <c r="L573" s="26">
        <v>4.0</v>
      </c>
      <c r="M573" s="26">
        <v>2.0</v>
      </c>
      <c r="N573" s="26">
        <v>1.0</v>
      </c>
      <c r="O573" s="30"/>
      <c r="P573" s="26">
        <v>250.0</v>
      </c>
      <c r="Q573" s="35">
        <v>10.0</v>
      </c>
      <c r="R573" s="32">
        <v>45854.0</v>
      </c>
      <c r="S573" s="32">
        <v>45853.0</v>
      </c>
      <c r="T573" s="29"/>
      <c r="U573" s="33"/>
      <c r="V573" s="1"/>
    </row>
    <row r="574" ht="24.0" customHeight="1">
      <c r="A574" s="1"/>
      <c r="B574" s="24" t="str">
        <f>HYPERLINK("https://www.compass.com/listing/83-85-woodhaven-boulevard-unit-3r-queens-ny-11421/1887313021146580977/view?agent_id=610d3f3370540700019b0833","83-85 Woodhaven Boulevard, Unit 3R")</f>
        <v>83-85 Woodhaven Boulevard, Unit 3R</v>
      </c>
      <c r="C574" s="25" t="s">
        <v>22</v>
      </c>
      <c r="D574" s="26" t="s">
        <v>23</v>
      </c>
      <c r="E574" s="27" t="str">
        <f>HYPERLINK("https://www.compass.com/building/83-85-woodhaven-blvd-queens-ny-11421/293532508622956293/","83-85 Woodhaven Blvd")</f>
        <v>83-85 Woodhaven Blvd</v>
      </c>
      <c r="F574" s="25" t="s">
        <v>168</v>
      </c>
      <c r="G574" s="28">
        <v>299000.0</v>
      </c>
      <c r="H574" s="28">
        <v>399.0</v>
      </c>
      <c r="I574" s="28">
        <v>738.0</v>
      </c>
      <c r="J574" s="29"/>
      <c r="K574" s="25" t="s">
        <v>25</v>
      </c>
      <c r="L574" s="26">
        <v>5.0</v>
      </c>
      <c r="M574" s="26">
        <v>2.0</v>
      </c>
      <c r="N574" s="26">
        <v>1.0</v>
      </c>
      <c r="O574" s="30"/>
      <c r="P574" s="26">
        <v>750.0</v>
      </c>
      <c r="Q574" s="35">
        <v>8.0</v>
      </c>
      <c r="R574" s="32">
        <v>45856.0</v>
      </c>
      <c r="S574" s="32">
        <v>45855.0</v>
      </c>
      <c r="T574" s="29"/>
      <c r="U574" s="33"/>
      <c r="V574" s="1"/>
    </row>
    <row r="575" ht="24.0" customHeight="1">
      <c r="A575" s="1"/>
      <c r="B575" s="24" t="str">
        <f>HYPERLINK("https://www.compass.com/listing/200-east-58th-street-unit-12a-manhattan-ny-10022/1856517920712456609/view?agent_id=610d3f3370540700019b0833","200 East 58th Street, Unit 12A")</f>
        <v>200 East 58th Street, Unit 12A</v>
      </c>
      <c r="C575" s="25" t="s">
        <v>22</v>
      </c>
      <c r="D575" s="26" t="s">
        <v>23</v>
      </c>
      <c r="E575" s="27" t="str">
        <f>HYPERLINK("https://www.compass.com/building/the-blair-house-manhattan-ny/281952873007353509/","The Blair House")</f>
        <v>The Blair House</v>
      </c>
      <c r="F575" s="25" t="s">
        <v>66</v>
      </c>
      <c r="G575" s="28">
        <v>1199000.0</v>
      </c>
      <c r="H575" s="29"/>
      <c r="I575" s="28">
        <v>2129.0</v>
      </c>
      <c r="J575" s="28">
        <v>11376.0</v>
      </c>
      <c r="K575" s="25" t="s">
        <v>28</v>
      </c>
      <c r="L575" s="26">
        <v>3.0</v>
      </c>
      <c r="M575" s="26">
        <v>2.0</v>
      </c>
      <c r="N575" s="26">
        <v>1.0</v>
      </c>
      <c r="O575" s="26">
        <v>0.0</v>
      </c>
      <c r="P575" s="30"/>
      <c r="Q575" s="35">
        <v>50.0</v>
      </c>
      <c r="R575" s="32">
        <v>45859.0</v>
      </c>
      <c r="S575" s="32">
        <v>45813.0</v>
      </c>
      <c r="T575" s="29"/>
      <c r="U575" s="33"/>
      <c r="V575" s="1"/>
    </row>
    <row r="576" ht="24.0" customHeight="1">
      <c r="A576" s="1"/>
      <c r="B576" s="24" t="str">
        <f>HYPERLINK("https://www.compass.com/listing/3245-perry-avenue-unit-4b-bronx-ny-10467/1882649693446264081/view?agent_id=610d3f3370540700019b0833","3245 Perry Avenue, Unit 4B")</f>
        <v>3245 Perry Avenue, Unit 4B</v>
      </c>
      <c r="C576" s="25" t="s">
        <v>22</v>
      </c>
      <c r="D576" s="26" t="s">
        <v>23</v>
      </c>
      <c r="E576" s="27" t="str">
        <f>HYPERLINK("https://www.compass.com/building/3245-perry-ave-bronx-ny-10467/293418320642808501/","3245 Perry Ave")</f>
        <v>3245 Perry Ave</v>
      </c>
      <c r="F576" s="25" t="s">
        <v>154</v>
      </c>
      <c r="G576" s="28">
        <v>299000.0</v>
      </c>
      <c r="H576" s="29"/>
      <c r="I576" s="28">
        <v>1068.0</v>
      </c>
      <c r="J576" s="28">
        <v>0.0</v>
      </c>
      <c r="K576" s="25" t="s">
        <v>25</v>
      </c>
      <c r="L576" s="26">
        <v>4.0</v>
      </c>
      <c r="M576" s="26">
        <v>2.0</v>
      </c>
      <c r="N576" s="26">
        <v>1.0</v>
      </c>
      <c r="O576" s="26">
        <v>0.0</v>
      </c>
      <c r="P576" s="30"/>
      <c r="Q576" s="35">
        <v>14.0</v>
      </c>
      <c r="R576" s="32">
        <v>45850.0</v>
      </c>
      <c r="S576" s="32">
        <v>45849.0</v>
      </c>
      <c r="T576" s="29"/>
      <c r="U576" s="33"/>
      <c r="V576" s="1"/>
    </row>
    <row r="577" ht="24.0" customHeight="1">
      <c r="A577" s="1"/>
      <c r="B577" s="24" t="str">
        <f>HYPERLINK("https://www.compass.com/listing/570-grand-street-unit-j104-manhattan-ny-10002/1881351649211060081/view?agent_id=610d3f3370540700019b0833","570 Grand Street, Unit J104")</f>
        <v>570 Grand Street, Unit J104</v>
      </c>
      <c r="C577" s="25" t="s">
        <v>22</v>
      </c>
      <c r="D577" s="26" t="s">
        <v>23</v>
      </c>
      <c r="E577" s="27" t="str">
        <f>HYPERLINK("https://www.compass.com/building/east-river-coop-manhattan-ny/281887797969684453/","East River Coop")</f>
        <v>East River Coop</v>
      </c>
      <c r="F577" s="25" t="s">
        <v>119</v>
      </c>
      <c r="G577" s="28">
        <v>849000.0</v>
      </c>
      <c r="H577" s="28">
        <v>849.0</v>
      </c>
      <c r="I577" s="28">
        <v>1526.0</v>
      </c>
      <c r="J577" s="28">
        <v>0.0</v>
      </c>
      <c r="K577" s="25" t="s">
        <v>25</v>
      </c>
      <c r="L577" s="26">
        <v>4.0</v>
      </c>
      <c r="M577" s="26">
        <v>2.0</v>
      </c>
      <c r="N577" s="26">
        <v>1.0</v>
      </c>
      <c r="O577" s="26">
        <v>0.0</v>
      </c>
      <c r="P577" s="34">
        <v>1000.0</v>
      </c>
      <c r="Q577" s="35">
        <v>16.0</v>
      </c>
      <c r="R577" s="32">
        <v>45863.0</v>
      </c>
      <c r="S577" s="32">
        <v>45847.0</v>
      </c>
      <c r="T577" s="29"/>
      <c r="U577" s="33"/>
      <c r="V577" s="1"/>
    </row>
    <row r="578" ht="24.0" customHeight="1">
      <c r="A578" s="1"/>
      <c r="B578" s="24" t="str">
        <f>HYPERLINK("https://www.compass.com/listing/93-pleasant-valley-avenue-staten-island-ny-10304/1892889674812574065/view?agent_id=610d3f3370540700019b0833","93 Pleasant Valley Avenue")</f>
        <v>93 Pleasant Valley Avenue</v>
      </c>
      <c r="C578" s="25" t="s">
        <v>22</v>
      </c>
      <c r="D578" s="26" t="s">
        <v>23</v>
      </c>
      <c r="E578" s="27" t="str">
        <f>HYPERLINK("https://www.compass.com/building/93-pleasant-valley-ave-staten-island-ny-10304/293527495959920373/","93 Pleasant Valley Ave")</f>
        <v>93 Pleasant Valley Ave</v>
      </c>
      <c r="F578" s="25" t="s">
        <v>169</v>
      </c>
      <c r="G578" s="28">
        <v>399000.0</v>
      </c>
      <c r="H578" s="28">
        <v>756.0</v>
      </c>
      <c r="I578" s="28">
        <v>219.0</v>
      </c>
      <c r="J578" s="28">
        <v>2622.0</v>
      </c>
      <c r="K578" s="25" t="s">
        <v>97</v>
      </c>
      <c r="L578" s="26">
        <v>4.0</v>
      </c>
      <c r="M578" s="26">
        <v>2.0</v>
      </c>
      <c r="N578" s="26">
        <v>1.0</v>
      </c>
      <c r="O578" s="26">
        <v>0.0</v>
      </c>
      <c r="P578" s="26">
        <v>528.0</v>
      </c>
      <c r="Q578" s="35">
        <v>0.0</v>
      </c>
      <c r="R578" s="32">
        <v>45863.0</v>
      </c>
      <c r="S578" s="32">
        <v>45863.0</v>
      </c>
      <c r="T578" s="29"/>
      <c r="U578" s="33"/>
      <c r="V578" s="1"/>
    </row>
    <row r="579" ht="24.0" customHeight="1">
      <c r="A579" s="1"/>
      <c r="B579" s="24" t="str">
        <f>HYPERLINK("https://www.compass.com/listing/434-west-49th-street-unit-1w-manhattan-ny-10019/1779842694184028905/view?agent_id=610d3f3370540700019b0833","434 West 49th Street, Unit 1W")</f>
        <v>434 West 49th Street, Unit 1W</v>
      </c>
      <c r="C579" s="25" t="s">
        <v>22</v>
      </c>
      <c r="D579" s="26" t="s">
        <v>23</v>
      </c>
      <c r="E579" s="27" t="str">
        <f>HYPERLINK("https://www.compass.com/building/434-w-49th-st-manhattan-ny-10019/281945813700111077/","434 W 49th St")</f>
        <v>434 W 49th St</v>
      </c>
      <c r="F579" s="25" t="s">
        <v>47</v>
      </c>
      <c r="G579" s="28">
        <v>480000.0</v>
      </c>
      <c r="H579" s="29"/>
      <c r="I579" s="28">
        <v>550.0</v>
      </c>
      <c r="J579" s="28">
        <v>0.0</v>
      </c>
      <c r="K579" s="25" t="s">
        <v>25</v>
      </c>
      <c r="L579" s="26">
        <v>4.0</v>
      </c>
      <c r="M579" s="26">
        <v>2.0</v>
      </c>
      <c r="N579" s="26">
        <v>1.0</v>
      </c>
      <c r="O579" s="26">
        <v>0.0</v>
      </c>
      <c r="P579" s="30"/>
      <c r="Q579" s="35">
        <v>156.0</v>
      </c>
      <c r="R579" s="32">
        <v>45782.0</v>
      </c>
      <c r="S579" s="32">
        <v>45707.0</v>
      </c>
      <c r="T579" s="29"/>
      <c r="U579" s="33"/>
      <c r="V579" s="1"/>
    </row>
    <row r="580" ht="24.0" customHeight="1">
      <c r="A580" s="1"/>
      <c r="B580" s="24" t="str">
        <f>HYPERLINK("https://www.compass.com/listing/150-25-72nd-road-unit-5-queens-ny-11367/1879917911004399497/view?agent_id=610d3f3370540700019b0833","150-25 72nd Road, Unit 5")</f>
        <v>150-25 72nd Road, Unit 5</v>
      </c>
      <c r="C580" s="25" t="s">
        <v>22</v>
      </c>
      <c r="D580" s="26" t="s">
        <v>23</v>
      </c>
      <c r="E580" s="27" t="str">
        <f>HYPERLINK("https://www.compass.com/building/dara-gardens-devon-house-queens-ny/294843030368461397/","Dara Gardens (Devon House)")</f>
        <v>Dara Gardens (Devon House)</v>
      </c>
      <c r="F580" s="25" t="s">
        <v>142</v>
      </c>
      <c r="G580" s="28">
        <v>328000.0</v>
      </c>
      <c r="H580" s="28">
        <v>364.0</v>
      </c>
      <c r="I580" s="28">
        <v>1150.0</v>
      </c>
      <c r="J580" s="29"/>
      <c r="K580" s="25" t="s">
        <v>25</v>
      </c>
      <c r="L580" s="26">
        <v>5.0</v>
      </c>
      <c r="M580" s="26">
        <v>2.0</v>
      </c>
      <c r="N580" s="26">
        <v>1.0</v>
      </c>
      <c r="O580" s="30"/>
      <c r="P580" s="26">
        <v>900.0</v>
      </c>
      <c r="Q580" s="35">
        <v>18.0</v>
      </c>
      <c r="R580" s="32">
        <v>45848.0</v>
      </c>
      <c r="S580" s="32">
        <v>45845.0</v>
      </c>
      <c r="T580" s="29"/>
      <c r="U580" s="33"/>
      <c r="V580" s="1"/>
    </row>
    <row r="581" ht="24.0" customHeight="1">
      <c r="A581" s="1"/>
      <c r="B581" s="24" t="str">
        <f>HYPERLINK("https://www.compass.com/listing/60-henry-street-unit-9d-manhattan-ny-10002/1855367012540999057/view?agent_id=610d3f3370540700019b0833","60 Henry Street, Unit 9D")</f>
        <v>60 Henry Street, Unit 9D</v>
      </c>
      <c r="C581" s="25" t="s">
        <v>22</v>
      </c>
      <c r="D581" s="26" t="s">
        <v>23</v>
      </c>
      <c r="E581" s="27" t="str">
        <f>HYPERLINK("https://www.compass.com/building/60-henry-st-manhattan-ny-10002/294843050283017573/","60 Henry St")</f>
        <v>60 Henry St</v>
      </c>
      <c r="F581" s="25" t="s">
        <v>170</v>
      </c>
      <c r="G581" s="28">
        <v>1075000.0</v>
      </c>
      <c r="H581" s="28">
        <v>1289.0</v>
      </c>
      <c r="I581" s="28">
        <v>954.0</v>
      </c>
      <c r="J581" s="28">
        <v>2568.0</v>
      </c>
      <c r="K581" s="25" t="s">
        <v>28</v>
      </c>
      <c r="L581" s="26">
        <v>5.0</v>
      </c>
      <c r="M581" s="26">
        <v>2.0</v>
      </c>
      <c r="N581" s="26">
        <v>1.0</v>
      </c>
      <c r="O581" s="26">
        <v>0.0</v>
      </c>
      <c r="P581" s="26">
        <v>834.0</v>
      </c>
      <c r="Q581" s="35">
        <v>52.0</v>
      </c>
      <c r="R581" s="32">
        <v>45811.0</v>
      </c>
      <c r="S581" s="32">
        <v>45811.0</v>
      </c>
      <c r="T581" s="29"/>
      <c r="U581" s="33"/>
      <c r="V581" s="1"/>
    </row>
    <row r="582" ht="24.0" customHeight="1">
      <c r="A582" s="1"/>
      <c r="B582" s="24" t="str">
        <f>HYPERLINK("https://www.compass.com/listing/573-grand-street-unit-d1406-manhattan-ny-10002/1881415130455532249/view?agent_id=610d3f3370540700019b0833","573 Grand Street, Unit D1406")</f>
        <v>573 Grand Street, Unit D1406</v>
      </c>
      <c r="C582" s="25" t="s">
        <v>22</v>
      </c>
      <c r="D582" s="26" t="s">
        <v>23</v>
      </c>
      <c r="E582" s="27" t="str">
        <f>HYPERLINK("https://www.compass.com/building/east-river-cooperative-manhattan-ny/294845518043430181/","East River Cooperative")</f>
        <v>East River Cooperative</v>
      </c>
      <c r="F582" s="25" t="s">
        <v>119</v>
      </c>
      <c r="G582" s="28">
        <v>1100000.0</v>
      </c>
      <c r="H582" s="28">
        <v>1100.0</v>
      </c>
      <c r="I582" s="28">
        <v>1568.0</v>
      </c>
      <c r="J582" s="28">
        <v>0.0</v>
      </c>
      <c r="K582" s="25" t="s">
        <v>25</v>
      </c>
      <c r="L582" s="26">
        <v>5.0</v>
      </c>
      <c r="M582" s="26">
        <v>2.0</v>
      </c>
      <c r="N582" s="26">
        <v>1.0</v>
      </c>
      <c r="O582" s="26">
        <v>0.0</v>
      </c>
      <c r="P582" s="34">
        <v>1000.0</v>
      </c>
      <c r="Q582" s="35">
        <v>16.0</v>
      </c>
      <c r="R582" s="32">
        <v>45863.0</v>
      </c>
      <c r="S582" s="32">
        <v>45847.0</v>
      </c>
      <c r="T582" s="29"/>
      <c r="U582" s="33"/>
      <c r="V582" s="1"/>
    </row>
    <row r="583" ht="24.0" customHeight="1">
      <c r="A583" s="1"/>
      <c r="B583" s="24" t="str">
        <f>HYPERLINK("https://www.compass.com/listing/63-11-queens-boulevard-unit-a24-queens-ny-11377/1871576616077218889/view?agent_id=610d3f3370540700019b0833","63-11 Queens Boulevard, Unit A24")</f>
        <v>63-11 Queens Boulevard, Unit A24</v>
      </c>
      <c r="C583" s="25" t="s">
        <v>22</v>
      </c>
      <c r="D583" s="26" t="s">
        <v>23</v>
      </c>
      <c r="E583" s="27" t="str">
        <f>HYPERLINK("https://www.compass.com/building/63-11-queens-blvd-queens-ny-11377/293526115547450837/","63-11 Queens Blvd")</f>
        <v>63-11 Queens Blvd</v>
      </c>
      <c r="F583" s="25" t="s">
        <v>137</v>
      </c>
      <c r="G583" s="28">
        <v>417000.0</v>
      </c>
      <c r="H583" s="28">
        <v>417.0</v>
      </c>
      <c r="I583" s="28">
        <v>1286.0</v>
      </c>
      <c r="J583" s="28">
        <v>0.0</v>
      </c>
      <c r="K583" s="25" t="s">
        <v>25</v>
      </c>
      <c r="L583" s="26">
        <v>4.0</v>
      </c>
      <c r="M583" s="26">
        <v>2.0</v>
      </c>
      <c r="N583" s="26">
        <v>1.0</v>
      </c>
      <c r="O583" s="30"/>
      <c r="P583" s="34">
        <v>1000.0</v>
      </c>
      <c r="Q583" s="35">
        <v>30.0</v>
      </c>
      <c r="R583" s="32">
        <v>45834.0</v>
      </c>
      <c r="S583" s="32">
        <v>45833.0</v>
      </c>
      <c r="T583" s="29"/>
      <c r="U583" s="33"/>
      <c r="V583" s="1"/>
    </row>
    <row r="584" ht="24.0" customHeight="1">
      <c r="A584" s="1"/>
      <c r="B584" s="24" t="str">
        <f>HYPERLINK("https://www.compass.com/listing/150-east-56th-street-unit-7a-manhattan-ny-10022/1747982939776323481/view?agent_id=610d3f3370540700019b0833","150 East 56th Street, Unit 7A")</f>
        <v>150 East 56th Street, Unit 7A</v>
      </c>
      <c r="C584" s="25" t="s">
        <v>22</v>
      </c>
      <c r="D584" s="26" t="s">
        <v>23</v>
      </c>
      <c r="E584" s="27" t="str">
        <f>HYPERLINK("https://www.compass.com/building/150-e-56th-st-manhattan-ny-10022/281923771231674005/","150 E 56th St")</f>
        <v>150 E 56th St</v>
      </c>
      <c r="F584" s="25" t="s">
        <v>66</v>
      </c>
      <c r="G584" s="28">
        <v>880000.0</v>
      </c>
      <c r="H584" s="28">
        <v>1100.0</v>
      </c>
      <c r="I584" s="28">
        <v>2258.0</v>
      </c>
      <c r="J584" s="28">
        <v>11208.0</v>
      </c>
      <c r="K584" s="25" t="s">
        <v>28</v>
      </c>
      <c r="L584" s="26">
        <v>4.0</v>
      </c>
      <c r="M584" s="26">
        <v>2.0</v>
      </c>
      <c r="N584" s="30"/>
      <c r="O584" s="30"/>
      <c r="P584" s="26">
        <v>800.0</v>
      </c>
      <c r="Q584" s="35">
        <v>65.0</v>
      </c>
      <c r="R584" s="32">
        <v>45860.0</v>
      </c>
      <c r="S584" s="32">
        <v>45798.0</v>
      </c>
      <c r="T584" s="29"/>
      <c r="U584" s="33"/>
      <c r="V584" s="1"/>
    </row>
    <row r="585" ht="24.0" customHeight="1">
      <c r="A585" s="1"/>
      <c r="B585" s="24" t="str">
        <f>HYPERLINK("https://www.compass.com/listing/9201-shore-road-unit-b104-brooklyn-ny-11209/1875946260272567393/view?agent_id=610d3f3370540700019b0833","9201 Shore Road, Unit B104")</f>
        <v>9201 Shore Road, Unit B104</v>
      </c>
      <c r="C585" s="25" t="s">
        <v>22</v>
      </c>
      <c r="D585" s="26" t="s">
        <v>23</v>
      </c>
      <c r="E585" s="27" t="str">
        <f>HYPERLINK("https://www.compass.com/building/9201-shore-rd-brooklyn-ny-11209/293535584398436629/","9201 Shore Rd")</f>
        <v>9201 Shore Rd</v>
      </c>
      <c r="F585" s="25" t="s">
        <v>55</v>
      </c>
      <c r="G585" s="28">
        <v>499000.0</v>
      </c>
      <c r="H585" s="28">
        <v>554.0</v>
      </c>
      <c r="I585" s="28">
        <v>1116.0</v>
      </c>
      <c r="J585" s="28">
        <v>0.0</v>
      </c>
      <c r="K585" s="25" t="s">
        <v>25</v>
      </c>
      <c r="L585" s="26">
        <v>5.0</v>
      </c>
      <c r="M585" s="26">
        <v>2.0</v>
      </c>
      <c r="N585" s="26">
        <v>1.0</v>
      </c>
      <c r="O585" s="30"/>
      <c r="P585" s="26">
        <v>900.0</v>
      </c>
      <c r="Q585" s="35">
        <v>24.0</v>
      </c>
      <c r="R585" s="32">
        <v>45840.0</v>
      </c>
      <c r="S585" s="32">
        <v>45839.0</v>
      </c>
      <c r="T585" s="29"/>
      <c r="U585" s="33"/>
      <c r="V585" s="1"/>
    </row>
    <row r="586" ht="24.0" customHeight="1">
      <c r="A586" s="1"/>
      <c r="B586" s="24" t="str">
        <f>HYPERLINK("https://www.compass.com/listing/245-84-62nd-avenue-unit-b11-queens-ny-11362/1885576215602877617/view?agent_id=610d3f3370540700019b0833","245-84 62nd Avenue, Unit B11")</f>
        <v>245-84 62nd Avenue, Unit B11</v>
      </c>
      <c r="C586" s="25" t="s">
        <v>22</v>
      </c>
      <c r="D586" s="26" t="s">
        <v>23</v>
      </c>
      <c r="E586" s="27" t="str">
        <f>HYPERLINK("https://www.compass.com/building/245-84-62nd-ave-queens-ny-11362/307451341622323157/","245-84 62nd Ave")</f>
        <v>245-84 62nd Ave</v>
      </c>
      <c r="F586" s="25" t="s">
        <v>145</v>
      </c>
      <c r="G586" s="28">
        <v>388000.0</v>
      </c>
      <c r="H586" s="28">
        <v>446.0</v>
      </c>
      <c r="I586" s="28">
        <v>1158.0</v>
      </c>
      <c r="J586" s="29"/>
      <c r="K586" s="25" t="s">
        <v>25</v>
      </c>
      <c r="L586" s="26">
        <v>5.0</v>
      </c>
      <c r="M586" s="26">
        <v>2.0</v>
      </c>
      <c r="N586" s="26">
        <v>1.0</v>
      </c>
      <c r="O586" s="30"/>
      <c r="P586" s="26">
        <v>869.0</v>
      </c>
      <c r="Q586" s="35">
        <v>10.0</v>
      </c>
      <c r="R586" s="32">
        <v>45858.0</v>
      </c>
      <c r="S586" s="32">
        <v>45853.0</v>
      </c>
      <c r="T586" s="29"/>
      <c r="U586" s="33"/>
      <c r="V586" s="1"/>
    </row>
    <row r="587" ht="24.0" customHeight="1">
      <c r="A587" s="1"/>
      <c r="B587" s="24" t="str">
        <f>HYPERLINK("https://www.compass.com/listing/1199-east-53rd-street-unit-1d-brooklyn-ny-11234/1805243737235584881/view?agent_id=610d3f3370540700019b0833","1199 East 53rd Street, Unit 1D")</f>
        <v>1199 East 53rd Street, Unit 1D</v>
      </c>
      <c r="C587" s="25" t="s">
        <v>22</v>
      </c>
      <c r="D587" s="26" t="s">
        <v>23</v>
      </c>
      <c r="E587" s="27" t="str">
        <f>HYPERLINK("https://www.compass.com/building/kings-village-brooklyn-ny/293416499719285397/","Kings Village")</f>
        <v>Kings Village</v>
      </c>
      <c r="F587" s="25" t="s">
        <v>123</v>
      </c>
      <c r="G587" s="28">
        <v>275000.0</v>
      </c>
      <c r="H587" s="28">
        <v>285.0</v>
      </c>
      <c r="I587" s="28">
        <v>1155.0</v>
      </c>
      <c r="J587" s="29"/>
      <c r="K587" s="25" t="s">
        <v>25</v>
      </c>
      <c r="L587" s="26">
        <v>4.0</v>
      </c>
      <c r="M587" s="26">
        <v>2.0</v>
      </c>
      <c r="N587" s="26">
        <v>1.0</v>
      </c>
      <c r="O587" s="30"/>
      <c r="P587" s="26">
        <v>966.0</v>
      </c>
      <c r="Q587" s="35">
        <v>83.0</v>
      </c>
      <c r="R587" s="32">
        <v>45781.0</v>
      </c>
      <c r="S587" s="32">
        <v>45780.0</v>
      </c>
      <c r="T587" s="29"/>
      <c r="U587" s="33"/>
      <c r="V587" s="1"/>
    </row>
    <row r="588" ht="24.0" customHeight="1">
      <c r="A588" s="1"/>
      <c r="B588" s="24" t="str">
        <f>HYPERLINK("https://www.compass.com/listing/1530-east-8th-street-unit-7l-brooklyn-ny-11230/1839767725353254001/view?agent_id=610d3f3370540700019b0833","1530 East 8th Street, Unit 7L")</f>
        <v>1530 East 8th Street, Unit 7L</v>
      </c>
      <c r="C588" s="25" t="s">
        <v>22</v>
      </c>
      <c r="D588" s="26" t="s">
        <v>23</v>
      </c>
      <c r="E588" s="27" t="str">
        <f>HYPERLINK("https://www.compass.com/building/1530-e-8th-st-brooklyn-ny-11230/293529988114696325/","1530 E 8th St")</f>
        <v>1530 E 8th St</v>
      </c>
      <c r="F588" s="25" t="s">
        <v>171</v>
      </c>
      <c r="G588" s="28">
        <v>409000.0</v>
      </c>
      <c r="H588" s="28">
        <v>372.0</v>
      </c>
      <c r="I588" s="28">
        <v>1099.0</v>
      </c>
      <c r="J588" s="28">
        <v>0.0</v>
      </c>
      <c r="K588" s="25" t="s">
        <v>25</v>
      </c>
      <c r="L588" s="26">
        <v>6.0</v>
      </c>
      <c r="M588" s="26">
        <v>2.0</v>
      </c>
      <c r="N588" s="26">
        <v>1.0</v>
      </c>
      <c r="O588" s="30"/>
      <c r="P588" s="34">
        <v>1100.0</v>
      </c>
      <c r="Q588" s="35">
        <v>74.0</v>
      </c>
      <c r="R588" s="32">
        <v>45790.0</v>
      </c>
      <c r="S588" s="32">
        <v>45789.0</v>
      </c>
      <c r="T588" s="29"/>
      <c r="U588" s="33"/>
      <c r="V588" s="1"/>
    </row>
    <row r="589" ht="24.0" customHeight="1">
      <c r="A589" s="1"/>
      <c r="B589" s="24" t="str">
        <f>HYPERLINK("https://www.compass.com/listing/80-18-19th-avenue-unit-2-queens-ny-11370/1867290414545194873/view?agent_id=610d3f3370540700019b0833","80-18 19th Avenue, Unit 2")</f>
        <v>80-18 19th Avenue, Unit 2</v>
      </c>
      <c r="C589" s="25" t="s">
        <v>22</v>
      </c>
      <c r="D589" s="26" t="s">
        <v>23</v>
      </c>
      <c r="E589" s="27" t="str">
        <f>HYPERLINK("https://www.compass.com/building/80-18-19th-ave-queens-ny-11370/307441759030065157/","80-18 19th Ave")</f>
        <v>80-18 19th Ave</v>
      </c>
      <c r="F589" s="25" t="s">
        <v>68</v>
      </c>
      <c r="G589" s="28">
        <v>579000.0</v>
      </c>
      <c r="H589" s="28">
        <v>546.0</v>
      </c>
      <c r="I589" s="28">
        <v>1116.0</v>
      </c>
      <c r="J589" s="28">
        <v>5352.0</v>
      </c>
      <c r="K589" s="25" t="s">
        <v>28</v>
      </c>
      <c r="L589" s="26">
        <v>4.0</v>
      </c>
      <c r="M589" s="26">
        <v>2.0</v>
      </c>
      <c r="N589" s="26">
        <v>1.0</v>
      </c>
      <c r="O589" s="30"/>
      <c r="P589" s="34">
        <v>1060.0</v>
      </c>
      <c r="Q589" s="35">
        <v>36.0</v>
      </c>
      <c r="R589" s="32">
        <v>45828.0</v>
      </c>
      <c r="S589" s="32">
        <v>45827.0</v>
      </c>
      <c r="T589" s="29"/>
      <c r="U589" s="33"/>
      <c r="V589" s="1"/>
    </row>
    <row r="590" ht="24.0" customHeight="1">
      <c r="A590" s="1"/>
      <c r="B590" s="24" t="str">
        <f>HYPERLINK("https://www.compass.com/listing/834-riverside-drive-unit-4c-manhattan-ny-10032/1810270915950962737/view?agent_id=610d3f3370540700019b0833","834 Riverside Drive, Unit 4C")</f>
        <v>834 Riverside Drive, Unit 4C</v>
      </c>
      <c r="C590" s="25" t="s">
        <v>22</v>
      </c>
      <c r="D590" s="26" t="s">
        <v>23</v>
      </c>
      <c r="E590" s="27" t="str">
        <f>HYPERLINK("https://www.compass.com/building/834-riverside-dr-manhattan-ny-10032/282009434866187493/","834 Riverside Dr")</f>
        <v>834 Riverside Dr</v>
      </c>
      <c r="F590" s="25" t="s">
        <v>77</v>
      </c>
      <c r="G590" s="28">
        <v>699999.0</v>
      </c>
      <c r="H590" s="29"/>
      <c r="I590" s="28">
        <v>825.0</v>
      </c>
      <c r="J590" s="28">
        <v>0.0</v>
      </c>
      <c r="K590" s="25" t="s">
        <v>25</v>
      </c>
      <c r="L590" s="26">
        <v>4.0</v>
      </c>
      <c r="M590" s="26">
        <v>2.0</v>
      </c>
      <c r="N590" s="26">
        <v>1.0</v>
      </c>
      <c r="O590" s="30"/>
      <c r="P590" s="26">
        <v>0.0</v>
      </c>
      <c r="Q590" s="35">
        <v>115.0</v>
      </c>
      <c r="R590" s="32">
        <v>45749.0</v>
      </c>
      <c r="S590" s="32">
        <v>45748.0</v>
      </c>
      <c r="T590" s="29"/>
      <c r="U590" s="33"/>
      <c r="V590" s="1"/>
    </row>
    <row r="591" ht="24.0" customHeight="1">
      <c r="A591" s="1"/>
      <c r="B591" s="24" t="str">
        <f>HYPERLINK("https://www.compass.com/listing/1115-dorchester-road-unit-4f-brooklyn-ny-11218/1781033864692425073/view?agent_id=610d3f3370540700019b0833","1115 Dorchester Road, Unit 4F")</f>
        <v>1115 Dorchester Road, Unit 4F</v>
      </c>
      <c r="C591" s="25" t="s">
        <v>22</v>
      </c>
      <c r="D591" s="26" t="s">
        <v>23</v>
      </c>
      <c r="E591" s="27" t="str">
        <f>HYPERLINK("https://www.compass.com/building/1115-dorchester-rd-brooklyn-ny-11218/293530964791945445/","1115 Dorchester Rd")</f>
        <v>1115 Dorchester Rd</v>
      </c>
      <c r="F591" s="25" t="s">
        <v>172</v>
      </c>
      <c r="G591" s="28">
        <v>500000.0</v>
      </c>
      <c r="H591" s="29"/>
      <c r="I591" s="28">
        <v>500.0</v>
      </c>
      <c r="J591" s="28">
        <v>0.0</v>
      </c>
      <c r="K591" s="25" t="s">
        <v>25</v>
      </c>
      <c r="L591" s="26">
        <v>3.0</v>
      </c>
      <c r="M591" s="26">
        <v>2.0</v>
      </c>
      <c r="N591" s="26">
        <v>1.0</v>
      </c>
      <c r="O591" s="30"/>
      <c r="P591" s="30"/>
      <c r="Q591" s="35">
        <v>155.0</v>
      </c>
      <c r="R591" s="32">
        <v>45709.0</v>
      </c>
      <c r="S591" s="32">
        <v>45708.0</v>
      </c>
      <c r="T591" s="29"/>
      <c r="U591" s="33"/>
      <c r="V591" s="1"/>
    </row>
    <row r="592" ht="24.0" customHeight="1">
      <c r="A592" s="1"/>
      <c r="B592" s="24" t="str">
        <f>HYPERLINK("https://www.compass.com/listing/174-bay-53rd-street-brooklyn-ny-11214/1891510831090881449/view?agent_id=610d3f3370540700019b0833","174 Bay 53rd Street")</f>
        <v>174 Bay 53rd Street</v>
      </c>
      <c r="C592" s="25" t="s">
        <v>22</v>
      </c>
      <c r="D592" s="26" t="s">
        <v>23</v>
      </c>
      <c r="E592" s="27" t="str">
        <f>HYPERLINK("https://www.compass.com/building/174-bay-53rd-st-brooklyn-ny-11214/293535711074721477/","174 Bay 53rd St")</f>
        <v>174 Bay 53rd St</v>
      </c>
      <c r="F592" s="25" t="s">
        <v>173</v>
      </c>
      <c r="G592" s="28">
        <v>975000.0</v>
      </c>
      <c r="H592" s="28">
        <v>1016.0</v>
      </c>
      <c r="I592" s="28">
        <v>281.0</v>
      </c>
      <c r="J592" s="28">
        <v>3367.0</v>
      </c>
      <c r="K592" s="25" t="s">
        <v>159</v>
      </c>
      <c r="L592" s="26">
        <v>4.0</v>
      </c>
      <c r="M592" s="26">
        <v>2.0</v>
      </c>
      <c r="N592" s="26">
        <v>1.0</v>
      </c>
      <c r="O592" s="30"/>
      <c r="P592" s="26">
        <v>960.0</v>
      </c>
      <c r="Q592" s="35">
        <v>2.0</v>
      </c>
      <c r="R592" s="32">
        <v>45862.0</v>
      </c>
      <c r="S592" s="32">
        <v>45861.0</v>
      </c>
      <c r="T592" s="29"/>
      <c r="U592" s="33"/>
      <c r="V592" s="1"/>
    </row>
    <row r="593" ht="24.0" customHeight="1">
      <c r="A593" s="1"/>
      <c r="B593" s="24" t="str">
        <f>HYPERLINK("https://www.compass.com/listing/301-east-45th-street-unit-10e-manhattan-ny-10017/1761017493862849521/view?agent_id=610d3f3370540700019b0833","301 East 45th Street, Unit 10E")</f>
        <v>301 East 45th Street, Unit 10E</v>
      </c>
      <c r="C593" s="25" t="s">
        <v>22</v>
      </c>
      <c r="D593" s="26" t="s">
        <v>23</v>
      </c>
      <c r="E593" s="27" t="str">
        <f>HYPERLINK("https://www.compass.com/building/the-delegate-manhattan-ny/281942134112706965/","The Delegate")</f>
        <v>The Delegate</v>
      </c>
      <c r="F593" s="25" t="s">
        <v>66</v>
      </c>
      <c r="G593" s="28">
        <v>915000.0</v>
      </c>
      <c r="H593" s="28">
        <v>1144.0</v>
      </c>
      <c r="I593" s="28">
        <v>2452.0</v>
      </c>
      <c r="J593" s="28">
        <v>13776.0</v>
      </c>
      <c r="K593" s="25" t="s">
        <v>28</v>
      </c>
      <c r="L593" s="26">
        <v>4.0</v>
      </c>
      <c r="M593" s="26">
        <v>2.0</v>
      </c>
      <c r="N593" s="26">
        <v>1.0</v>
      </c>
      <c r="O593" s="26">
        <v>0.0</v>
      </c>
      <c r="P593" s="26">
        <v>800.0</v>
      </c>
      <c r="Q593" s="35">
        <v>182.0</v>
      </c>
      <c r="R593" s="32">
        <v>45860.0</v>
      </c>
      <c r="S593" s="32">
        <v>45681.0</v>
      </c>
      <c r="T593" s="29"/>
      <c r="U593" s="33"/>
      <c r="V593" s="1"/>
    </row>
    <row r="594" ht="24.0" customHeight="1">
      <c r="A594" s="1"/>
      <c r="B594" s="24" t="str">
        <f>HYPERLINK("https://www.compass.com/listing/301-east-48th-street-unit-10g-manhattan-ny-10017/1810819423981084793/view?agent_id=610d3f3370540700019b0833","301 East 48th Street, Unit 10G")</f>
        <v>301 East 48th Street, Unit 10G</v>
      </c>
      <c r="C594" s="25" t="s">
        <v>22</v>
      </c>
      <c r="D594" s="26" t="s">
        <v>23</v>
      </c>
      <c r="E594" s="27" t="str">
        <f>HYPERLINK("https://www.compass.com/building/marlo-towers-manhattan-ny/281942137543647125/","Marlo Towers")</f>
        <v>Marlo Towers</v>
      </c>
      <c r="F594" s="25" t="s">
        <v>66</v>
      </c>
      <c r="G594" s="28">
        <v>950000.0</v>
      </c>
      <c r="H594" s="28">
        <v>1000.0</v>
      </c>
      <c r="I594" s="28">
        <v>1972.0</v>
      </c>
      <c r="J594" s="28">
        <v>0.0</v>
      </c>
      <c r="K594" s="25" t="s">
        <v>25</v>
      </c>
      <c r="L594" s="26">
        <v>5.0</v>
      </c>
      <c r="M594" s="26">
        <v>2.0</v>
      </c>
      <c r="N594" s="26">
        <v>1.0</v>
      </c>
      <c r="O594" s="30"/>
      <c r="P594" s="26">
        <v>950.0</v>
      </c>
      <c r="Q594" s="35">
        <v>114.0</v>
      </c>
      <c r="R594" s="32">
        <v>45750.0</v>
      </c>
      <c r="S594" s="32">
        <v>45749.0</v>
      </c>
      <c r="T594" s="29"/>
      <c r="U594" s="33"/>
      <c r="V594" s="1"/>
    </row>
    <row r="595" ht="24.0" customHeight="1">
      <c r="A595" s="1"/>
      <c r="B595" s="24" t="str">
        <f>HYPERLINK("https://www.compass.com/listing/37-75-64th-street-unit-51-queens-ny-11377/1857467756538712817/view?agent_id=610d3f3370540700019b0833","37-75 64th Street, Unit 51")</f>
        <v>37-75 64th Street, Unit 51</v>
      </c>
      <c r="C595" s="25" t="s">
        <v>22</v>
      </c>
      <c r="D595" s="26" t="s">
        <v>23</v>
      </c>
      <c r="E595" s="27" t="str">
        <f>HYPERLINK("https://www.compass.com/building/37-75-64th-st-queens-ny-11377/293535127680619781/","37-75 64th St")</f>
        <v>37-75 64th St</v>
      </c>
      <c r="F595" s="25" t="s">
        <v>137</v>
      </c>
      <c r="G595" s="28">
        <v>370000.0</v>
      </c>
      <c r="H595" s="28">
        <v>510.0</v>
      </c>
      <c r="I595" s="28">
        <v>694.0</v>
      </c>
      <c r="J595" s="29"/>
      <c r="K595" s="25" t="s">
        <v>25</v>
      </c>
      <c r="L595" s="26">
        <v>5.0</v>
      </c>
      <c r="M595" s="26">
        <v>2.0</v>
      </c>
      <c r="N595" s="26">
        <v>1.0</v>
      </c>
      <c r="O595" s="30"/>
      <c r="P595" s="26">
        <v>725.0</v>
      </c>
      <c r="Q595" s="35">
        <v>49.0</v>
      </c>
      <c r="R595" s="32">
        <v>45816.0</v>
      </c>
      <c r="S595" s="32">
        <v>45814.0</v>
      </c>
      <c r="T595" s="29"/>
      <c r="U595" s="33"/>
      <c r="V595" s="1"/>
    </row>
    <row r="596" ht="24.0" customHeight="1">
      <c r="A596" s="1"/>
      <c r="B596" s="24" t="str">
        <f>HYPERLINK("https://www.compass.com/listing/57-21-246th-crescent-unit-b27-upper-queens-ny-11362/1869537787942616473/view?agent_id=610d3f3370540700019b0833","57-21 246th Crescent, Unit B27 UPPER")</f>
        <v>57-21 246th Crescent, Unit B27 UPPER</v>
      </c>
      <c r="C596" s="25" t="s">
        <v>22</v>
      </c>
      <c r="D596" s="26" t="s">
        <v>23</v>
      </c>
      <c r="E596" s="27" t="str">
        <f>HYPERLINK("https://www.compass.com/building/57-21-246th-cres-queens-ny-11362/307432081051026629/","57-21 246th Cres")</f>
        <v>57-21 246th Cres</v>
      </c>
      <c r="F596" s="25" t="s">
        <v>145</v>
      </c>
      <c r="G596" s="28">
        <v>399000.0</v>
      </c>
      <c r="H596" s="28">
        <v>420.0</v>
      </c>
      <c r="I596" s="28">
        <v>1200.0</v>
      </c>
      <c r="J596" s="29"/>
      <c r="K596" s="25" t="s">
        <v>25</v>
      </c>
      <c r="L596" s="26">
        <v>5.0</v>
      </c>
      <c r="M596" s="26">
        <v>2.0</v>
      </c>
      <c r="N596" s="26">
        <v>1.0</v>
      </c>
      <c r="O596" s="30"/>
      <c r="P596" s="26">
        <v>950.0</v>
      </c>
      <c r="Q596" s="35">
        <v>27.0</v>
      </c>
      <c r="R596" s="32">
        <v>45836.0</v>
      </c>
      <c r="S596" s="32">
        <v>45836.0</v>
      </c>
      <c r="T596" s="29"/>
      <c r="U596" s="33"/>
      <c r="V596" s="1"/>
    </row>
    <row r="597" ht="24.0" customHeight="1">
      <c r="A597" s="1"/>
      <c r="B597" s="24" t="str">
        <f>HYPERLINK("https://www.compass.com/listing/715-9th-avenue-unit-2fn-manhattan-ny-10019/1784649774872122401/view?agent_id=610d3f3370540700019b0833","715 9th Avenue, Unit 2FN")</f>
        <v>715 9th Avenue, Unit 2FN</v>
      </c>
      <c r="C597" s="25" t="s">
        <v>22</v>
      </c>
      <c r="D597" s="26" t="s">
        <v>23</v>
      </c>
      <c r="E597" s="27" t="str">
        <f>HYPERLINK("https://www.compass.com/building/715-9th-ave-manhattan-ny-10019/281946749860376709/","715 9th Ave")</f>
        <v>715 9th Ave</v>
      </c>
      <c r="F597" s="25" t="s">
        <v>47</v>
      </c>
      <c r="G597" s="28">
        <v>415000.0</v>
      </c>
      <c r="H597" s="29"/>
      <c r="I597" s="28">
        <v>1200.0</v>
      </c>
      <c r="J597" s="28">
        <v>0.0</v>
      </c>
      <c r="K597" s="25" t="s">
        <v>25</v>
      </c>
      <c r="L597" s="26">
        <v>4.0</v>
      </c>
      <c r="M597" s="26">
        <v>2.0</v>
      </c>
      <c r="N597" s="26">
        <v>1.0</v>
      </c>
      <c r="O597" s="30"/>
      <c r="P597" s="30"/>
      <c r="Q597" s="35">
        <v>249.0</v>
      </c>
      <c r="R597" s="32">
        <v>45714.0</v>
      </c>
      <c r="S597" s="32">
        <v>45614.0</v>
      </c>
      <c r="T597" s="29"/>
      <c r="U597" s="33"/>
      <c r="V597" s="1"/>
    </row>
    <row r="598" ht="24.0" customHeight="1">
      <c r="A598" s="1"/>
      <c r="B598" s="24" t="str">
        <f>HYPERLINK("https://www.compass.com/listing/111-76-180th-street-queens-ny-11433/1887091724357808761/view?agent_id=610d3f3370540700019b0833","111-76 180th Street")</f>
        <v>111-76 180th Street</v>
      </c>
      <c r="C598" s="25" t="s">
        <v>22</v>
      </c>
      <c r="D598" s="26" t="s">
        <v>23</v>
      </c>
      <c r="E598" s="27" t="str">
        <f>HYPERLINK("https://www.compass.com/building/111-76-180th-st-queens-ny-11433/293529915788220053/","111-76 180th St")</f>
        <v>111-76 180th St</v>
      </c>
      <c r="F598" s="25" t="s">
        <v>174</v>
      </c>
      <c r="G598" s="28">
        <v>694000.0</v>
      </c>
      <c r="H598" s="28">
        <v>452.0</v>
      </c>
      <c r="I598" s="28">
        <v>521.0</v>
      </c>
      <c r="J598" s="28">
        <v>6247.0</v>
      </c>
      <c r="K598" s="25" t="s">
        <v>97</v>
      </c>
      <c r="L598" s="26">
        <v>3.0</v>
      </c>
      <c r="M598" s="26">
        <v>2.0</v>
      </c>
      <c r="N598" s="26">
        <v>1.0</v>
      </c>
      <c r="O598" s="30"/>
      <c r="P598" s="34">
        <v>1537.0</v>
      </c>
      <c r="Q598" s="35">
        <v>7.0</v>
      </c>
      <c r="R598" s="32">
        <v>45856.0</v>
      </c>
      <c r="S598" s="32">
        <v>45856.0</v>
      </c>
      <c r="T598" s="29"/>
      <c r="U598" s="33"/>
      <c r="V598" s="1"/>
    </row>
    <row r="599" ht="24.0" customHeight="1">
      <c r="A599" s="1"/>
      <c r="B599" s="24" t="str">
        <f>HYPERLINK("https://www.compass.com/listing/201-east-36th-street-unit-17d-manhattan-ny-10016/1830506283234853289/view?agent_id=610d3f3370540700019b0833","201 East 36th Street, Unit 17D")</f>
        <v>201 East 36th Street, Unit 17D</v>
      </c>
      <c r="C599" s="25" t="s">
        <v>22</v>
      </c>
      <c r="D599" s="26" t="s">
        <v>23</v>
      </c>
      <c r="E599" s="27" t="str">
        <f>HYPERLINK("https://www.compass.com/building/murray-hill-terrace-manhattan-ny/281938150312432917/","Murray Hill Terrace")</f>
        <v>Murray Hill Terrace</v>
      </c>
      <c r="F599" s="25" t="s">
        <v>72</v>
      </c>
      <c r="G599" s="28">
        <v>1149000.0</v>
      </c>
      <c r="H599" s="28">
        <v>1431.0</v>
      </c>
      <c r="I599" s="28">
        <v>2234.0</v>
      </c>
      <c r="J599" s="28">
        <v>11436.0</v>
      </c>
      <c r="K599" s="25" t="s">
        <v>28</v>
      </c>
      <c r="L599" s="26">
        <v>4.0</v>
      </c>
      <c r="M599" s="26">
        <v>2.0</v>
      </c>
      <c r="N599" s="26">
        <v>1.0</v>
      </c>
      <c r="O599" s="26">
        <v>0.0</v>
      </c>
      <c r="P599" s="26">
        <v>803.0</v>
      </c>
      <c r="Q599" s="35">
        <v>86.0</v>
      </c>
      <c r="R599" s="32">
        <v>45861.0</v>
      </c>
      <c r="S599" s="32">
        <v>45777.0</v>
      </c>
      <c r="T599" s="29"/>
      <c r="U599" s="33"/>
      <c r="V599" s="1"/>
    </row>
    <row r="600" ht="24.0" customHeight="1">
      <c r="A600" s="1"/>
      <c r="B600" s="24" t="str">
        <f>HYPERLINK("https://www.compass.com/listing/448-west-167th-street-unit-4ee-manhattan-ny-10032/1851681997777005777/view?agent_id=610d3f3370540700019b0833","448 West 167th Street, Unit 4EE")</f>
        <v>448 West 167th Street, Unit 4EE</v>
      </c>
      <c r="C600" s="25" t="s">
        <v>22</v>
      </c>
      <c r="D600" s="26" t="s">
        <v>23</v>
      </c>
      <c r="E600" s="27" t="str">
        <f>HYPERLINK("https://www.compass.com/building/the-highbridge-manhattan-ny/292908412235157269/","The Highbridge")</f>
        <v>The Highbridge</v>
      </c>
      <c r="F600" s="25" t="s">
        <v>77</v>
      </c>
      <c r="G600" s="28">
        <v>799000.0</v>
      </c>
      <c r="H600" s="28">
        <v>1055.0</v>
      </c>
      <c r="I600" s="28">
        <v>920.0</v>
      </c>
      <c r="J600" s="28">
        <v>1512.0</v>
      </c>
      <c r="K600" s="25" t="s">
        <v>28</v>
      </c>
      <c r="L600" s="26">
        <v>4.0</v>
      </c>
      <c r="M600" s="26">
        <v>2.0</v>
      </c>
      <c r="N600" s="26">
        <v>1.0</v>
      </c>
      <c r="O600" s="26">
        <v>0.0</v>
      </c>
      <c r="P600" s="26">
        <v>757.0</v>
      </c>
      <c r="Q600" s="35">
        <v>57.0</v>
      </c>
      <c r="R600" s="32">
        <v>45852.0</v>
      </c>
      <c r="S600" s="32">
        <v>45806.0</v>
      </c>
      <c r="T600" s="29"/>
      <c r="U600" s="33"/>
      <c r="V600" s="1"/>
    </row>
    <row r="601" ht="24.0" customHeight="1">
      <c r="A601" s="1"/>
      <c r="B601" s="24" t="str">
        <f>HYPERLINK("https://www.compass.com/listing/1-hanson-place-unit-15b-brooklyn-ny-11243/1844164885943170545/view?agent_id=610d3f3370540700019b0833","1 Hanson Place, Unit 15B")</f>
        <v>1 Hanson Place, Unit 15B</v>
      </c>
      <c r="C601" s="25" t="s">
        <v>22</v>
      </c>
      <c r="D601" s="26" t="s">
        <v>23</v>
      </c>
      <c r="E601" s="27" t="str">
        <f>HYPERLINK("https://www.compass.com/building/one-hanson-place-condominium-brooklyn-ny/307446033092810661/","One Hanson Place Condominium ")</f>
        <v>One Hanson Place Condominium </v>
      </c>
      <c r="F601" s="25" t="s">
        <v>59</v>
      </c>
      <c r="G601" s="28">
        <v>1111000.0</v>
      </c>
      <c r="H601" s="28">
        <v>1202.0</v>
      </c>
      <c r="I601" s="28">
        <v>2230.0</v>
      </c>
      <c r="J601" s="28">
        <v>10344.0</v>
      </c>
      <c r="K601" s="25" t="s">
        <v>28</v>
      </c>
      <c r="L601" s="26">
        <v>4.0</v>
      </c>
      <c r="M601" s="26">
        <v>2.0</v>
      </c>
      <c r="N601" s="26">
        <v>1.0</v>
      </c>
      <c r="O601" s="30"/>
      <c r="P601" s="26">
        <v>924.0</v>
      </c>
      <c r="Q601" s="35">
        <v>69.0</v>
      </c>
      <c r="R601" s="32">
        <v>45796.0</v>
      </c>
      <c r="S601" s="32">
        <v>45794.0</v>
      </c>
      <c r="T601" s="29"/>
      <c r="U601" s="33"/>
      <c r="V601" s="1"/>
    </row>
    <row r="602" ht="24.0" customHeight="1">
      <c r="A602" s="1"/>
      <c r="B602" s="24" t="str">
        <f>HYPERLINK("https://www.compass.com/listing/1513-lexington-avenue-unit-4s-manhattan-ny-10029/1678452795874514761/view?agent_id=610d3f3370540700019b0833","1513 Lexington Avenue, Unit 4S")</f>
        <v>1513 Lexington Avenue, Unit 4S</v>
      </c>
      <c r="C602" s="25" t="s">
        <v>22</v>
      </c>
      <c r="D602" s="26" t="s">
        <v>23</v>
      </c>
      <c r="E602" s="27" t="str">
        <f>HYPERLINK("https://www.compass.com/building/1513-lexington-ave-manhattan-ny-10029/281988747736755093/","1513 Lexington Ave")</f>
        <v>1513 Lexington Ave</v>
      </c>
      <c r="F602" s="25" t="s">
        <v>44</v>
      </c>
      <c r="G602" s="28">
        <v>515000.0</v>
      </c>
      <c r="H602" s="29"/>
      <c r="I602" s="28">
        <v>276.0</v>
      </c>
      <c r="J602" s="28">
        <v>0.0</v>
      </c>
      <c r="K602" s="25" t="s">
        <v>25</v>
      </c>
      <c r="L602" s="26">
        <v>4.0</v>
      </c>
      <c r="M602" s="26">
        <v>2.0</v>
      </c>
      <c r="N602" s="26">
        <v>1.0</v>
      </c>
      <c r="O602" s="26">
        <v>0.0</v>
      </c>
      <c r="P602" s="30"/>
      <c r="Q602" s="35">
        <v>296.0</v>
      </c>
      <c r="R602" s="32">
        <v>45812.0</v>
      </c>
      <c r="S602" s="32">
        <v>45567.0</v>
      </c>
      <c r="T602" s="29"/>
      <c r="U602" s="33"/>
      <c r="V602" s="1"/>
    </row>
    <row r="603" ht="24.0" customHeight="1">
      <c r="A603" s="1"/>
      <c r="B603" s="24" t="str">
        <f>HYPERLINK("https://www.compass.com/listing/100-riverside-boulevard-unit-8e-manhattan-ny-10069/1679830691144520945/view?agent_id=610d3f3370540700019b0833","100 Riverside Boulevard, Unit 8E")</f>
        <v>100 Riverside Boulevard, Unit 8E</v>
      </c>
      <c r="C603" s="25" t="s">
        <v>22</v>
      </c>
      <c r="D603" s="26" t="s">
        <v>23</v>
      </c>
      <c r="E603" s="27" t="str">
        <f>HYPERLINK("https://www.compass.com/building/the-avery-manhattan-ny/282041150146105509/","The Avery")</f>
        <v>The Avery</v>
      </c>
      <c r="F603" s="25" t="s">
        <v>29</v>
      </c>
      <c r="G603" s="28">
        <v>1550000.0</v>
      </c>
      <c r="H603" s="28">
        <v>1550.0</v>
      </c>
      <c r="I603" s="28">
        <v>3460.0</v>
      </c>
      <c r="J603" s="28">
        <v>24444.0</v>
      </c>
      <c r="K603" s="25" t="s">
        <v>28</v>
      </c>
      <c r="L603" s="26">
        <v>4.0</v>
      </c>
      <c r="M603" s="26">
        <v>2.0</v>
      </c>
      <c r="N603" s="26">
        <v>1.0</v>
      </c>
      <c r="O603" s="30"/>
      <c r="P603" s="34">
        <v>1000.0</v>
      </c>
      <c r="Q603" s="35">
        <v>294.0</v>
      </c>
      <c r="R603" s="32">
        <v>45569.0</v>
      </c>
      <c r="S603" s="32">
        <v>45569.0</v>
      </c>
      <c r="T603" s="29"/>
      <c r="U603" s="33"/>
      <c r="V603" s="1"/>
    </row>
    <row r="604" ht="24.0" customHeight="1">
      <c r="A604" s="1"/>
      <c r="B604" s="24" t="str">
        <f>HYPERLINK("https://www.compass.com/listing/56-20-185th-street-queens-ny-11365/1884874325998549073/view?agent_id=610d3f3370540700019b0833","56-20 185th Street")</f>
        <v>56-20 185th Street</v>
      </c>
      <c r="C604" s="25" t="s">
        <v>22</v>
      </c>
      <c r="D604" s="26" t="s">
        <v>23</v>
      </c>
      <c r="E604" s="27" t="str">
        <f>HYPERLINK("https://www.compass.com/building/56-20-185th-st-queens-ny-11365/293417966802928933/","56-20 185th St")</f>
        <v>56-20 185th St</v>
      </c>
      <c r="F604" s="25" t="s">
        <v>175</v>
      </c>
      <c r="G604" s="28">
        <v>879000.0</v>
      </c>
      <c r="H604" s="28">
        <v>981.0</v>
      </c>
      <c r="I604" s="28">
        <v>652.0</v>
      </c>
      <c r="J604" s="28">
        <v>7819.0</v>
      </c>
      <c r="K604" s="25" t="s">
        <v>97</v>
      </c>
      <c r="L604" s="26">
        <v>7.0</v>
      </c>
      <c r="M604" s="26">
        <v>2.0</v>
      </c>
      <c r="N604" s="26">
        <v>1.0</v>
      </c>
      <c r="O604" s="30"/>
      <c r="P604" s="26">
        <v>896.0</v>
      </c>
      <c r="Q604" s="35">
        <v>4.0</v>
      </c>
      <c r="R604" s="32">
        <v>45860.0</v>
      </c>
      <c r="S604" s="32">
        <v>45859.0</v>
      </c>
      <c r="T604" s="29"/>
      <c r="U604" s="33"/>
      <c r="V604" s="1"/>
    </row>
    <row r="605" ht="24.0" customHeight="1">
      <c r="A605" s="1"/>
      <c r="B605" s="24" t="str">
        <f>HYPERLINK("https://www.compass.com/listing/510-west-151st-street-unit-5-manhattan-ny-10031/1763661164697631905/view?agent_id=610d3f3370540700019b0833","510 West 151st Street, Unit 5")</f>
        <v>510 West 151st Street, Unit 5</v>
      </c>
      <c r="C605" s="25" t="s">
        <v>22</v>
      </c>
      <c r="D605" s="26" t="s">
        <v>23</v>
      </c>
      <c r="E605" s="27" t="str">
        <f>HYPERLINK("https://www.compass.com/building/510-w-151st-st-manhattan-ny-10031/281998937571843733/","510 W 151st St")</f>
        <v>510 W 151st St</v>
      </c>
      <c r="F605" s="25" t="s">
        <v>71</v>
      </c>
      <c r="G605" s="28">
        <v>355000.0</v>
      </c>
      <c r="H605" s="29"/>
      <c r="I605" s="28">
        <v>670.0</v>
      </c>
      <c r="J605" s="28">
        <v>0.0</v>
      </c>
      <c r="K605" s="25" t="s">
        <v>25</v>
      </c>
      <c r="L605" s="26">
        <v>3.0</v>
      </c>
      <c r="M605" s="26">
        <v>2.0</v>
      </c>
      <c r="N605" s="26">
        <v>1.0</v>
      </c>
      <c r="O605" s="30"/>
      <c r="P605" s="30"/>
      <c r="Q605" s="35">
        <v>179.0</v>
      </c>
      <c r="R605" s="32">
        <v>45685.0</v>
      </c>
      <c r="S605" s="32">
        <v>45684.0</v>
      </c>
      <c r="T605" s="29"/>
      <c r="U605" s="33"/>
      <c r="V605" s="1"/>
    </row>
    <row r="606" ht="24.0" customHeight="1">
      <c r="A606" s="1"/>
      <c r="B606" s="24" t="str">
        <f>HYPERLINK("https://www.compass.com/listing/99-05-63rd-drive-unit-1q-queens-ny-11374/1889747349629518617/view?agent_id=610d3f3370540700019b0833","99-05 63rd Drive, Unit 1Q")</f>
        <v>99-05 63rd Drive, Unit 1Q</v>
      </c>
      <c r="C606" s="25" t="s">
        <v>22</v>
      </c>
      <c r="D606" s="26" t="s">
        <v>23</v>
      </c>
      <c r="E606" s="27" t="str">
        <f>HYPERLINK("https://www.compass.com/building/99-05-63rd-dr-queens-ny-11374/307443693157761557/","99-05 63rd Dr")</f>
        <v>99-05 63rd Dr</v>
      </c>
      <c r="F606" s="25" t="s">
        <v>166</v>
      </c>
      <c r="G606" s="28">
        <v>275000.0</v>
      </c>
      <c r="H606" s="29"/>
      <c r="I606" s="28">
        <v>1107.0</v>
      </c>
      <c r="J606" s="28">
        <v>0.0</v>
      </c>
      <c r="K606" s="25" t="s">
        <v>25</v>
      </c>
      <c r="L606" s="26">
        <v>4.0</v>
      </c>
      <c r="M606" s="26">
        <v>2.0</v>
      </c>
      <c r="N606" s="26">
        <v>1.0</v>
      </c>
      <c r="O606" s="30"/>
      <c r="P606" s="26">
        <v>0.0</v>
      </c>
      <c r="Q606" s="35">
        <v>5.0</v>
      </c>
      <c r="R606" s="32">
        <v>45859.0</v>
      </c>
      <c r="S606" s="32">
        <v>45858.0</v>
      </c>
      <c r="T606" s="29"/>
      <c r="U606" s="33"/>
      <c r="V606" s="1"/>
    </row>
    <row r="607" ht="24.0" customHeight="1">
      <c r="A607" s="1"/>
      <c r="B607" s="24" t="str">
        <f>HYPERLINK("https://www.compass.com/listing/87-09-34th-avenue-unit-4j-queens-ny-11372/1885754682826853305/view?agent_id=610d3f3370540700019b0833","87-09 34th Avenue, Unit 4J")</f>
        <v>87-09 34th Avenue, Unit 4J</v>
      </c>
      <c r="C607" s="25" t="s">
        <v>22</v>
      </c>
      <c r="D607" s="26" t="s">
        <v>23</v>
      </c>
      <c r="E607" s="27" t="str">
        <f>HYPERLINK("https://www.compass.com/building/87-09-34th-ave-queens-ny-11372/293526936188144293/","87-09 34th Ave")</f>
        <v>87-09 34th Ave</v>
      </c>
      <c r="F607" s="25" t="s">
        <v>33</v>
      </c>
      <c r="G607" s="28">
        <v>399000.0</v>
      </c>
      <c r="H607" s="29"/>
      <c r="I607" s="28">
        <v>860.0</v>
      </c>
      <c r="J607" s="29"/>
      <c r="K607" s="25" t="s">
        <v>25</v>
      </c>
      <c r="L607" s="26">
        <v>4.0</v>
      </c>
      <c r="M607" s="26">
        <v>2.0</v>
      </c>
      <c r="N607" s="26">
        <v>1.0</v>
      </c>
      <c r="O607" s="30"/>
      <c r="P607" s="26">
        <v>0.0</v>
      </c>
      <c r="Q607" s="35">
        <v>10.0</v>
      </c>
      <c r="R607" s="32">
        <v>45860.0</v>
      </c>
      <c r="S607" s="32">
        <v>45853.0</v>
      </c>
      <c r="T607" s="29"/>
      <c r="U607" s="33"/>
      <c r="V607" s="1"/>
    </row>
    <row r="608" ht="24.0" customHeight="1">
      <c r="A608" s="1"/>
      <c r="B608" s="24" t="str">
        <f>HYPERLINK("https://www.compass.com/listing/225-12-manor-road-unit-87-queens-ny-11427/1856235167526403921/view?agent_id=610d3f3370540700019b0833","225-12 Manor Road, Unit 87")</f>
        <v>225-12 Manor Road, Unit 87</v>
      </c>
      <c r="C608" s="25" t="s">
        <v>22</v>
      </c>
      <c r="D608" s="26" t="s">
        <v>23</v>
      </c>
      <c r="E608" s="27" t="str">
        <f>HYPERLINK("https://www.compass.com/building/225-12-manor-rd-queens-ny-11427/381304939375761157/","225-12 Manor Rd")</f>
        <v>225-12 Manor Rd</v>
      </c>
      <c r="F608" s="25" t="s">
        <v>69</v>
      </c>
      <c r="G608" s="28">
        <v>379999.0</v>
      </c>
      <c r="H608" s="28">
        <v>296.0</v>
      </c>
      <c r="I608" s="28">
        <v>941.0</v>
      </c>
      <c r="J608" s="28">
        <v>0.0</v>
      </c>
      <c r="K608" s="25" t="s">
        <v>28</v>
      </c>
      <c r="L608" s="26">
        <v>5.0</v>
      </c>
      <c r="M608" s="26">
        <v>2.0</v>
      </c>
      <c r="N608" s="26">
        <v>1.0</v>
      </c>
      <c r="O608" s="30"/>
      <c r="P608" s="34">
        <v>1285.0</v>
      </c>
      <c r="Q608" s="35">
        <v>51.0</v>
      </c>
      <c r="R608" s="32">
        <v>45819.0</v>
      </c>
      <c r="S608" s="32">
        <v>45812.0</v>
      </c>
      <c r="T608" s="29"/>
      <c r="U608" s="33"/>
      <c r="V608" s="1"/>
    </row>
    <row r="609" ht="24.0" customHeight="1">
      <c r="A609" s="1"/>
      <c r="B609" s="24" t="str">
        <f>HYPERLINK("https://www.compass.com/listing/214-83-jamaica-avenue-queens-ny-11428/1886287660292336737/view?agent_id=610d3f3370540700019b0833","214-83 Jamaica Avenue")</f>
        <v>214-83 Jamaica Avenue</v>
      </c>
      <c r="C609" s="25" t="s">
        <v>22</v>
      </c>
      <c r="D609" s="26" t="s">
        <v>23</v>
      </c>
      <c r="E609" s="27" t="str">
        <f>HYPERLINK("https://www.compass.com/building/214-83-jamaica-ave-queens-ny-11428/381300876940884213/","214-83 Jamaica Ave")</f>
        <v>214-83 Jamaica Ave</v>
      </c>
      <c r="F609" s="25" t="s">
        <v>98</v>
      </c>
      <c r="G609" s="28">
        <v>2100.0</v>
      </c>
      <c r="H609" s="28">
        <v>3.0</v>
      </c>
      <c r="I609" s="28">
        <v>492.0</v>
      </c>
      <c r="J609" s="28">
        <v>5900.0</v>
      </c>
      <c r="K609" s="25" t="s">
        <v>97</v>
      </c>
      <c r="L609" s="26">
        <v>4.0</v>
      </c>
      <c r="M609" s="26">
        <v>2.0</v>
      </c>
      <c r="N609" s="26">
        <v>1.0</v>
      </c>
      <c r="O609" s="30"/>
      <c r="P609" s="26">
        <v>650.0</v>
      </c>
      <c r="Q609" s="35">
        <v>9.0</v>
      </c>
      <c r="R609" s="32">
        <v>45855.0</v>
      </c>
      <c r="S609" s="32">
        <v>45854.0</v>
      </c>
      <c r="T609" s="29"/>
      <c r="U609" s="33"/>
      <c r="V609" s="1"/>
    </row>
    <row r="610" ht="24.0" customHeight="1">
      <c r="A610" s="1"/>
      <c r="B610" s="24" t="str">
        <f>HYPERLINK("https://www.compass.com/listing/63-11-queens-boulevard-unit-b23-queens-ny-11377/1866556453615626017/view?agent_id=610d3f3370540700019b0833","63-11 Queens Boulevard, Unit B23")</f>
        <v>63-11 Queens Boulevard, Unit B23</v>
      </c>
      <c r="C610" s="25" t="s">
        <v>22</v>
      </c>
      <c r="D610" s="26" t="s">
        <v>23</v>
      </c>
      <c r="E610" s="27" t="str">
        <f>HYPERLINK("https://www.compass.com/building/63-11-queens-blvd-queens-ny-11377/293526115547450837/","63-11 Queens Blvd")</f>
        <v>63-11 Queens Blvd</v>
      </c>
      <c r="F610" s="25" t="s">
        <v>137</v>
      </c>
      <c r="G610" s="28">
        <v>445000.0</v>
      </c>
      <c r="H610" s="29"/>
      <c r="I610" s="28">
        <v>1339.0</v>
      </c>
      <c r="J610" s="28">
        <v>0.0</v>
      </c>
      <c r="K610" s="25" t="s">
        <v>25</v>
      </c>
      <c r="L610" s="26">
        <v>4.0</v>
      </c>
      <c r="M610" s="26">
        <v>2.0</v>
      </c>
      <c r="N610" s="26">
        <v>1.0</v>
      </c>
      <c r="O610" s="30"/>
      <c r="P610" s="26">
        <v>0.0</v>
      </c>
      <c r="Q610" s="35">
        <v>37.0</v>
      </c>
      <c r="R610" s="32">
        <v>45827.0</v>
      </c>
      <c r="S610" s="32">
        <v>45826.0</v>
      </c>
      <c r="T610" s="29"/>
      <c r="U610" s="33"/>
      <c r="V610" s="1"/>
    </row>
    <row r="611" ht="24.0" customHeight="1">
      <c r="A611" s="1"/>
      <c r="B611" s="24" t="str">
        <f>HYPERLINK("https://www.compass.com/listing/350-cabrini-boulevard-unit-1a-manhattan-ny-10040/1869631604230092129/view?agent_id=610d3f3370540700019b0833","350 Cabrini Boulevard, Unit 1A")</f>
        <v>350 Cabrini Boulevard, Unit 1A</v>
      </c>
      <c r="C611" s="25" t="s">
        <v>22</v>
      </c>
      <c r="D611" s="26" t="s">
        <v>23</v>
      </c>
      <c r="E611" s="27" t="str">
        <f>HYPERLINK("https://www.compass.com/building/350-cabrini-blvd-manhattan-ny-10040/282033432735792053/","350 Cabrini Blvd")</f>
        <v>350 Cabrini Blvd</v>
      </c>
      <c r="F611" s="25" t="s">
        <v>58</v>
      </c>
      <c r="G611" s="28">
        <v>625000.0</v>
      </c>
      <c r="H611" s="29"/>
      <c r="I611" s="28">
        <v>1272.0</v>
      </c>
      <c r="J611" s="28">
        <v>0.0</v>
      </c>
      <c r="K611" s="25" t="s">
        <v>25</v>
      </c>
      <c r="L611" s="26">
        <v>4.0</v>
      </c>
      <c r="M611" s="26">
        <v>2.0</v>
      </c>
      <c r="N611" s="26">
        <v>1.0</v>
      </c>
      <c r="O611" s="26">
        <v>0.0</v>
      </c>
      <c r="P611" s="30"/>
      <c r="Q611" s="35">
        <v>32.0</v>
      </c>
      <c r="R611" s="32">
        <v>45863.0</v>
      </c>
      <c r="S611" s="32">
        <v>45831.0</v>
      </c>
      <c r="T611" s="29"/>
      <c r="U611" s="33"/>
      <c r="V611" s="1"/>
    </row>
    <row r="612" ht="24.0" customHeight="1">
      <c r="A612" s="1"/>
      <c r="B612" s="24" t="str">
        <f>HYPERLINK("https://www.compass.com/listing/2962-decatur-avenue-unit-1c-bronx-ny-10458/1882640329629254913/view?agent_id=610d3f3370540700019b0833","2962 Decatur Avenue, Unit 1C")</f>
        <v>2962 Decatur Avenue, Unit 1C</v>
      </c>
      <c r="C612" s="25" t="s">
        <v>22</v>
      </c>
      <c r="D612" s="26" t="s">
        <v>23</v>
      </c>
      <c r="E612" s="27" t="str">
        <f>HYPERLINK("https://www.compass.com/building/2962-decatur-ave-bronx-ny-10458/293527105394823429/","2962 Decatur Ave")</f>
        <v>2962 Decatur Ave</v>
      </c>
      <c r="F612" s="25" t="s">
        <v>176</v>
      </c>
      <c r="G612" s="28">
        <v>225000.0</v>
      </c>
      <c r="H612" s="28">
        <v>301.0</v>
      </c>
      <c r="I612" s="28">
        <v>1037.0</v>
      </c>
      <c r="J612" s="29"/>
      <c r="K612" s="25" t="s">
        <v>25</v>
      </c>
      <c r="L612" s="26">
        <v>4.0</v>
      </c>
      <c r="M612" s="26">
        <v>2.0</v>
      </c>
      <c r="N612" s="26">
        <v>1.0</v>
      </c>
      <c r="O612" s="30"/>
      <c r="P612" s="26">
        <v>747.0</v>
      </c>
      <c r="Q612" s="35">
        <v>10.0</v>
      </c>
      <c r="R612" s="32">
        <v>45860.0</v>
      </c>
      <c r="S612" s="32">
        <v>45853.0</v>
      </c>
      <c r="T612" s="29"/>
      <c r="U612" s="33"/>
      <c r="V612" s="1"/>
    </row>
    <row r="613" ht="24.0" customHeight="1">
      <c r="A613" s="1"/>
      <c r="B613" s="24" t="str">
        <f>HYPERLINK("https://www.compass.com/listing/34-15-74th-street-unit-5k-queens-ny-11372/1884829864144827489/view?agent_id=610d3f3370540700019b0833","34-15 74th Street, Unit 5K")</f>
        <v>34-15 74th Street, Unit 5K</v>
      </c>
      <c r="C613" s="25" t="s">
        <v>22</v>
      </c>
      <c r="D613" s="26" t="s">
        <v>23</v>
      </c>
      <c r="E613" s="27" t="str">
        <f>HYPERLINK("https://www.compass.com/building/34-15-74th-st-queens-ny-11372/294848402021952069/","34-15 74th St")</f>
        <v>34-15 74th St</v>
      </c>
      <c r="F613" s="25" t="s">
        <v>33</v>
      </c>
      <c r="G613" s="28">
        <v>415000.0</v>
      </c>
      <c r="H613" s="28">
        <v>519.0</v>
      </c>
      <c r="I613" s="28">
        <v>906.0</v>
      </c>
      <c r="J613" s="29"/>
      <c r="K613" s="25" t="s">
        <v>25</v>
      </c>
      <c r="L613" s="26">
        <v>5.0</v>
      </c>
      <c r="M613" s="26">
        <v>2.0</v>
      </c>
      <c r="N613" s="26">
        <v>1.0</v>
      </c>
      <c r="O613" s="30"/>
      <c r="P613" s="26">
        <v>800.0</v>
      </c>
      <c r="Q613" s="35">
        <v>11.0</v>
      </c>
      <c r="R613" s="32">
        <v>45860.0</v>
      </c>
      <c r="S613" s="32">
        <v>45852.0</v>
      </c>
      <c r="T613" s="29"/>
      <c r="U613" s="33"/>
      <c r="V613" s="1"/>
    </row>
    <row r="614" ht="24.0" customHeight="1">
      <c r="A614" s="1"/>
      <c r="B614" s="24" t="str">
        <f>HYPERLINK("https://www.compass.com/listing/60-11-broadway-unit-1m-queens-ny-11377/1865057418248604633/view?agent_id=610d3f3370540700019b0833","60-11 Broadway, Unit 1M")</f>
        <v>60-11 Broadway, Unit 1M</v>
      </c>
      <c r="C614" s="25" t="s">
        <v>22</v>
      </c>
      <c r="D614" s="26" t="s">
        <v>23</v>
      </c>
      <c r="E614" s="27" t="str">
        <f>HYPERLINK("https://www.compass.com/building/the-henderson-queens-ny/293527805868641173/","The Henderson")</f>
        <v>The Henderson</v>
      </c>
      <c r="F614" s="25" t="s">
        <v>137</v>
      </c>
      <c r="G614" s="28">
        <v>465000.0</v>
      </c>
      <c r="H614" s="28">
        <v>563.0</v>
      </c>
      <c r="I614" s="28">
        <v>1278.0</v>
      </c>
      <c r="J614" s="28">
        <v>0.0</v>
      </c>
      <c r="K614" s="25" t="s">
        <v>25</v>
      </c>
      <c r="L614" s="26">
        <v>5.0</v>
      </c>
      <c r="M614" s="26">
        <v>2.0</v>
      </c>
      <c r="N614" s="26">
        <v>1.0</v>
      </c>
      <c r="O614" s="30"/>
      <c r="P614" s="26">
        <v>826.0</v>
      </c>
      <c r="Q614" s="35">
        <v>39.0</v>
      </c>
      <c r="R614" s="32">
        <v>45825.0</v>
      </c>
      <c r="S614" s="32">
        <v>45824.0</v>
      </c>
      <c r="T614" s="29"/>
      <c r="U614" s="33"/>
      <c r="V614" s="1"/>
    </row>
    <row r="615" ht="24.0" customHeight="1">
      <c r="A615" s="1"/>
      <c r="B615" s="24" t="str">
        <f>HYPERLINK("https://www.compass.com/listing/624-new-york-avenue-unit-2b-brooklyn-ny-11225/1766056842648787409/view?agent_id=610d3f3370540700019b0833","624 New York Avenue, Unit 2B")</f>
        <v>624 New York Avenue, Unit 2B</v>
      </c>
      <c r="C615" s="25" t="s">
        <v>22</v>
      </c>
      <c r="D615" s="26" t="s">
        <v>23</v>
      </c>
      <c r="E615" s="26" t="s">
        <v>177</v>
      </c>
      <c r="F615" s="25" t="s">
        <v>108</v>
      </c>
      <c r="G615" s="28">
        <v>840000.0</v>
      </c>
      <c r="H615" s="28">
        <v>1051.0</v>
      </c>
      <c r="I615" s="28">
        <v>1712.0</v>
      </c>
      <c r="J615" s="28">
        <v>13848.0</v>
      </c>
      <c r="K615" s="25" t="s">
        <v>28</v>
      </c>
      <c r="L615" s="26">
        <v>4.0</v>
      </c>
      <c r="M615" s="26">
        <v>2.0</v>
      </c>
      <c r="N615" s="26">
        <v>1.0</v>
      </c>
      <c r="O615" s="26">
        <v>0.0</v>
      </c>
      <c r="P615" s="26">
        <v>799.0</v>
      </c>
      <c r="Q615" s="35">
        <v>175.0</v>
      </c>
      <c r="R615" s="32">
        <v>45863.0</v>
      </c>
      <c r="S615" s="32">
        <v>45688.0</v>
      </c>
      <c r="T615" s="29"/>
      <c r="U615" s="33"/>
      <c r="V615" s="1"/>
    </row>
    <row r="616" ht="24.0" customHeight="1">
      <c r="A616" s="1"/>
      <c r="B616" s="24" t="str">
        <f>HYPERLINK("https://www.compass.com/listing/3-acorn-place-unit-3-bronx-ny-10465/1869829887367762273/view?agent_id=610d3f3370540700019b0833","3 Acorn Place, Unit 3")</f>
        <v>3 Acorn Place, Unit 3</v>
      </c>
      <c r="C616" s="25" t="s">
        <v>22</v>
      </c>
      <c r="D616" s="26" t="s">
        <v>23</v>
      </c>
      <c r="E616" s="26" t="s">
        <v>178</v>
      </c>
      <c r="F616" s="25" t="s">
        <v>179</v>
      </c>
      <c r="G616" s="28">
        <v>449000.0</v>
      </c>
      <c r="H616" s="28">
        <v>345.0</v>
      </c>
      <c r="I616" s="28">
        <v>472.0</v>
      </c>
      <c r="J616" s="29"/>
      <c r="K616" s="25" t="s">
        <v>25</v>
      </c>
      <c r="L616" s="26">
        <v>5.0</v>
      </c>
      <c r="M616" s="26">
        <v>2.0</v>
      </c>
      <c r="N616" s="26">
        <v>1.0</v>
      </c>
      <c r="O616" s="30"/>
      <c r="P616" s="34">
        <v>1300.0</v>
      </c>
      <c r="Q616" s="35">
        <v>25.0</v>
      </c>
      <c r="R616" s="32">
        <v>45838.0</v>
      </c>
      <c r="S616" s="32">
        <v>45838.0</v>
      </c>
      <c r="T616" s="29"/>
      <c r="U616" s="33"/>
      <c r="V616" s="1"/>
    </row>
    <row r="617" ht="24.0" customHeight="1">
      <c r="A617" s="1"/>
      <c r="B617" s="24" t="str">
        <f>HYPERLINK("https://www.compass.com/listing/333-east-34th-street-unit-2m-manhattan-ny-10016/1805795627564653433/view?agent_id=610d3f3370540700019b0833","333 East 34th Street, Unit 2M")</f>
        <v>333 East 34th Street, Unit 2M</v>
      </c>
      <c r="C617" s="25" t="s">
        <v>22</v>
      </c>
      <c r="D617" s="26" t="s">
        <v>23</v>
      </c>
      <c r="E617" s="27" t="str">
        <f>HYPERLINK("https://www.compass.com/building/the-devon-manhattan-ny/281940093885799141/","The Devon")</f>
        <v>The Devon</v>
      </c>
      <c r="F617" s="25" t="s">
        <v>72</v>
      </c>
      <c r="G617" s="28">
        <v>1075000.0</v>
      </c>
      <c r="H617" s="28">
        <v>1175.0</v>
      </c>
      <c r="I617" s="28">
        <v>1920.0</v>
      </c>
      <c r="J617" s="28">
        <v>13008.0</v>
      </c>
      <c r="K617" s="25" t="s">
        <v>28</v>
      </c>
      <c r="L617" s="26">
        <v>4.0</v>
      </c>
      <c r="M617" s="26">
        <v>2.0</v>
      </c>
      <c r="N617" s="26">
        <v>1.0</v>
      </c>
      <c r="O617" s="26">
        <v>0.0</v>
      </c>
      <c r="P617" s="26">
        <v>915.0</v>
      </c>
      <c r="Q617" s="35">
        <v>120.0</v>
      </c>
      <c r="R617" s="32">
        <v>45855.0</v>
      </c>
      <c r="S617" s="32">
        <v>45743.0</v>
      </c>
      <c r="T617" s="29"/>
      <c r="U617" s="33"/>
      <c r="V617" s="1"/>
    </row>
    <row r="618" ht="24.0" customHeight="1">
      <c r="A618" s="1"/>
      <c r="B618" s="24" t="str">
        <f>HYPERLINK("https://www.compass.com/listing/521-castleton-avenue-unit-2e-staten-island-ny-10301/1892132507667497209/view?agent_id=610d3f3370540700019b0833","521 Castleton Avenue, Unit 2E")</f>
        <v>521 Castleton Avenue, Unit 2E</v>
      </c>
      <c r="C618" s="25" t="s">
        <v>22</v>
      </c>
      <c r="D618" s="26" t="s">
        <v>23</v>
      </c>
      <c r="E618" s="27" t="str">
        <f>HYPERLINK("https://www.compass.com/building/521-castleton-ave-staten-island-ny-10301/307435891022411797/","521 Castleton Ave")</f>
        <v>521 Castleton Ave</v>
      </c>
      <c r="F618" s="25" t="s">
        <v>180</v>
      </c>
      <c r="G618" s="28">
        <v>298500.0</v>
      </c>
      <c r="H618" s="28">
        <v>377.0</v>
      </c>
      <c r="I618" s="28">
        <v>937.0</v>
      </c>
      <c r="J618" s="28">
        <v>700.0</v>
      </c>
      <c r="K618" s="25" t="s">
        <v>25</v>
      </c>
      <c r="L618" s="26">
        <v>4.0</v>
      </c>
      <c r="M618" s="26">
        <v>2.0</v>
      </c>
      <c r="N618" s="26">
        <v>1.0</v>
      </c>
      <c r="O618" s="26">
        <v>0.0</v>
      </c>
      <c r="P618" s="26">
        <v>792.0</v>
      </c>
      <c r="Q618" s="35">
        <v>1.0</v>
      </c>
      <c r="R618" s="32">
        <v>45862.0</v>
      </c>
      <c r="S618" s="32">
        <v>45862.0</v>
      </c>
      <c r="T618" s="29"/>
      <c r="U618" s="33"/>
      <c r="V618" s="1"/>
    </row>
    <row r="619" ht="24.0" customHeight="1">
      <c r="A619" s="1"/>
      <c r="B619" s="24" t="str">
        <f>HYPERLINK("https://www.compass.com/listing/562-howard-avenue-unit-a-staten-island-ny-10301/1892883101835034929/view?agent_id=610d3f3370540700019b0833","562 Howard Avenue, Unit A")</f>
        <v>562 Howard Avenue, Unit A</v>
      </c>
      <c r="C619" s="25" t="s">
        <v>22</v>
      </c>
      <c r="D619" s="26" t="s">
        <v>23</v>
      </c>
      <c r="E619" s="27" t="str">
        <f>HYPERLINK("https://www.compass.com/building/562-howard-ave-staten-island-ny-10301/307441135890479253/","562 Howard Ave")</f>
        <v>562 Howard Ave</v>
      </c>
      <c r="F619" s="25" t="s">
        <v>169</v>
      </c>
      <c r="G619" s="28">
        <v>285000.0</v>
      </c>
      <c r="H619" s="28">
        <v>335.0</v>
      </c>
      <c r="I619" s="28">
        <v>1353.0</v>
      </c>
      <c r="J619" s="28">
        <v>4220.0</v>
      </c>
      <c r="K619" s="36"/>
      <c r="L619" s="26">
        <v>4.0</v>
      </c>
      <c r="M619" s="26">
        <v>2.0</v>
      </c>
      <c r="N619" s="26">
        <v>1.0</v>
      </c>
      <c r="O619" s="26">
        <v>0.0</v>
      </c>
      <c r="P619" s="26">
        <v>850.0</v>
      </c>
      <c r="Q619" s="35">
        <v>0.0</v>
      </c>
      <c r="R619" s="32">
        <v>45863.0</v>
      </c>
      <c r="S619" s="32">
        <v>45863.0</v>
      </c>
      <c r="T619" s="29"/>
      <c r="U619" s="33"/>
      <c r="V619" s="1"/>
    </row>
    <row r="620" ht="24.0" customHeight="1">
      <c r="A620" s="1"/>
      <c r="B620" s="24" t="str">
        <f>HYPERLINK("https://www.compass.com/listing/333-east-34th-street-unit-2m-manhattan-ny-10016/1870520027606307017/view?agent_id=610d3f3370540700019b0833","333 East 34th Street, Unit 2M")</f>
        <v>333 East 34th Street, Unit 2M</v>
      </c>
      <c r="C620" s="25" t="s">
        <v>22</v>
      </c>
      <c r="D620" s="26" t="s">
        <v>23</v>
      </c>
      <c r="E620" s="27" t="str">
        <f>HYPERLINK("https://www.compass.com/building/the-devon-manhattan-ny/281940093885799141/","The Devon")</f>
        <v>The Devon</v>
      </c>
      <c r="F620" s="25" t="s">
        <v>72</v>
      </c>
      <c r="G620" s="28">
        <v>1075000.0</v>
      </c>
      <c r="H620" s="28">
        <v>1175.0</v>
      </c>
      <c r="I620" s="28">
        <v>1920.0</v>
      </c>
      <c r="J620" s="28">
        <v>13008.0</v>
      </c>
      <c r="K620" s="25" t="s">
        <v>28</v>
      </c>
      <c r="L620" s="26">
        <v>4.0</v>
      </c>
      <c r="M620" s="26">
        <v>2.0</v>
      </c>
      <c r="N620" s="26">
        <v>1.0</v>
      </c>
      <c r="O620" s="26">
        <v>0.0</v>
      </c>
      <c r="P620" s="26">
        <v>915.0</v>
      </c>
      <c r="Q620" s="35">
        <v>120.0</v>
      </c>
      <c r="R620" s="32">
        <v>45832.0</v>
      </c>
      <c r="S620" s="32">
        <v>45743.0</v>
      </c>
      <c r="T620" s="29"/>
      <c r="U620" s="33"/>
      <c r="V620" s="1"/>
    </row>
    <row r="621" ht="24.0" customHeight="1">
      <c r="A621" s="1"/>
      <c r="B621" s="24" t="str">
        <f>HYPERLINK("https://www.compass.com/listing/44-21-macnish-street-unit-2g-queens-ny-11373/1892212716894441041/view?agent_id=610d3f3370540700019b0833","44-21 Macnish Street, Unit 2G")</f>
        <v>44-21 Macnish Street, Unit 2G</v>
      </c>
      <c r="C621" s="25" t="s">
        <v>22</v>
      </c>
      <c r="D621" s="26" t="s">
        <v>23</v>
      </c>
      <c r="E621" s="27" t="str">
        <f>HYPERLINK("https://www.compass.com/building/44-21-macnish-st-queens-ny-11373/307448424777436821/","44-21 Macnish St")</f>
        <v>44-21 Macnish St</v>
      </c>
      <c r="F621" s="25" t="s">
        <v>151</v>
      </c>
      <c r="G621" s="28">
        <v>425000.0</v>
      </c>
      <c r="H621" s="28">
        <v>425.0</v>
      </c>
      <c r="I621" s="28">
        <v>2024.0</v>
      </c>
      <c r="J621" s="29"/>
      <c r="K621" s="25" t="s">
        <v>25</v>
      </c>
      <c r="L621" s="26">
        <v>5.0</v>
      </c>
      <c r="M621" s="26">
        <v>2.0</v>
      </c>
      <c r="N621" s="26">
        <v>1.0</v>
      </c>
      <c r="O621" s="30"/>
      <c r="P621" s="34">
        <v>1000.0</v>
      </c>
      <c r="Q621" s="35">
        <v>1.0</v>
      </c>
      <c r="R621" s="32">
        <v>45863.0</v>
      </c>
      <c r="S621" s="32">
        <v>45862.0</v>
      </c>
      <c r="T621" s="29"/>
      <c r="U621" s="33"/>
      <c r="V621" s="1"/>
    </row>
    <row r="622" ht="24.0" customHeight="1">
      <c r="A622" s="1"/>
      <c r="B622" s="24" t="str">
        <f>HYPERLINK("https://www.compass.com/listing/118-11-84th-avenue-unit-415-queens-ny-11415/1884858157493199961/view?agent_id=610d3f3370540700019b0833","118-11 84th Avenue, Unit 415")</f>
        <v>118-11 84th Avenue, Unit 415</v>
      </c>
      <c r="C622" s="25" t="s">
        <v>22</v>
      </c>
      <c r="D622" s="26" t="s">
        <v>23</v>
      </c>
      <c r="E622" s="27" t="str">
        <f>HYPERLINK("https://www.compass.com/building/118-11-84th-ave-queens-ny-11415/293529116731277877/","118-11 84th Ave")</f>
        <v>118-11 84th Ave</v>
      </c>
      <c r="F622" s="25" t="s">
        <v>91</v>
      </c>
      <c r="G622" s="28">
        <v>359000.0</v>
      </c>
      <c r="H622" s="28">
        <v>399.0</v>
      </c>
      <c r="I622" s="28">
        <v>2252.0</v>
      </c>
      <c r="J622" s="29"/>
      <c r="K622" s="25" t="s">
        <v>25</v>
      </c>
      <c r="L622" s="26">
        <v>4.0</v>
      </c>
      <c r="M622" s="26">
        <v>2.0</v>
      </c>
      <c r="N622" s="26">
        <v>1.0</v>
      </c>
      <c r="O622" s="30"/>
      <c r="P622" s="26">
        <v>900.0</v>
      </c>
      <c r="Q622" s="35">
        <v>11.0</v>
      </c>
      <c r="R622" s="32">
        <v>45856.0</v>
      </c>
      <c r="S622" s="32">
        <v>45852.0</v>
      </c>
      <c r="T622" s="29"/>
      <c r="U622" s="33"/>
      <c r="V622" s="1"/>
    </row>
    <row r="623" ht="24.0" customHeight="1">
      <c r="A623" s="1"/>
      <c r="B623" s="24" t="str">
        <f>HYPERLINK("https://www.compass.com/listing/59-bell-street-staten-island-ny-10305/1892137568908685585/view?agent_id=610d3f3370540700019b0833","59 Bell Street")</f>
        <v>59 Bell Street</v>
      </c>
      <c r="C623" s="25" t="s">
        <v>22</v>
      </c>
      <c r="D623" s="26" t="s">
        <v>23</v>
      </c>
      <c r="E623" s="27" t="str">
        <f>HYPERLINK("https://www.compass.com/building/59-bell-st-staten-island-ny-10305/293531003513773941/","59 Bell St")</f>
        <v>59 Bell St</v>
      </c>
      <c r="F623" s="25" t="s">
        <v>181</v>
      </c>
      <c r="G623" s="28">
        <v>479900.0</v>
      </c>
      <c r="H623" s="28">
        <v>606.0</v>
      </c>
      <c r="I623" s="28">
        <v>218.0</v>
      </c>
      <c r="J623" s="28">
        <v>2619.0</v>
      </c>
      <c r="K623" s="25" t="s">
        <v>97</v>
      </c>
      <c r="L623" s="26">
        <v>5.0</v>
      </c>
      <c r="M623" s="26">
        <v>2.0</v>
      </c>
      <c r="N623" s="26">
        <v>1.0</v>
      </c>
      <c r="O623" s="26">
        <v>0.0</v>
      </c>
      <c r="P623" s="26">
        <v>792.0</v>
      </c>
      <c r="Q623" s="35">
        <v>0.0</v>
      </c>
      <c r="R623" s="32">
        <v>45862.0</v>
      </c>
      <c r="S623" s="32">
        <v>45862.0</v>
      </c>
      <c r="T623" s="29"/>
      <c r="U623" s="33"/>
      <c r="V623" s="1"/>
    </row>
    <row r="624" ht="24.0" customHeight="1">
      <c r="A624" s="1"/>
      <c r="B624" s="24" t="str">
        <f>HYPERLINK("https://www.compass.com/listing/624-new-york-avenue-unit-3a-brooklyn-ny-11225/1693795989439022137/view?agent_id=610d3f3370540700019b0833","624 New York Avenue, Unit 3A")</f>
        <v>624 New York Avenue, Unit 3A</v>
      </c>
      <c r="C624" s="25" t="s">
        <v>22</v>
      </c>
      <c r="D624" s="26" t="s">
        <v>23</v>
      </c>
      <c r="E624" s="26" t="s">
        <v>177</v>
      </c>
      <c r="F624" s="25" t="s">
        <v>108</v>
      </c>
      <c r="G624" s="28">
        <v>975000.0</v>
      </c>
      <c r="H624" s="28">
        <v>1073.0</v>
      </c>
      <c r="I624" s="28">
        <v>1699.0</v>
      </c>
      <c r="J624" s="28">
        <v>13740.0</v>
      </c>
      <c r="K624" s="25" t="s">
        <v>28</v>
      </c>
      <c r="L624" s="26">
        <v>4.0</v>
      </c>
      <c r="M624" s="26">
        <v>2.0</v>
      </c>
      <c r="N624" s="26">
        <v>1.0</v>
      </c>
      <c r="O624" s="26">
        <v>0.0</v>
      </c>
      <c r="P624" s="26">
        <v>909.0</v>
      </c>
      <c r="Q624" s="35">
        <v>275.0</v>
      </c>
      <c r="R624" s="32">
        <v>45863.0</v>
      </c>
      <c r="S624" s="32">
        <v>45588.0</v>
      </c>
      <c r="T624" s="29"/>
      <c r="U624" s="33"/>
      <c r="V624" s="1"/>
    </row>
    <row r="625" ht="24.0" customHeight="1">
      <c r="A625" s="1"/>
      <c r="B625" s="24" t="str">
        <f>HYPERLINK("https://www.compass.com/listing/212-east-48th-street-unit-5a-manhattan-ny-10017/1821229487442440601/view?agent_id=610d3f3370540700019b0833","212 East 48th Street, Unit 5A")</f>
        <v>212 East 48th Street, Unit 5A</v>
      </c>
      <c r="C625" s="25" t="s">
        <v>22</v>
      </c>
      <c r="D625" s="26" t="s">
        <v>23</v>
      </c>
      <c r="E625" s="27" t="str">
        <f>HYPERLINK("https://www.compass.com/building/212-e-48th-st-manhattan-ny-10017/281923027606738101/","212 E 48th St")</f>
        <v>212 E 48th St</v>
      </c>
      <c r="F625" s="25" t="s">
        <v>66</v>
      </c>
      <c r="G625" s="28">
        <v>775000.0</v>
      </c>
      <c r="H625" s="29"/>
      <c r="I625" s="28">
        <v>2586.0</v>
      </c>
      <c r="J625" s="28">
        <v>0.0</v>
      </c>
      <c r="K625" s="25" t="s">
        <v>25</v>
      </c>
      <c r="L625" s="26">
        <v>4.0</v>
      </c>
      <c r="M625" s="26">
        <v>2.0</v>
      </c>
      <c r="N625" s="26">
        <v>1.0</v>
      </c>
      <c r="O625" s="26">
        <v>0.0</v>
      </c>
      <c r="P625" s="30"/>
      <c r="Q625" s="35">
        <v>99.0</v>
      </c>
      <c r="R625" s="32">
        <v>45858.0</v>
      </c>
      <c r="S625" s="32">
        <v>45764.0</v>
      </c>
      <c r="T625" s="29"/>
      <c r="U625" s="33"/>
      <c r="V625" s="1"/>
    </row>
    <row r="626" ht="24.0" customHeight="1">
      <c r="A626" s="1"/>
      <c r="B626" s="24" t="str">
        <f>HYPERLINK("https://www.compass.com/listing/4120-murdock-avenue-bronx-ny-10466/1867515374228344089/view?agent_id=610d3f3370540700019b0833","4120 Murdock Avenue")</f>
        <v>4120 Murdock Avenue</v>
      </c>
      <c r="C626" s="25" t="s">
        <v>22</v>
      </c>
      <c r="D626" s="26" t="s">
        <v>23</v>
      </c>
      <c r="E626" s="27" t="str">
        <f>HYPERLINK("https://www.compass.com/building/4120-murdock-ave-bronx-ny-10466/293533172472240661/","4120 Murdock Ave")</f>
        <v>4120 Murdock Ave</v>
      </c>
      <c r="F626" s="25" t="s">
        <v>182</v>
      </c>
      <c r="G626" s="28">
        <v>545000.0</v>
      </c>
      <c r="H626" s="28">
        <v>341.0</v>
      </c>
      <c r="I626" s="28">
        <v>395.0</v>
      </c>
      <c r="J626" s="28">
        <v>4736.0</v>
      </c>
      <c r="K626" s="25" t="s">
        <v>97</v>
      </c>
      <c r="L626" s="26">
        <v>6.0</v>
      </c>
      <c r="M626" s="26">
        <v>2.0</v>
      </c>
      <c r="N626" s="26">
        <v>1.0</v>
      </c>
      <c r="O626" s="30"/>
      <c r="P626" s="34">
        <v>1600.0</v>
      </c>
      <c r="Q626" s="35">
        <v>35.0</v>
      </c>
      <c r="R626" s="32">
        <v>45834.0</v>
      </c>
      <c r="S626" s="32">
        <v>45828.0</v>
      </c>
      <c r="T626" s="29"/>
      <c r="U626" s="33"/>
      <c r="V626" s="1"/>
    </row>
    <row r="627" ht="24.0" customHeight="1">
      <c r="A627" s="1"/>
      <c r="B627" s="24" t="str">
        <f>HYPERLINK("https://www.compass.com/listing/16-east-98th-street-unit-1a-manhattan-ny-10029/1768940275360248737/view?agent_id=610d3f3370540700019b0833","16 East 98th Street, Unit 1A")</f>
        <v>16 East 98th Street, Unit 1A</v>
      </c>
      <c r="C627" s="25" t="s">
        <v>22</v>
      </c>
      <c r="D627" s="26" t="s">
        <v>23</v>
      </c>
      <c r="E627" s="27" t="str">
        <f>HYPERLINK("https://www.compass.com/building/16-e-98th-st-manhattan-ny-10029/281989087215332613/","16 E 98th St")</f>
        <v>16 E 98th St</v>
      </c>
      <c r="F627" s="25" t="s">
        <v>44</v>
      </c>
      <c r="G627" s="28">
        <v>795000.0</v>
      </c>
      <c r="H627" s="29"/>
      <c r="I627" s="28">
        <v>2265.0</v>
      </c>
      <c r="J627" s="28">
        <v>0.0</v>
      </c>
      <c r="K627" s="25" t="s">
        <v>25</v>
      </c>
      <c r="L627" s="26">
        <v>4.0</v>
      </c>
      <c r="M627" s="26">
        <v>2.0</v>
      </c>
      <c r="N627" s="26">
        <v>1.0</v>
      </c>
      <c r="O627" s="26">
        <v>0.0</v>
      </c>
      <c r="P627" s="30"/>
      <c r="Q627" s="35">
        <v>171.0</v>
      </c>
      <c r="R627" s="32">
        <v>45861.0</v>
      </c>
      <c r="S627" s="32">
        <v>45692.0</v>
      </c>
      <c r="T627" s="29"/>
      <c r="U627" s="33"/>
      <c r="V627" s="1"/>
    </row>
    <row r="628" ht="24.0" customHeight="1">
      <c r="A628" s="1"/>
      <c r="B628" s="24" t="str">
        <f>HYPERLINK("https://www.compass.com/listing/720-west-173rd-street-unit-32-manhattan-ny-10032/1826204668401279945/view?agent_id=610d3f3370540700019b0833","720 West 173rd Street, Unit 32")</f>
        <v>720 West 173rd Street, Unit 32</v>
      </c>
      <c r="C628" s="25" t="s">
        <v>22</v>
      </c>
      <c r="D628" s="26" t="s">
        <v>23</v>
      </c>
      <c r="E628" s="27" t="str">
        <f>HYPERLINK("https://www.compass.com/building/720-w-173rd-st-manhattan-ny-10032/282009189667175509/","720 W 173rd St")</f>
        <v>720 W 173rd St</v>
      </c>
      <c r="F628" s="25" t="s">
        <v>77</v>
      </c>
      <c r="G628" s="28">
        <v>599000.0</v>
      </c>
      <c r="H628" s="29"/>
      <c r="I628" s="28">
        <v>1326.0</v>
      </c>
      <c r="J628" s="28">
        <v>0.0</v>
      </c>
      <c r="K628" s="25" t="s">
        <v>25</v>
      </c>
      <c r="L628" s="26">
        <v>4.0</v>
      </c>
      <c r="M628" s="26">
        <v>2.0</v>
      </c>
      <c r="N628" s="26">
        <v>1.0</v>
      </c>
      <c r="O628" s="26">
        <v>0.0</v>
      </c>
      <c r="P628" s="30"/>
      <c r="Q628" s="35">
        <v>28.0</v>
      </c>
      <c r="R628" s="32">
        <v>45860.0</v>
      </c>
      <c r="S628" s="32">
        <v>45835.0</v>
      </c>
      <c r="T628" s="29"/>
      <c r="U628" s="33"/>
      <c r="V628" s="1"/>
    </row>
    <row r="629" ht="24.0" customHeight="1">
      <c r="A629" s="1"/>
      <c r="B629" s="24" t="str">
        <f>HYPERLINK("https://www.compass.com/listing/4515-5th-avenue-brooklyn-ny-11220/1866561975693613473/view?agent_id=610d3f3370540700019b0833","4515 5th Avenue")</f>
        <v>4515 5th Avenue</v>
      </c>
      <c r="C629" s="25" t="s">
        <v>22</v>
      </c>
      <c r="D629" s="26" t="s">
        <v>23</v>
      </c>
      <c r="E629" s="27" t="str">
        <f>HYPERLINK("https://www.compass.com/building/4515-5th-ave-brooklyn-ny-11220/293531021608010373/","4515 5th Ave")</f>
        <v>4515 5th Ave</v>
      </c>
      <c r="F629" s="25" t="s">
        <v>128</v>
      </c>
      <c r="G629" s="28">
        <v>1725000.0</v>
      </c>
      <c r="H629" s="28">
        <v>726.0</v>
      </c>
      <c r="I629" s="28">
        <v>0.0</v>
      </c>
      <c r="J629" s="28">
        <v>0.0</v>
      </c>
      <c r="K629" s="25" t="s">
        <v>105</v>
      </c>
      <c r="L629" s="26">
        <v>5.0</v>
      </c>
      <c r="M629" s="26">
        <v>2.0</v>
      </c>
      <c r="N629" s="26">
        <v>1.0</v>
      </c>
      <c r="O629" s="30"/>
      <c r="P629" s="34">
        <v>2376.0</v>
      </c>
      <c r="Q629" s="35">
        <v>37.0</v>
      </c>
      <c r="R629" s="32">
        <v>45827.0</v>
      </c>
      <c r="S629" s="32">
        <v>45826.0</v>
      </c>
      <c r="T629" s="29"/>
      <c r="U629" s="33"/>
      <c r="V629" s="1"/>
    </row>
    <row r="630" ht="24.0" customHeight="1">
      <c r="A630" s="1"/>
      <c r="B630" s="24" t="str">
        <f>HYPERLINK("https://www.compass.com/listing/77-20-austin-street-unit-5a-queens-ny-11375/1892283535116832841/view?agent_id=610d3f3370540700019b0833","77-20 Austin Street, Unit 5A")</f>
        <v>77-20 Austin Street, Unit 5A</v>
      </c>
      <c r="C630" s="25" t="s">
        <v>22</v>
      </c>
      <c r="D630" s="26" t="s">
        <v>23</v>
      </c>
      <c r="E630" s="27" t="str">
        <f>HYPERLINK("https://www.compass.com/building/77-20-austin-st-queens-ny-11375/307454245858996981/","77-20 Austin St")</f>
        <v>77-20 Austin St</v>
      </c>
      <c r="F630" s="25" t="s">
        <v>83</v>
      </c>
      <c r="G630" s="28">
        <v>449000.0</v>
      </c>
      <c r="H630" s="28">
        <v>449.0</v>
      </c>
      <c r="I630" s="28">
        <v>1214.0</v>
      </c>
      <c r="J630" s="29"/>
      <c r="K630" s="25" t="s">
        <v>25</v>
      </c>
      <c r="L630" s="26">
        <v>4.0</v>
      </c>
      <c r="M630" s="26">
        <v>2.0</v>
      </c>
      <c r="N630" s="26">
        <v>1.0</v>
      </c>
      <c r="O630" s="30"/>
      <c r="P630" s="34">
        <v>1000.0</v>
      </c>
      <c r="Q630" s="35">
        <v>1.0</v>
      </c>
      <c r="R630" s="32">
        <v>45863.0</v>
      </c>
      <c r="S630" s="32">
        <v>45862.0</v>
      </c>
      <c r="T630" s="29"/>
      <c r="U630" s="33"/>
      <c r="V630" s="1"/>
    </row>
    <row r="631" ht="24.0" customHeight="1">
      <c r="A631" s="1"/>
      <c r="B631" s="24" t="str">
        <f>HYPERLINK("https://www.compass.com/listing/212-east-48th-street-unit-5c-manhattan-ny-10017/1831488916321270257/view?agent_id=610d3f3370540700019b0833","212 East 48th Street, Unit 5C")</f>
        <v>212 East 48th Street, Unit 5C</v>
      </c>
      <c r="C631" s="25" t="s">
        <v>22</v>
      </c>
      <c r="D631" s="26" t="s">
        <v>23</v>
      </c>
      <c r="E631" s="27" t="str">
        <f>HYPERLINK("https://www.compass.com/building/212-e-48th-st-manhattan-ny-10017/281923027606738101/","212 E 48th St")</f>
        <v>212 E 48th St</v>
      </c>
      <c r="F631" s="25" t="s">
        <v>66</v>
      </c>
      <c r="G631" s="28">
        <v>860000.0</v>
      </c>
      <c r="H631" s="28">
        <v>782.0</v>
      </c>
      <c r="I631" s="28">
        <v>2815.0</v>
      </c>
      <c r="J631" s="28">
        <v>0.0</v>
      </c>
      <c r="K631" s="25" t="s">
        <v>25</v>
      </c>
      <c r="L631" s="26">
        <v>5.0</v>
      </c>
      <c r="M631" s="26">
        <v>2.0</v>
      </c>
      <c r="N631" s="26">
        <v>1.0</v>
      </c>
      <c r="O631" s="26">
        <v>0.0</v>
      </c>
      <c r="P631" s="34">
        <v>1100.0</v>
      </c>
      <c r="Q631" s="35">
        <v>85.0</v>
      </c>
      <c r="R631" s="32">
        <v>45858.0</v>
      </c>
      <c r="S631" s="32">
        <v>45778.0</v>
      </c>
      <c r="T631" s="29"/>
      <c r="U631" s="33"/>
      <c r="V631" s="1"/>
    </row>
    <row r="632" ht="24.0" customHeight="1">
      <c r="A632" s="1"/>
      <c r="B632" s="24" t="str">
        <f>HYPERLINK("https://www.compass.com/listing/7101-colonial-road-unit-l3b-brooklyn-ny-11209/1825277031701351361/view?agent_id=610d3f3370540700019b0833","7101 Colonial Road, Unit L3B")</f>
        <v>7101 Colonial Road, Unit L3B</v>
      </c>
      <c r="C632" s="25" t="s">
        <v>22</v>
      </c>
      <c r="D632" s="26" t="s">
        <v>23</v>
      </c>
      <c r="E632" s="27" t="str">
        <f>HYPERLINK("https://www.compass.com/building/7101-colonial-rd-brooklyn-ny-11209/293534497436112165/","7101 Colonial Rd")</f>
        <v>7101 Colonial Rd</v>
      </c>
      <c r="F632" s="25" t="s">
        <v>55</v>
      </c>
      <c r="G632" s="28">
        <v>568000.0</v>
      </c>
      <c r="H632" s="28">
        <v>473.0</v>
      </c>
      <c r="I632" s="28">
        <v>1231.0</v>
      </c>
      <c r="J632" s="28">
        <v>0.0</v>
      </c>
      <c r="K632" s="25" t="s">
        <v>25</v>
      </c>
      <c r="L632" s="26">
        <v>4.0</v>
      </c>
      <c r="M632" s="26">
        <v>2.0</v>
      </c>
      <c r="N632" s="26">
        <v>1.0</v>
      </c>
      <c r="O632" s="30"/>
      <c r="P632" s="34">
        <v>1200.0</v>
      </c>
      <c r="Q632" s="35">
        <v>94.0</v>
      </c>
      <c r="R632" s="32">
        <v>45770.0</v>
      </c>
      <c r="S632" s="32">
        <v>45769.0</v>
      </c>
      <c r="T632" s="29"/>
      <c r="U632" s="33"/>
      <c r="V632" s="1"/>
    </row>
    <row r="633" ht="24.0" customHeight="1">
      <c r="A633" s="1"/>
      <c r="B633" s="24" t="str">
        <f>HYPERLINK("https://www.compass.com/listing/393-west-49th-street-unit-th1-manhattan-ny-10019/1847918031740832545/view?agent_id=610d3f3370540700019b0833","393 West 49th Street, Unit TH1")</f>
        <v>393 West 49th Street, Unit TH1</v>
      </c>
      <c r="C633" s="25" t="s">
        <v>22</v>
      </c>
      <c r="D633" s="26" t="s">
        <v>23</v>
      </c>
      <c r="E633" s="27" t="str">
        <f>HYPERLINK("https://www.compass.com/building/three-worldwide-plaza-manhattan-ny/282058692235394245/","Three Worldwide Plaza")</f>
        <v>Three Worldwide Plaza</v>
      </c>
      <c r="F633" s="25" t="s">
        <v>47</v>
      </c>
      <c r="G633" s="28">
        <v>1299000.0</v>
      </c>
      <c r="H633" s="28">
        <v>1528.0</v>
      </c>
      <c r="I633" s="28">
        <v>2807.0</v>
      </c>
      <c r="J633" s="28">
        <v>15756.0</v>
      </c>
      <c r="K633" s="25" t="s">
        <v>28</v>
      </c>
      <c r="L633" s="26">
        <v>4.0</v>
      </c>
      <c r="M633" s="26">
        <v>2.0</v>
      </c>
      <c r="N633" s="26">
        <v>1.0</v>
      </c>
      <c r="O633" s="26">
        <v>0.0</v>
      </c>
      <c r="P633" s="26">
        <v>850.0</v>
      </c>
      <c r="Q633" s="35">
        <v>62.0</v>
      </c>
      <c r="R633" s="32">
        <v>45801.0</v>
      </c>
      <c r="S633" s="32">
        <v>45801.0</v>
      </c>
      <c r="T633" s="29"/>
      <c r="U633" s="33"/>
      <c r="V633" s="1"/>
    </row>
    <row r="634" ht="24.0" customHeight="1">
      <c r="A634" s="1"/>
      <c r="B634" s="24" t="str">
        <f>HYPERLINK("https://www.compass.com/listing/99-63-66th-avenue-unit-c8-queens-ny-11374/1891883502492438321/view?agent_id=610d3f3370540700019b0833","99-63 66th Avenue, Unit C8")</f>
        <v>99-63 66th Avenue, Unit C8</v>
      </c>
      <c r="C634" s="25" t="s">
        <v>22</v>
      </c>
      <c r="D634" s="26" t="s">
        <v>23</v>
      </c>
      <c r="E634" s="27" t="str">
        <f>HYPERLINK("https://www.compass.com/building/99-63-66th-ave-queens-ny-11374/293528875491719397/","99-63 66th Ave")</f>
        <v>99-63 66th Ave</v>
      </c>
      <c r="F634" s="25" t="s">
        <v>166</v>
      </c>
      <c r="G634" s="28">
        <v>308000.0</v>
      </c>
      <c r="H634" s="28">
        <v>385.0</v>
      </c>
      <c r="I634" s="28">
        <v>856.0</v>
      </c>
      <c r="J634" s="29"/>
      <c r="K634" s="25" t="s">
        <v>25</v>
      </c>
      <c r="L634" s="26">
        <v>5.0</v>
      </c>
      <c r="M634" s="26">
        <v>2.0</v>
      </c>
      <c r="N634" s="26">
        <v>1.0</v>
      </c>
      <c r="O634" s="30"/>
      <c r="P634" s="26">
        <v>800.0</v>
      </c>
      <c r="Q634" s="35">
        <v>1.0</v>
      </c>
      <c r="R634" s="32">
        <v>45863.0</v>
      </c>
      <c r="S634" s="32">
        <v>45862.0</v>
      </c>
      <c r="T634" s="29"/>
      <c r="U634" s="33"/>
      <c r="V634" s="1"/>
    </row>
    <row r="635" ht="24.0" customHeight="1">
      <c r="A635" s="1"/>
      <c r="B635" s="24" t="str">
        <f>HYPERLINK("https://www.compass.com/listing/745-east-31st-street-unit-2l-brooklyn-ny-11210/1880513040873986193/view?agent_id=610d3f3370540700019b0833","745 East 31st Street, Unit 2L")</f>
        <v>745 East 31st Street, Unit 2L</v>
      </c>
      <c r="C635" s="25" t="s">
        <v>22</v>
      </c>
      <c r="D635" s="26" t="s">
        <v>23</v>
      </c>
      <c r="E635" s="27" t="str">
        <f>HYPERLINK("https://www.compass.com/building/745-e-31st-st-brooklyn-ny-11210/293528613700056293/","745 E 31st St")</f>
        <v>745 E 31st St</v>
      </c>
      <c r="F635" s="25" t="s">
        <v>112</v>
      </c>
      <c r="G635" s="28">
        <v>379000.0</v>
      </c>
      <c r="H635" s="29"/>
      <c r="I635" s="28">
        <v>991.0</v>
      </c>
      <c r="J635" s="28">
        <v>0.0</v>
      </c>
      <c r="K635" s="25" t="s">
        <v>25</v>
      </c>
      <c r="L635" s="26">
        <v>4.0</v>
      </c>
      <c r="M635" s="26">
        <v>2.0</v>
      </c>
      <c r="N635" s="26">
        <v>1.0</v>
      </c>
      <c r="O635" s="26">
        <v>0.0</v>
      </c>
      <c r="P635" s="30"/>
      <c r="Q635" s="35">
        <v>17.0</v>
      </c>
      <c r="R635" s="32">
        <v>45861.0</v>
      </c>
      <c r="S635" s="32">
        <v>45846.0</v>
      </c>
      <c r="T635" s="29"/>
      <c r="U635" s="33"/>
      <c r="V635" s="1"/>
    </row>
    <row r="636" ht="24.0" customHeight="1">
      <c r="A636" s="1"/>
      <c r="B636" s="24" t="str">
        <f>HYPERLINK("https://www.compass.com/listing/2930-west-5th-street-unit-23k-brooklyn-ny-11224/1886797077077344921/view?agent_id=610d3f3370540700019b0833","2930 West 5th Street, Unit 23K")</f>
        <v>2930 West 5th Street, Unit 23K</v>
      </c>
      <c r="C636" s="25" t="s">
        <v>22</v>
      </c>
      <c r="D636" s="26" t="s">
        <v>23</v>
      </c>
      <c r="E636" s="27" t="str">
        <f>HYPERLINK("https://www.compass.com/building/2930-w-5th-st-brooklyn-ny-11224/293535414059291925/","2930 W 5th St")</f>
        <v>2930 W 5th St</v>
      </c>
      <c r="F636" s="25" t="s">
        <v>183</v>
      </c>
      <c r="G636" s="28">
        <v>510000.0</v>
      </c>
      <c r="H636" s="28">
        <v>464.0</v>
      </c>
      <c r="I636" s="28">
        <v>1239.0</v>
      </c>
      <c r="J636" s="28">
        <v>0.0</v>
      </c>
      <c r="K636" s="25" t="s">
        <v>25</v>
      </c>
      <c r="L636" s="26">
        <v>6.0</v>
      </c>
      <c r="M636" s="26">
        <v>2.0</v>
      </c>
      <c r="N636" s="26">
        <v>1.0</v>
      </c>
      <c r="O636" s="30"/>
      <c r="P636" s="34">
        <v>1100.0</v>
      </c>
      <c r="Q636" s="35">
        <v>9.0</v>
      </c>
      <c r="R636" s="32">
        <v>45855.0</v>
      </c>
      <c r="S636" s="32">
        <v>45854.0</v>
      </c>
      <c r="T636" s="29"/>
      <c r="U636" s="33"/>
      <c r="V636" s="1"/>
    </row>
    <row r="637" ht="24.0" customHeight="1">
      <c r="A637" s="1"/>
      <c r="B637" s="24" t="str">
        <f>HYPERLINK("https://www.compass.com/listing/319-east-105th-street-unit-6a-manhattan-ny-10029/1871832939968937937/view?agent_id=610d3f3370540700019b0833","319 East 105th Street, Unit 6A")</f>
        <v>319 East 105th Street, Unit 6A</v>
      </c>
      <c r="C637" s="25" t="s">
        <v>22</v>
      </c>
      <c r="D637" s="26" t="s">
        <v>23</v>
      </c>
      <c r="E637" s="27" t="str">
        <f>HYPERLINK("https://www.compass.com/building/319-e-105th-st-manhattan-ny-10029/281927102012367349/","319 E 105th St")</f>
        <v>319 E 105th St</v>
      </c>
      <c r="F637" s="25" t="s">
        <v>133</v>
      </c>
      <c r="G637" s="28">
        <v>649000.0</v>
      </c>
      <c r="H637" s="28">
        <v>721.0</v>
      </c>
      <c r="I637" s="28">
        <v>1589.0</v>
      </c>
      <c r="J637" s="28">
        <v>8424.0</v>
      </c>
      <c r="K637" s="25" t="s">
        <v>28</v>
      </c>
      <c r="L637" s="26">
        <v>5.0</v>
      </c>
      <c r="M637" s="26">
        <v>2.0</v>
      </c>
      <c r="N637" s="26">
        <v>1.0</v>
      </c>
      <c r="O637" s="30"/>
      <c r="P637" s="26">
        <v>900.0</v>
      </c>
      <c r="Q637" s="35">
        <v>28.0</v>
      </c>
      <c r="R637" s="32">
        <v>45862.0</v>
      </c>
      <c r="S637" s="32">
        <v>45834.0</v>
      </c>
      <c r="T637" s="29"/>
      <c r="U637" s="33"/>
      <c r="V637" s="1"/>
    </row>
    <row r="638" ht="24.0" customHeight="1">
      <c r="A638" s="1"/>
      <c r="B638" s="24" t="str">
        <f>HYPERLINK("https://www.compass.com/listing/300-east-40th-street-unit-24p-manhattan-ny-10016/1853766724847572601/view?agent_id=610d3f3370540700019b0833","300 East 40th Street, Unit 24P")</f>
        <v>300 East 40th Street, Unit 24P</v>
      </c>
      <c r="C638" s="25" t="s">
        <v>22</v>
      </c>
      <c r="D638" s="26" t="s">
        <v>23</v>
      </c>
      <c r="E638" s="27" t="str">
        <f>HYPERLINK("https://www.compass.com/building/the-churchill-manhattan-ny/281939423015264389/","The Churchill")</f>
        <v>The Churchill</v>
      </c>
      <c r="F638" s="25" t="s">
        <v>72</v>
      </c>
      <c r="G638" s="28">
        <v>750000.0</v>
      </c>
      <c r="H638" s="29"/>
      <c r="I638" s="28">
        <v>2321.0</v>
      </c>
      <c r="J638" s="28">
        <v>0.0</v>
      </c>
      <c r="K638" s="25" t="s">
        <v>49</v>
      </c>
      <c r="L638" s="26">
        <v>3.0</v>
      </c>
      <c r="M638" s="26">
        <v>2.0</v>
      </c>
      <c r="N638" s="26">
        <v>1.0</v>
      </c>
      <c r="O638" s="26">
        <v>0.0</v>
      </c>
      <c r="P638" s="30"/>
      <c r="Q638" s="35">
        <v>54.0</v>
      </c>
      <c r="R638" s="32">
        <v>45861.0</v>
      </c>
      <c r="S638" s="32">
        <v>45809.0</v>
      </c>
      <c r="T638" s="29"/>
      <c r="U638" s="33"/>
      <c r="V638" s="1"/>
    </row>
    <row r="639" ht="24.0" customHeight="1">
      <c r="A639" s="1"/>
      <c r="B639" s="24" t="str">
        <f>HYPERLINK("https://www.compass.com/listing/34-24-82nd-street-unit-6e-queens-ny-11372/1839910875513900985/view?agent_id=610d3f3370540700019b0833","34-24 82nd Street, Unit 6E")</f>
        <v>34-24 82nd Street, Unit 6E</v>
      </c>
      <c r="C639" s="25" t="s">
        <v>22</v>
      </c>
      <c r="D639" s="26" t="s">
        <v>23</v>
      </c>
      <c r="E639" s="27" t="str">
        <f>HYPERLINK("https://www.compass.com/building/34-24-82nd-st-queens-ny-11372/293532335264045477/","34-24 82nd St")</f>
        <v>34-24 82nd St</v>
      </c>
      <c r="F639" s="25" t="s">
        <v>33</v>
      </c>
      <c r="G639" s="28">
        <v>610000.0</v>
      </c>
      <c r="H639" s="28">
        <v>555.0</v>
      </c>
      <c r="I639" s="28">
        <v>1277.0</v>
      </c>
      <c r="J639" s="29"/>
      <c r="K639" s="25" t="s">
        <v>25</v>
      </c>
      <c r="L639" s="26">
        <v>4.0</v>
      </c>
      <c r="M639" s="26">
        <v>2.0</v>
      </c>
      <c r="N639" s="26">
        <v>1.0</v>
      </c>
      <c r="O639" s="30"/>
      <c r="P639" s="34">
        <v>1100.0</v>
      </c>
      <c r="Q639" s="35">
        <v>73.0</v>
      </c>
      <c r="R639" s="32">
        <v>45791.0</v>
      </c>
      <c r="S639" s="32">
        <v>45790.0</v>
      </c>
      <c r="T639" s="29"/>
      <c r="U639" s="33"/>
      <c r="V639" s="1"/>
    </row>
    <row r="640" ht="24.0" customHeight="1">
      <c r="A640" s="1"/>
      <c r="B640" s="24" t="str">
        <f>HYPERLINK("https://www.compass.com/listing/200-east-58th-street-unit-17h-manhattan-ny-10022/1847424545140504321/view?agent_id=610d3f3370540700019b0833","200 East 58th Street, Unit 17H")</f>
        <v>200 East 58th Street, Unit 17H</v>
      </c>
      <c r="C640" s="25" t="s">
        <v>22</v>
      </c>
      <c r="D640" s="26" t="s">
        <v>23</v>
      </c>
      <c r="E640" s="27" t="str">
        <f>HYPERLINK("https://www.compass.com/building/the-blair-house-manhattan-ny/281952873007353509/","The Blair House")</f>
        <v>The Blair House</v>
      </c>
      <c r="F640" s="25" t="s">
        <v>66</v>
      </c>
      <c r="G640" s="28">
        <v>1595000.0</v>
      </c>
      <c r="H640" s="28">
        <v>1450.0</v>
      </c>
      <c r="I640" s="28">
        <v>2728.0</v>
      </c>
      <c r="J640" s="28">
        <v>15528.0</v>
      </c>
      <c r="K640" s="25" t="s">
        <v>28</v>
      </c>
      <c r="L640" s="26">
        <v>4.0</v>
      </c>
      <c r="M640" s="26">
        <v>2.0</v>
      </c>
      <c r="N640" s="26">
        <v>1.0</v>
      </c>
      <c r="O640" s="26">
        <v>0.0</v>
      </c>
      <c r="P640" s="34">
        <v>1100.0</v>
      </c>
      <c r="Q640" s="35">
        <v>63.0</v>
      </c>
      <c r="R640" s="32">
        <v>45859.0</v>
      </c>
      <c r="S640" s="32">
        <v>45800.0</v>
      </c>
      <c r="T640" s="29"/>
      <c r="U640" s="33"/>
      <c r="V640" s="1"/>
    </row>
    <row r="641" ht="24.0" customHeight="1">
      <c r="A641" s="1"/>
      <c r="B641" s="24" t="str">
        <f>HYPERLINK("https://www.compass.com/listing/303-west-146th-street-unit-1r-manhattan-ny-10039/1824552009550155897/view?agent_id=610d3f3370540700019b0833","303 West 146th Street, Unit 1R")</f>
        <v>303 West 146th Street, Unit 1R</v>
      </c>
      <c r="C641" s="25" t="s">
        <v>22</v>
      </c>
      <c r="D641" s="26" t="s">
        <v>23</v>
      </c>
      <c r="E641" s="27" t="str">
        <f>HYPERLINK("https://www.compass.com/building/303-w-146th-st-manhattan-ny-10039/282032170929764421/","303 W 146th St")</f>
        <v>303 W 146th St</v>
      </c>
      <c r="F641" s="25" t="s">
        <v>32</v>
      </c>
      <c r="G641" s="28">
        <v>950000.0</v>
      </c>
      <c r="H641" s="28">
        <v>964.0</v>
      </c>
      <c r="I641" s="28">
        <v>1024.0</v>
      </c>
      <c r="J641" s="28">
        <v>72.0</v>
      </c>
      <c r="K641" s="25" t="s">
        <v>28</v>
      </c>
      <c r="L641" s="26">
        <v>3.0</v>
      </c>
      <c r="M641" s="26">
        <v>2.0</v>
      </c>
      <c r="N641" s="26">
        <v>1.0</v>
      </c>
      <c r="O641" s="30"/>
      <c r="P641" s="26">
        <v>985.0</v>
      </c>
      <c r="Q641" s="35">
        <v>95.0</v>
      </c>
      <c r="R641" s="32">
        <v>45769.0</v>
      </c>
      <c r="S641" s="32">
        <v>45768.0</v>
      </c>
      <c r="T641" s="29"/>
      <c r="U641" s="33"/>
      <c r="V641" s="1"/>
    </row>
    <row r="642" ht="24.0" customHeight="1">
      <c r="A642" s="1"/>
      <c r="B642" s="24" t="str">
        <f>HYPERLINK("https://www.compass.com/listing/220-26-73rd-avenue-unit-2-queens-ny-11364/1891627902772789737/view?agent_id=610d3f3370540700019b0833","220-26 73rd Avenue, Unit 2")</f>
        <v>220-26 73rd Avenue, Unit 2</v>
      </c>
      <c r="C642" s="25" t="s">
        <v>22</v>
      </c>
      <c r="D642" s="26" t="s">
        <v>23</v>
      </c>
      <c r="E642" s="27" t="str">
        <f>HYPERLINK("https://www.compass.com/building/220-26-73rd-ave-queens-ny-11364/307444093344702197/","220-26 73rd Ave")</f>
        <v>220-26 73rd Ave</v>
      </c>
      <c r="F642" s="25" t="s">
        <v>37</v>
      </c>
      <c r="G642" s="28">
        <v>358000.0</v>
      </c>
      <c r="H642" s="28">
        <v>511.0</v>
      </c>
      <c r="I642" s="28">
        <v>1216.0</v>
      </c>
      <c r="J642" s="29"/>
      <c r="K642" s="25" t="s">
        <v>25</v>
      </c>
      <c r="L642" s="26">
        <v>4.0</v>
      </c>
      <c r="M642" s="26">
        <v>2.0</v>
      </c>
      <c r="N642" s="26">
        <v>1.0</v>
      </c>
      <c r="O642" s="30"/>
      <c r="P642" s="26">
        <v>700.0</v>
      </c>
      <c r="Q642" s="35">
        <v>2.0</v>
      </c>
      <c r="R642" s="32">
        <v>45862.0</v>
      </c>
      <c r="S642" s="32">
        <v>45861.0</v>
      </c>
      <c r="T642" s="29"/>
      <c r="U642" s="33"/>
      <c r="V642" s="1"/>
    </row>
    <row r="643" ht="24.0" customHeight="1">
      <c r="A643" s="1"/>
      <c r="B643" s="24" t="str">
        <f>HYPERLINK("https://www.compass.com/listing/340-haven-avenue-unit-5pp-manhattan-ny-10033/1863279026884847353/view?agent_id=610d3f3370540700019b0833","340 Haven Avenue, Unit 5PP")</f>
        <v>340 Haven Avenue, Unit 5PP</v>
      </c>
      <c r="C643" s="25" t="s">
        <v>22</v>
      </c>
      <c r="D643" s="26" t="s">
        <v>23</v>
      </c>
      <c r="E643" s="27" t="str">
        <f>HYPERLINK("https://www.compass.com/building/lafayette-gardens-manhattan-ny/294840610246566933/","Lafayette Gardens")</f>
        <v>Lafayette Gardens</v>
      </c>
      <c r="F643" s="25" t="s">
        <v>58</v>
      </c>
      <c r="G643" s="28">
        <v>649000.0</v>
      </c>
      <c r="H643" s="29"/>
      <c r="I643" s="28">
        <v>1229.0</v>
      </c>
      <c r="J643" s="28">
        <v>0.0</v>
      </c>
      <c r="K643" s="25" t="s">
        <v>25</v>
      </c>
      <c r="L643" s="26">
        <v>4.0</v>
      </c>
      <c r="M643" s="26">
        <v>2.0</v>
      </c>
      <c r="N643" s="26">
        <v>1.0</v>
      </c>
      <c r="O643" s="26">
        <v>0.0</v>
      </c>
      <c r="P643" s="30"/>
      <c r="Q643" s="35">
        <v>41.0</v>
      </c>
      <c r="R643" s="32">
        <v>45863.0</v>
      </c>
      <c r="S643" s="32">
        <v>45822.0</v>
      </c>
      <c r="T643" s="29"/>
      <c r="U643" s="33"/>
      <c r="V643" s="1"/>
    </row>
    <row r="644" ht="24.0" customHeight="1">
      <c r="A644" s="1"/>
      <c r="B644" s="24" t="str">
        <f>HYPERLINK("https://www.compass.com/listing/10-24-166th-street-unit-5d-queens-ny-11357/1890635361708296489/view?agent_id=610d3f3370540700019b0833","10-24 166th Street, Unit 5D")</f>
        <v>10-24 166th Street, Unit 5D</v>
      </c>
      <c r="C644" s="25" t="s">
        <v>22</v>
      </c>
      <c r="D644" s="26" t="s">
        <v>23</v>
      </c>
      <c r="E644" s="27" t="str">
        <f>HYPERLINK("https://www.compass.com/building/10-24-166th-st-queens-ny-11357/293531916353702613/","10-24 166th St")</f>
        <v>10-24 166th St</v>
      </c>
      <c r="F644" s="25" t="s">
        <v>94</v>
      </c>
      <c r="G644" s="28">
        <v>589999.0</v>
      </c>
      <c r="H644" s="28">
        <v>711.0</v>
      </c>
      <c r="I644" s="28">
        <v>3220.0</v>
      </c>
      <c r="J644" s="29"/>
      <c r="K644" s="25" t="s">
        <v>25</v>
      </c>
      <c r="L644" s="26">
        <v>4.0</v>
      </c>
      <c r="M644" s="26">
        <v>2.0</v>
      </c>
      <c r="N644" s="26">
        <v>1.0</v>
      </c>
      <c r="O644" s="30"/>
      <c r="P644" s="26">
        <v>830.0</v>
      </c>
      <c r="Q644" s="35">
        <v>3.0</v>
      </c>
      <c r="R644" s="32">
        <v>45861.0</v>
      </c>
      <c r="S644" s="32">
        <v>45860.0</v>
      </c>
      <c r="T644" s="29"/>
      <c r="U644" s="33"/>
      <c r="V644" s="1"/>
    </row>
    <row r="645" ht="24.0" customHeight="1">
      <c r="A645" s="1"/>
      <c r="B645" s="24" t="str">
        <f>HYPERLINK("https://www.compass.com/listing/136-east-36th-street-unit-8d-manhattan-ny-10016/1633824681615244017/view?agent_id=610d3f3370540700019b0833","136 East 36th Street, Unit 8D")</f>
        <v>136 East 36th Street, Unit 8D</v>
      </c>
      <c r="C645" s="25" t="s">
        <v>22</v>
      </c>
      <c r="D645" s="26" t="s">
        <v>23</v>
      </c>
      <c r="E645" s="27" t="str">
        <f>HYPERLINK("https://www.compass.com/building/136-e-36th-st-manhattan-ny-10016/292839848820142613/","136 E 36th St")</f>
        <v>136 E 36th St</v>
      </c>
      <c r="F645" s="25" t="s">
        <v>72</v>
      </c>
      <c r="G645" s="28">
        <v>849000.0</v>
      </c>
      <c r="H645" s="28">
        <v>849.0</v>
      </c>
      <c r="I645" s="28">
        <v>3376.0</v>
      </c>
      <c r="J645" s="28">
        <v>0.0</v>
      </c>
      <c r="K645" s="25" t="s">
        <v>25</v>
      </c>
      <c r="L645" s="26">
        <v>5.0</v>
      </c>
      <c r="M645" s="26">
        <v>2.0</v>
      </c>
      <c r="N645" s="26">
        <v>1.0</v>
      </c>
      <c r="O645" s="30"/>
      <c r="P645" s="34">
        <v>1000.0</v>
      </c>
      <c r="Q645" s="35">
        <v>358.0</v>
      </c>
      <c r="R645" s="32">
        <v>45506.0</v>
      </c>
      <c r="S645" s="32">
        <v>45505.0</v>
      </c>
      <c r="T645" s="29"/>
      <c r="U645" s="33"/>
      <c r="V645" s="1"/>
    </row>
    <row r="646" ht="24.0" customHeight="1">
      <c r="A646" s="1"/>
      <c r="B646" s="24" t="str">
        <f>HYPERLINK("https://www.compass.com/listing/342-east-110th-street-unit-ph8e-manhattan-ny-10029/1865858958299274217/view?agent_id=610d3f3370540700019b0833","342 East 110th Street, Unit PH8E")</f>
        <v>342 East 110th Street, Unit PH8E</v>
      </c>
      <c r="C646" s="25" t="s">
        <v>22</v>
      </c>
      <c r="D646" s="26" t="s">
        <v>23</v>
      </c>
      <c r="E646" s="27" t="str">
        <f>HYPERLINK("https://www.compass.com/building/the-conrad-manhattan-ny/281991777945238421/","The Conrad")</f>
        <v>The Conrad</v>
      </c>
      <c r="F646" s="25" t="s">
        <v>133</v>
      </c>
      <c r="G646" s="28">
        <v>725000.0</v>
      </c>
      <c r="H646" s="29"/>
      <c r="I646" s="28">
        <v>2625.0</v>
      </c>
      <c r="J646" s="28">
        <v>12360.0</v>
      </c>
      <c r="K646" s="25" t="s">
        <v>28</v>
      </c>
      <c r="L646" s="26">
        <v>3.0</v>
      </c>
      <c r="M646" s="26">
        <v>2.0</v>
      </c>
      <c r="N646" s="26">
        <v>1.0</v>
      </c>
      <c r="O646" s="30"/>
      <c r="P646" s="26">
        <v>0.0</v>
      </c>
      <c r="Q646" s="35">
        <v>38.0</v>
      </c>
      <c r="R646" s="32">
        <v>45826.0</v>
      </c>
      <c r="S646" s="32">
        <v>45825.0</v>
      </c>
      <c r="T646" s="29"/>
      <c r="U646" s="33"/>
      <c r="V646" s="1"/>
    </row>
    <row r="647" ht="24.0" customHeight="1">
      <c r="A647" s="1"/>
      <c r="B647" s="24" t="str">
        <f>HYPERLINK("https://www.compass.com/listing/270-convent-avenue-unit-2e-manhattan-ny-10031/1759298708147925977/view?agent_id=610d3f3370540700019b0833","270 Convent Avenue, Unit 2E")</f>
        <v>270 Convent Avenue, Unit 2E</v>
      </c>
      <c r="C647" s="25" t="s">
        <v>22</v>
      </c>
      <c r="D647" s="26" t="s">
        <v>23</v>
      </c>
      <c r="E647" s="27" t="str">
        <f>HYPERLINK("https://www.compass.com/building/270-convent-ave-manhattan-ny-10031/281996325803906005/","270 Convent Ave")</f>
        <v>270 Convent Ave</v>
      </c>
      <c r="F647" s="25" t="s">
        <v>71</v>
      </c>
      <c r="G647" s="28">
        <v>525000.0</v>
      </c>
      <c r="H647" s="28">
        <v>656.0</v>
      </c>
      <c r="I647" s="28">
        <v>946.0</v>
      </c>
      <c r="J647" s="28">
        <v>0.0</v>
      </c>
      <c r="K647" s="25" t="s">
        <v>25</v>
      </c>
      <c r="L647" s="26">
        <v>4.0</v>
      </c>
      <c r="M647" s="26">
        <v>2.0</v>
      </c>
      <c r="N647" s="26">
        <v>1.0</v>
      </c>
      <c r="O647" s="30"/>
      <c r="P647" s="26">
        <v>800.0</v>
      </c>
      <c r="Q647" s="35">
        <v>185.0</v>
      </c>
      <c r="R647" s="32">
        <v>45679.0</v>
      </c>
      <c r="S647" s="32">
        <v>45678.0</v>
      </c>
      <c r="T647" s="29"/>
      <c r="U647" s="33"/>
      <c r="V647" s="1"/>
    </row>
    <row r="648" ht="24.0" customHeight="1">
      <c r="A648" s="1"/>
      <c r="B648" s="24" t="str">
        <f>HYPERLINK("https://www.compass.com/listing/160-72nd-street-unit-758-brooklyn-ny-11209/1542275171026054697/view?agent_id=610d3f3370540700019b0833","160 72nd Street, Unit 758")</f>
        <v>160 72nd Street, Unit 758</v>
      </c>
      <c r="C648" s="25" t="s">
        <v>22</v>
      </c>
      <c r="D648" s="26" t="s">
        <v>23</v>
      </c>
      <c r="E648" s="27" t="str">
        <f>HYPERLINK("https://www.compass.com/building/160-72nd-st-brooklyn-ny-11209/307439639018981909/","160 72nd St")</f>
        <v>160 72nd St</v>
      </c>
      <c r="F648" s="25" t="s">
        <v>55</v>
      </c>
      <c r="G648" s="28">
        <v>469000.0</v>
      </c>
      <c r="H648" s="28">
        <v>503.0</v>
      </c>
      <c r="I648" s="28">
        <v>1628.0</v>
      </c>
      <c r="J648" s="29"/>
      <c r="K648" s="25" t="s">
        <v>25</v>
      </c>
      <c r="L648" s="26">
        <v>5.0</v>
      </c>
      <c r="M648" s="26">
        <v>2.0</v>
      </c>
      <c r="N648" s="26">
        <v>1.0</v>
      </c>
      <c r="O648" s="30"/>
      <c r="P648" s="26">
        <v>932.0</v>
      </c>
      <c r="Q648" s="35">
        <v>11.0</v>
      </c>
      <c r="R648" s="32">
        <v>45858.0</v>
      </c>
      <c r="S648" s="32">
        <v>45852.0</v>
      </c>
      <c r="T648" s="29"/>
      <c r="U648" s="33"/>
      <c r="V648" s="1"/>
    </row>
    <row r="649" ht="24.0" customHeight="1">
      <c r="A649" s="1"/>
      <c r="B649" s="24" t="str">
        <f>HYPERLINK("https://www.compass.com/listing/249-dickie-avenue-staten-island-ny-10314/1891355562067202713/view?agent_id=610d3f3370540700019b0833","249 Dickie Avenue")</f>
        <v>249 Dickie Avenue</v>
      </c>
      <c r="C649" s="25" t="s">
        <v>22</v>
      </c>
      <c r="D649" s="26" t="s">
        <v>23</v>
      </c>
      <c r="E649" s="27" t="str">
        <f>HYPERLINK("https://www.compass.com/building/249-dickie-ave-staten-island-ny-10314/293531374894252341/","249 Dickie Ave")</f>
        <v>249 Dickie Ave</v>
      </c>
      <c r="F649" s="25" t="s">
        <v>184</v>
      </c>
      <c r="G649" s="28">
        <v>619900.0</v>
      </c>
      <c r="H649" s="28">
        <v>775.0</v>
      </c>
      <c r="I649" s="28">
        <v>433.0</v>
      </c>
      <c r="J649" s="28">
        <v>5199.0</v>
      </c>
      <c r="K649" s="25" t="s">
        <v>97</v>
      </c>
      <c r="L649" s="26">
        <v>5.0</v>
      </c>
      <c r="M649" s="26">
        <v>2.0</v>
      </c>
      <c r="N649" s="26">
        <v>1.0</v>
      </c>
      <c r="O649" s="26">
        <v>0.0</v>
      </c>
      <c r="P649" s="26">
        <v>800.0</v>
      </c>
      <c r="Q649" s="35">
        <v>2.0</v>
      </c>
      <c r="R649" s="32">
        <v>45861.0</v>
      </c>
      <c r="S649" s="32">
        <v>45860.0</v>
      </c>
      <c r="T649" s="29"/>
      <c r="U649" s="33"/>
      <c r="V649" s="1"/>
    </row>
    <row r="650" ht="24.0" customHeight="1">
      <c r="A650" s="1"/>
      <c r="B650" s="24" t="str">
        <f>HYPERLINK("https://www.compass.com/listing/1810-3rd-avenue-unit-b9c-manhattan-ny-10029/1871889757092755545/view?agent_id=610d3f3370540700019b0833","1810 3rd Avenue, Unit B9C")</f>
        <v>1810 3rd Avenue, Unit B9C</v>
      </c>
      <c r="C650" s="25" t="s">
        <v>22</v>
      </c>
      <c r="D650" s="26" t="s">
        <v>23</v>
      </c>
      <c r="E650" s="27" t="str">
        <f>HYPERLINK("https://www.compass.com/building/the-art-house-condominiums-manhattan-ny/281989881993998229/","The Art House Condominiums")</f>
        <v>The Art House Condominiums</v>
      </c>
      <c r="F650" s="25" t="s">
        <v>133</v>
      </c>
      <c r="G650" s="28">
        <v>699000.0</v>
      </c>
      <c r="H650" s="28">
        <v>1179.0</v>
      </c>
      <c r="I650" s="28">
        <v>1348.0</v>
      </c>
      <c r="J650" s="28">
        <v>7800.0</v>
      </c>
      <c r="K650" s="25" t="s">
        <v>28</v>
      </c>
      <c r="L650" s="26">
        <v>4.0</v>
      </c>
      <c r="M650" s="26">
        <v>2.0</v>
      </c>
      <c r="N650" s="26">
        <v>1.0</v>
      </c>
      <c r="O650" s="26">
        <v>0.0</v>
      </c>
      <c r="P650" s="26">
        <v>593.0</v>
      </c>
      <c r="Q650" s="35">
        <v>29.0</v>
      </c>
      <c r="R650" s="32">
        <v>45850.0</v>
      </c>
      <c r="S650" s="32">
        <v>45834.0</v>
      </c>
      <c r="T650" s="29"/>
      <c r="U650" s="33"/>
      <c r="V650" s="1"/>
    </row>
    <row r="651" ht="24.0" customHeight="1">
      <c r="A651" s="1"/>
      <c r="B651" s="24" t="str">
        <f>HYPERLINK("https://www.compass.com/listing/141-05-northern-boulevard-unit-4g-queens-ny-11354/1892412816723424145/view?agent_id=610d3f3370540700019b0833","141-05 Northern Boulevard, Unit 4G")</f>
        <v>141-05 Northern Boulevard, Unit 4G</v>
      </c>
      <c r="C651" s="25" t="s">
        <v>22</v>
      </c>
      <c r="D651" s="26" t="s">
        <v>23</v>
      </c>
      <c r="E651" s="27" t="str">
        <f>HYPERLINK("https://www.compass.com/building/141-05-northern-blvd-queens-ny-11354/307445122056496677/","141-05 Northern Blvd")</f>
        <v>141-05 Northern Blvd</v>
      </c>
      <c r="F651" s="25" t="s">
        <v>185</v>
      </c>
      <c r="G651" s="28">
        <v>389000.0</v>
      </c>
      <c r="H651" s="28">
        <v>409.0</v>
      </c>
      <c r="I651" s="28">
        <v>2580.0</v>
      </c>
      <c r="J651" s="29"/>
      <c r="K651" s="25" t="s">
        <v>25</v>
      </c>
      <c r="L651" s="26">
        <v>4.0</v>
      </c>
      <c r="M651" s="26">
        <v>2.0</v>
      </c>
      <c r="N651" s="26">
        <v>1.0</v>
      </c>
      <c r="O651" s="30"/>
      <c r="P651" s="26">
        <v>950.0</v>
      </c>
      <c r="Q651" s="35">
        <v>1.0</v>
      </c>
      <c r="R651" s="32">
        <v>45863.0</v>
      </c>
      <c r="S651" s="32">
        <v>45862.0</v>
      </c>
      <c r="T651" s="29"/>
      <c r="U651" s="33"/>
      <c r="V651" s="1"/>
    </row>
    <row r="652" ht="24.0" customHeight="1">
      <c r="A652" s="1"/>
      <c r="B652" s="24" t="str">
        <f>HYPERLINK("https://www.compass.com/listing/35-45-81st-street-unit-c2-queens-ny-11372/1883127212239154985/view?agent_id=610d3f3370540700019b0833","35-45 81st Street, Unit C2")</f>
        <v>35-45 81st Street, Unit C2</v>
      </c>
      <c r="C652" s="25" t="s">
        <v>22</v>
      </c>
      <c r="D652" s="26" t="s">
        <v>23</v>
      </c>
      <c r="E652" s="27" t="str">
        <f>HYPERLINK("https://www.compass.com/building/35-45-81st-st-queens-ny-11372/293528363660847829/","35-45 81st St")</f>
        <v>35-45 81st St</v>
      </c>
      <c r="F652" s="25" t="s">
        <v>33</v>
      </c>
      <c r="G652" s="28">
        <v>400000.0</v>
      </c>
      <c r="H652" s="28">
        <v>471.0</v>
      </c>
      <c r="I652" s="28">
        <v>879.0</v>
      </c>
      <c r="J652" s="29"/>
      <c r="K652" s="25" t="s">
        <v>25</v>
      </c>
      <c r="L652" s="26">
        <v>6.0</v>
      </c>
      <c r="M652" s="26">
        <v>2.0</v>
      </c>
      <c r="N652" s="26">
        <v>1.0</v>
      </c>
      <c r="O652" s="30"/>
      <c r="P652" s="26">
        <v>850.0</v>
      </c>
      <c r="Q652" s="35">
        <v>13.0</v>
      </c>
      <c r="R652" s="32">
        <v>45862.0</v>
      </c>
      <c r="S652" s="32">
        <v>45850.0</v>
      </c>
      <c r="T652" s="29"/>
      <c r="U652" s="33"/>
      <c r="V652" s="1"/>
    </row>
    <row r="653" ht="24.0" customHeight="1">
      <c r="A653" s="1"/>
      <c r="B653" s="24" t="str">
        <f>HYPERLINK("https://www.compass.com/listing/99-05-63rd-drive-unit-9aa-queens-ny-11374/1817530146201588929/view?agent_id=610d3f3370540700019b0833","99-05 63rd Drive, Unit 9AA")</f>
        <v>99-05 63rd Drive, Unit 9AA</v>
      </c>
      <c r="C653" s="25" t="s">
        <v>22</v>
      </c>
      <c r="D653" s="26" t="s">
        <v>23</v>
      </c>
      <c r="E653" s="27" t="str">
        <f>HYPERLINK("https://www.compass.com/building/99-05-63rd-dr-queens-ny-11374/307443693157761557/","99-05 63rd Dr")</f>
        <v>99-05 63rd Dr</v>
      </c>
      <c r="F653" s="25" t="s">
        <v>166</v>
      </c>
      <c r="G653" s="28">
        <v>395000.0</v>
      </c>
      <c r="H653" s="29"/>
      <c r="I653" s="28">
        <v>1521.0</v>
      </c>
      <c r="J653" s="28">
        <v>0.0</v>
      </c>
      <c r="K653" s="25" t="s">
        <v>25</v>
      </c>
      <c r="L653" s="26">
        <v>4.0</v>
      </c>
      <c r="M653" s="26">
        <v>2.0</v>
      </c>
      <c r="N653" s="26">
        <v>1.0</v>
      </c>
      <c r="O653" s="30"/>
      <c r="P653" s="26">
        <v>0.0</v>
      </c>
      <c r="Q653" s="35">
        <v>105.0</v>
      </c>
      <c r="R653" s="32">
        <v>45759.0</v>
      </c>
      <c r="S653" s="32">
        <v>45758.0</v>
      </c>
      <c r="T653" s="29"/>
      <c r="U653" s="33"/>
      <c r="V653" s="1"/>
    </row>
    <row r="654" ht="24.0" customHeight="1">
      <c r="A654" s="1"/>
      <c r="B654" s="24" t="str">
        <f>HYPERLINK("https://www.compass.com/listing/4127-white-plains-road-bronx-ny-10466/1830407297249444841/view?agent_id=610d3f3370540700019b0833","4127 White Plains Road")</f>
        <v>4127 White Plains Road</v>
      </c>
      <c r="C654" s="25" t="s">
        <v>22</v>
      </c>
      <c r="D654" s="26" t="s">
        <v>23</v>
      </c>
      <c r="E654" s="27" t="str">
        <f>HYPERLINK("https://www.compass.com/building/4127-white-plains-rd-bronx-ny-10466/293529231193885573/","4127 White Plains Rd")</f>
        <v>4127 White Plains Rd</v>
      </c>
      <c r="F654" s="25" t="s">
        <v>182</v>
      </c>
      <c r="G654" s="28">
        <v>1100000.0</v>
      </c>
      <c r="H654" s="28">
        <v>645.0</v>
      </c>
      <c r="I654" s="28">
        <v>1430.0</v>
      </c>
      <c r="J654" s="28">
        <v>17160.0</v>
      </c>
      <c r="K654" s="25" t="s">
        <v>105</v>
      </c>
      <c r="L654" s="26">
        <v>7.0</v>
      </c>
      <c r="M654" s="26">
        <v>2.0</v>
      </c>
      <c r="N654" s="26">
        <v>1.0</v>
      </c>
      <c r="O654" s="30"/>
      <c r="P654" s="34">
        <v>1705.0</v>
      </c>
      <c r="Q654" s="35">
        <v>87.0</v>
      </c>
      <c r="R654" s="32">
        <v>45777.0</v>
      </c>
      <c r="S654" s="32">
        <v>45776.0</v>
      </c>
      <c r="T654" s="29"/>
      <c r="U654" s="33"/>
      <c r="V654" s="1"/>
    </row>
    <row r="655" ht="24.0" customHeight="1">
      <c r="A655" s="1"/>
      <c r="B655" s="24" t="str">
        <f>HYPERLINK("https://www.compass.com/listing/65-50-wetherole-street-unit-5f-queens-ny-11374/1887018934057377697/view?agent_id=610d3f3370540700019b0833","65-50 Wetherole Street, Unit 5F")</f>
        <v>65-50 Wetherole Street, Unit 5F</v>
      </c>
      <c r="C655" s="25" t="s">
        <v>22</v>
      </c>
      <c r="D655" s="26" t="s">
        <v>23</v>
      </c>
      <c r="E655" s="27" t="str">
        <f>HYPERLINK("https://www.compass.com/building/65-50-wetherole-st-queens-ny-11374/293532762923710789/","65-50 Wetherole St")</f>
        <v>65-50 Wetherole St</v>
      </c>
      <c r="F655" s="25" t="s">
        <v>166</v>
      </c>
      <c r="G655" s="28">
        <v>550000.0</v>
      </c>
      <c r="H655" s="28">
        <v>618.0</v>
      </c>
      <c r="I655" s="28">
        <v>943.0</v>
      </c>
      <c r="J655" s="28">
        <v>6884.0</v>
      </c>
      <c r="K655" s="25" t="s">
        <v>28</v>
      </c>
      <c r="L655" s="26">
        <v>5.0</v>
      </c>
      <c r="M655" s="26">
        <v>2.0</v>
      </c>
      <c r="N655" s="26">
        <v>1.0</v>
      </c>
      <c r="O655" s="30"/>
      <c r="P655" s="26">
        <v>890.0</v>
      </c>
      <c r="Q655" s="35">
        <v>8.0</v>
      </c>
      <c r="R655" s="32">
        <v>45856.0</v>
      </c>
      <c r="S655" s="32">
        <v>45855.0</v>
      </c>
      <c r="T655" s="29"/>
      <c r="U655" s="33"/>
      <c r="V655" s="1"/>
    </row>
    <row r="656" ht="24.0" customHeight="1">
      <c r="A656" s="1"/>
      <c r="B656" s="24" t="str">
        <f>HYPERLINK("https://www.compass.com/listing/300-east-40th-street-unit-20s-manhattan-ny-10016/1850056754595038577/view?agent_id=610d3f3370540700019b0833","300 East 40th Street, Unit 20S")</f>
        <v>300 East 40th Street, Unit 20S</v>
      </c>
      <c r="C656" s="25" t="s">
        <v>22</v>
      </c>
      <c r="D656" s="26" t="s">
        <v>23</v>
      </c>
      <c r="E656" s="27" t="str">
        <f>HYPERLINK("https://www.compass.com/building/the-churchill-manhattan-ny/281939423015264389/","The Churchill")</f>
        <v>The Churchill</v>
      </c>
      <c r="F656" s="25" t="s">
        <v>72</v>
      </c>
      <c r="G656" s="28">
        <v>950000.0</v>
      </c>
      <c r="H656" s="29"/>
      <c r="I656" s="28">
        <v>2433.0</v>
      </c>
      <c r="J656" s="28">
        <v>0.0</v>
      </c>
      <c r="K656" s="25" t="s">
        <v>49</v>
      </c>
      <c r="L656" s="26">
        <v>5.0</v>
      </c>
      <c r="M656" s="26">
        <v>2.0</v>
      </c>
      <c r="N656" s="26">
        <v>1.0</v>
      </c>
      <c r="O656" s="26">
        <v>0.0</v>
      </c>
      <c r="P656" s="30"/>
      <c r="Q656" s="35">
        <v>59.0</v>
      </c>
      <c r="R656" s="32">
        <v>45851.0</v>
      </c>
      <c r="S656" s="32">
        <v>45804.0</v>
      </c>
      <c r="T656" s="29"/>
      <c r="U656" s="33"/>
      <c r="V656" s="1"/>
    </row>
    <row r="657" ht="24.0" customHeight="1">
      <c r="A657" s="1"/>
      <c r="B657" s="24" t="str">
        <f>HYPERLINK("https://www.compass.com/listing/30-macombs-place-unit-44-manhattan-ny-10039/1810369956373997401/view?agent_id=610d3f3370540700019b0833","30 Macombs Place, Unit 44")</f>
        <v>30 Macombs Place, Unit 44</v>
      </c>
      <c r="C657" s="25" t="s">
        <v>22</v>
      </c>
      <c r="D657" s="26" t="s">
        <v>23</v>
      </c>
      <c r="E657" s="27" t="str">
        <f>HYPERLINK("https://www.compass.com/building/30-macombs-place-manhattan-ny/282032148590903605/","30 Macombs Place")</f>
        <v>30 Macombs Place</v>
      </c>
      <c r="F657" s="25" t="s">
        <v>32</v>
      </c>
      <c r="G657" s="28">
        <v>275000.0</v>
      </c>
      <c r="H657" s="28">
        <v>458.0</v>
      </c>
      <c r="I657" s="28">
        <v>800.0</v>
      </c>
      <c r="J657" s="29"/>
      <c r="K657" s="25" t="s">
        <v>25</v>
      </c>
      <c r="L657" s="26">
        <v>4.0</v>
      </c>
      <c r="M657" s="26">
        <v>2.0</v>
      </c>
      <c r="N657" s="26">
        <v>1.0</v>
      </c>
      <c r="O657" s="30"/>
      <c r="P657" s="26">
        <v>600.0</v>
      </c>
      <c r="Q657" s="35">
        <v>114.0</v>
      </c>
      <c r="R657" s="32">
        <v>45758.0</v>
      </c>
      <c r="S657" s="32">
        <v>45749.0</v>
      </c>
      <c r="T657" s="29"/>
      <c r="U657" s="33"/>
      <c r="V657" s="1"/>
    </row>
    <row r="658" ht="24.0" customHeight="1">
      <c r="A658" s="1"/>
      <c r="B658" s="24" t="str">
        <f>HYPERLINK("https://www.compass.com/listing/144-union-street-brooklyn-ny-11231/1512798493449187929/view?agent_id=610d3f3370540700019b0833","144 Union Street")</f>
        <v>144 Union Street</v>
      </c>
      <c r="C658" s="25" t="s">
        <v>22</v>
      </c>
      <c r="D658" s="26" t="s">
        <v>23</v>
      </c>
      <c r="E658" s="27" t="str">
        <f>HYPERLINK("https://www.compass.com/building/144-union-st-brooklyn-ny-11231/282512557267311557/","144 Union St")</f>
        <v>144 Union St</v>
      </c>
      <c r="F658" s="25" t="s">
        <v>122</v>
      </c>
      <c r="G658" s="28">
        <v>2825000.0</v>
      </c>
      <c r="H658" s="28">
        <v>807.0</v>
      </c>
      <c r="I658" s="28">
        <v>0.0</v>
      </c>
      <c r="J658" s="28">
        <v>0.0</v>
      </c>
      <c r="K658" s="25" t="s">
        <v>105</v>
      </c>
      <c r="L658" s="26">
        <v>6.0</v>
      </c>
      <c r="M658" s="26">
        <v>2.0</v>
      </c>
      <c r="N658" s="26">
        <v>1.0</v>
      </c>
      <c r="O658" s="30"/>
      <c r="P658" s="34">
        <v>3500.0</v>
      </c>
      <c r="Q658" s="35">
        <v>525.0</v>
      </c>
      <c r="R658" s="32">
        <v>45372.0</v>
      </c>
      <c r="S658" s="32">
        <v>45338.0</v>
      </c>
      <c r="T658" s="29"/>
      <c r="U658" s="33"/>
      <c r="V658" s="1"/>
    </row>
    <row r="659" ht="24.0" customHeight="1">
      <c r="A659" s="1"/>
      <c r="B659" s="24" t="str">
        <f>HYPERLINK("https://www.compass.com/listing/301-east-48th-street-unit-2c-manhattan-ny-10017/1759787508536175497/view?agent_id=610d3f3370540700019b0833","301 East 48th Street, Unit 2C")</f>
        <v>301 East 48th Street, Unit 2C</v>
      </c>
      <c r="C659" s="25" t="s">
        <v>22</v>
      </c>
      <c r="D659" s="26" t="s">
        <v>23</v>
      </c>
      <c r="E659" s="27" t="str">
        <f>HYPERLINK("https://www.compass.com/building/marlo-towers-manhattan-ny/281942137543647125/","Marlo Towers")</f>
        <v>Marlo Towers</v>
      </c>
      <c r="F659" s="25" t="s">
        <v>66</v>
      </c>
      <c r="G659" s="28">
        <v>782000.0</v>
      </c>
      <c r="H659" s="28">
        <v>782.0</v>
      </c>
      <c r="I659" s="28">
        <v>1966.0</v>
      </c>
      <c r="J659" s="29"/>
      <c r="K659" s="25" t="s">
        <v>25</v>
      </c>
      <c r="L659" s="26">
        <v>5.0</v>
      </c>
      <c r="M659" s="26">
        <v>2.0</v>
      </c>
      <c r="N659" s="26">
        <v>1.0</v>
      </c>
      <c r="O659" s="30"/>
      <c r="P659" s="34">
        <v>1000.0</v>
      </c>
      <c r="Q659" s="35">
        <v>182.0</v>
      </c>
      <c r="R659" s="32">
        <v>45847.0</v>
      </c>
      <c r="S659" s="32">
        <v>45679.0</v>
      </c>
      <c r="T659" s="29"/>
      <c r="U659" s="33"/>
      <c r="V659" s="1"/>
    </row>
    <row r="660" ht="24.0" customHeight="1">
      <c r="A660" s="1"/>
      <c r="B660" s="24" t="str">
        <f>HYPERLINK("https://www.compass.com/listing/345-east-57th-street-unit-2b-manhattan-ny-10022/1834795305601020465/view?agent_id=610d3f3370540700019b0833","345 East 57th Street, Unit 2B")</f>
        <v>345 East 57th Street, Unit 2B</v>
      </c>
      <c r="C660" s="25" t="s">
        <v>22</v>
      </c>
      <c r="D660" s="26" t="s">
        <v>23</v>
      </c>
      <c r="E660" s="27" t="str">
        <f>HYPERLINK("https://www.compass.com/building/345-e-57th-st-manhattan-ny-10022/281954568789625893/","345 E 57th St")</f>
        <v>345 E 57th St</v>
      </c>
      <c r="F660" s="25" t="s">
        <v>73</v>
      </c>
      <c r="G660" s="28">
        <v>775000.0</v>
      </c>
      <c r="H660" s="28">
        <v>705.0</v>
      </c>
      <c r="I660" s="28">
        <v>3038.0</v>
      </c>
      <c r="J660" s="28">
        <v>0.0</v>
      </c>
      <c r="K660" s="25" t="s">
        <v>25</v>
      </c>
      <c r="L660" s="26">
        <v>5.0</v>
      </c>
      <c r="M660" s="26">
        <v>2.0</v>
      </c>
      <c r="N660" s="26">
        <v>1.0</v>
      </c>
      <c r="O660" s="26">
        <v>0.0</v>
      </c>
      <c r="P660" s="34">
        <v>1100.0</v>
      </c>
      <c r="Q660" s="35">
        <v>80.0</v>
      </c>
      <c r="R660" s="32">
        <v>45812.0</v>
      </c>
      <c r="S660" s="32">
        <v>45783.0</v>
      </c>
      <c r="T660" s="29"/>
      <c r="U660" s="33"/>
      <c r="V660" s="1"/>
    </row>
    <row r="661" ht="24.0" customHeight="1">
      <c r="A661" s="1"/>
      <c r="B661" s="24" t="str">
        <f>HYPERLINK("https://www.compass.com/listing/310-east-46th-street-unit-19m-manhattan-ny-10017/1810193004660745105/view?agent_id=610d3f3370540700019b0833","310 East 46th Street, Unit 19M")</f>
        <v>310 East 46th Street, Unit 19M</v>
      </c>
      <c r="C661" s="25" t="s">
        <v>22</v>
      </c>
      <c r="D661" s="26" t="s">
        <v>23</v>
      </c>
      <c r="E661" s="27" t="str">
        <f>HYPERLINK("https://www.compass.com/building/turtle-bay-towers-manhattan-ny/292843173577817381/","Turtle Bay Towers")</f>
        <v>Turtle Bay Towers</v>
      </c>
      <c r="F661" s="25" t="s">
        <v>66</v>
      </c>
      <c r="G661" s="28">
        <v>999000.0</v>
      </c>
      <c r="H661" s="28">
        <v>951.0</v>
      </c>
      <c r="I661" s="28">
        <v>3179.0</v>
      </c>
      <c r="J661" s="28">
        <v>0.0</v>
      </c>
      <c r="K661" s="25" t="s">
        <v>110</v>
      </c>
      <c r="L661" s="26">
        <v>4.0</v>
      </c>
      <c r="M661" s="26">
        <v>2.0</v>
      </c>
      <c r="N661" s="26">
        <v>1.0</v>
      </c>
      <c r="O661" s="26">
        <v>0.0</v>
      </c>
      <c r="P661" s="34">
        <v>1050.0</v>
      </c>
      <c r="Q661" s="35">
        <v>114.0</v>
      </c>
      <c r="R661" s="32">
        <v>45862.0</v>
      </c>
      <c r="S661" s="32">
        <v>45749.0</v>
      </c>
      <c r="T661" s="29"/>
      <c r="U661" s="33"/>
      <c r="V661" s="1"/>
    </row>
    <row r="662" ht="24.0" customHeight="1">
      <c r="A662" s="1"/>
      <c r="B662" s="24" t="str">
        <f>HYPERLINK("https://www.compass.com/listing/227-stephens-avenue-bronx-ny-10473/1870518130178235321/view?agent_id=610d3f3370540700019b0833","227 Stephens Avenue")</f>
        <v>227 Stephens Avenue</v>
      </c>
      <c r="C662" s="25" t="s">
        <v>22</v>
      </c>
      <c r="D662" s="26" t="s">
        <v>23</v>
      </c>
      <c r="E662" s="27" t="str">
        <f>HYPERLINK("https://www.compass.com/building/227-stephens-ave-bronx-ny-10473/293532443644902549/","227 Stephens Ave")</f>
        <v>227 Stephens Ave</v>
      </c>
      <c r="F662" s="25" t="s">
        <v>186</v>
      </c>
      <c r="G662" s="28">
        <v>499999.0</v>
      </c>
      <c r="H662" s="28">
        <v>916.0</v>
      </c>
      <c r="I662" s="28">
        <v>255.0</v>
      </c>
      <c r="J662" s="28">
        <v>3063.0</v>
      </c>
      <c r="K662" s="25" t="s">
        <v>97</v>
      </c>
      <c r="L662" s="26">
        <v>5.0</v>
      </c>
      <c r="M662" s="26">
        <v>2.0</v>
      </c>
      <c r="N662" s="26">
        <v>1.0</v>
      </c>
      <c r="O662" s="30"/>
      <c r="P662" s="26">
        <v>546.0</v>
      </c>
      <c r="Q662" s="35">
        <v>31.0</v>
      </c>
      <c r="R662" s="32">
        <v>45833.0</v>
      </c>
      <c r="S662" s="32">
        <v>45832.0</v>
      </c>
      <c r="T662" s="29"/>
      <c r="U662" s="33"/>
      <c r="V662" s="1"/>
    </row>
    <row r="663" ht="24.0" customHeight="1">
      <c r="A663" s="1"/>
      <c r="B663" s="24" t="str">
        <f>HYPERLINK("https://www.compass.com/listing/110-50-71st-road-unit-4c-queens-ny-11375/1892163924337778873/view?agent_id=610d3f3370540700019b0833","110-50 71st Road, Unit 4C")</f>
        <v>110-50 71st Road, Unit 4C</v>
      </c>
      <c r="C663" s="25" t="s">
        <v>22</v>
      </c>
      <c r="D663" s="26" t="s">
        <v>23</v>
      </c>
      <c r="E663" s="27" t="str">
        <f>HYPERLINK("https://www.compass.com/building/110-50-71st-rd-queens-ny-11375/293528317305377045/","110-50 71st Rd")</f>
        <v>110-50 71st Rd</v>
      </c>
      <c r="F663" s="25" t="s">
        <v>83</v>
      </c>
      <c r="G663" s="28">
        <v>415000.0</v>
      </c>
      <c r="H663" s="29"/>
      <c r="I663" s="28">
        <v>1338.0</v>
      </c>
      <c r="J663" s="28">
        <v>0.0</v>
      </c>
      <c r="K663" s="25" t="s">
        <v>25</v>
      </c>
      <c r="L663" s="26">
        <v>3.0</v>
      </c>
      <c r="M663" s="26">
        <v>2.0</v>
      </c>
      <c r="N663" s="26">
        <v>1.0</v>
      </c>
      <c r="O663" s="26">
        <v>0.0</v>
      </c>
      <c r="P663" s="30"/>
      <c r="Q663" s="35">
        <v>1.0</v>
      </c>
      <c r="R663" s="32">
        <v>45862.0</v>
      </c>
      <c r="S663" s="32">
        <v>45862.0</v>
      </c>
      <c r="T663" s="29"/>
      <c r="U663" s="33"/>
      <c r="V663" s="1"/>
    </row>
    <row r="664" ht="24.0" customHeight="1">
      <c r="A664" s="1"/>
      <c r="B664" s="24" t="str">
        <f>HYPERLINK("https://www.compass.com/listing/7941-seaview-avenue-unit-e1-brooklyn-ny-11236/1814468210217702441/view?agent_id=610d3f3370540700019b0833","7941 Seaview Avenue, Unit E1")</f>
        <v>7941 Seaview Avenue, Unit E1</v>
      </c>
      <c r="C664" s="25" t="s">
        <v>22</v>
      </c>
      <c r="D664" s="26" t="s">
        <v>23</v>
      </c>
      <c r="E664" s="27" t="str">
        <f>HYPERLINK("https://www.compass.com/building/7941-seaview-ave-brooklyn-ny-11236/348716709772485989/","7941 Seaview Ave")</f>
        <v>7941 Seaview Ave</v>
      </c>
      <c r="F664" s="25" t="s">
        <v>187</v>
      </c>
      <c r="G664" s="28">
        <v>495000.0</v>
      </c>
      <c r="H664" s="28">
        <v>483.0</v>
      </c>
      <c r="I664" s="28">
        <v>300.0</v>
      </c>
      <c r="J664" s="28">
        <v>0.0</v>
      </c>
      <c r="K664" s="25" t="s">
        <v>28</v>
      </c>
      <c r="L664" s="26">
        <v>5.0</v>
      </c>
      <c r="M664" s="26">
        <v>2.0</v>
      </c>
      <c r="N664" s="26">
        <v>1.0</v>
      </c>
      <c r="O664" s="30"/>
      <c r="P664" s="34">
        <v>1025.0</v>
      </c>
      <c r="Q664" s="35">
        <v>109.0</v>
      </c>
      <c r="R664" s="32">
        <v>45755.0</v>
      </c>
      <c r="S664" s="32">
        <v>45754.0</v>
      </c>
      <c r="T664" s="29"/>
      <c r="U664" s="33"/>
      <c r="V664" s="1"/>
    </row>
    <row r="665" ht="24.0" customHeight="1">
      <c r="A665" s="1"/>
      <c r="B665" s="24" t="str">
        <f>HYPERLINK("https://www.compass.com/listing/131-44-laurelton-parkway-unit-lowr-queens-ny-11422/1879925903065855609/view?agent_id=610d3f3370540700019b0833","131-44 Laurelton Parkway, Unit LOWR")</f>
        <v>131-44 Laurelton Parkway, Unit LOWR</v>
      </c>
      <c r="C665" s="25" t="s">
        <v>22</v>
      </c>
      <c r="D665" s="26" t="s">
        <v>23</v>
      </c>
      <c r="E665" s="26" t="s">
        <v>188</v>
      </c>
      <c r="F665" s="25" t="s">
        <v>161</v>
      </c>
      <c r="G665" s="28">
        <v>289000.0</v>
      </c>
      <c r="H665" s="28">
        <v>415.0</v>
      </c>
      <c r="I665" s="28">
        <v>910.0</v>
      </c>
      <c r="J665" s="29"/>
      <c r="K665" s="25" t="s">
        <v>25</v>
      </c>
      <c r="L665" s="26">
        <v>5.0</v>
      </c>
      <c r="M665" s="26">
        <v>2.0</v>
      </c>
      <c r="N665" s="26">
        <v>1.0</v>
      </c>
      <c r="O665" s="30"/>
      <c r="P665" s="26">
        <v>696.0</v>
      </c>
      <c r="Q665" s="35">
        <v>18.0</v>
      </c>
      <c r="R665" s="32">
        <v>45850.0</v>
      </c>
      <c r="S665" s="32">
        <v>45845.0</v>
      </c>
      <c r="T665" s="29"/>
      <c r="U665" s="33"/>
      <c r="V665" s="1"/>
    </row>
    <row r="666" ht="24.0" customHeight="1">
      <c r="A666" s="1"/>
      <c r="B666" s="24" t="str">
        <f>HYPERLINK("https://www.compass.com/listing/99-05-63rd-drive-unit-11aa-queens-ny-11374/1861017128878210545/view?agent_id=610d3f3370540700019b0833","99-05 63rd Drive, Unit 11AA")</f>
        <v>99-05 63rd Drive, Unit 11AA</v>
      </c>
      <c r="C666" s="25" t="s">
        <v>22</v>
      </c>
      <c r="D666" s="26" t="s">
        <v>23</v>
      </c>
      <c r="E666" s="27" t="str">
        <f>HYPERLINK("https://www.compass.com/building/99-05-63rd-dr-queens-ny-11374/307443693157761557/","99-05 63rd Dr")</f>
        <v>99-05 63rd Dr</v>
      </c>
      <c r="F666" s="25" t="s">
        <v>166</v>
      </c>
      <c r="G666" s="28">
        <v>305000.0</v>
      </c>
      <c r="H666" s="28">
        <v>284.0</v>
      </c>
      <c r="I666" s="28">
        <v>0.0</v>
      </c>
      <c r="J666" s="29"/>
      <c r="K666" s="25" t="s">
        <v>25</v>
      </c>
      <c r="L666" s="26">
        <v>4.0</v>
      </c>
      <c r="M666" s="26">
        <v>2.0</v>
      </c>
      <c r="N666" s="26">
        <v>1.0</v>
      </c>
      <c r="O666" s="30"/>
      <c r="P666" s="34">
        <v>1074.0</v>
      </c>
      <c r="Q666" s="35">
        <v>44.0</v>
      </c>
      <c r="R666" s="32">
        <v>45822.0</v>
      </c>
      <c r="S666" s="32">
        <v>45819.0</v>
      </c>
      <c r="T666" s="29"/>
      <c r="U666" s="33"/>
      <c r="V666" s="1"/>
    </row>
    <row r="667" ht="24.0" customHeight="1">
      <c r="A667" s="1"/>
      <c r="B667" s="24" t="str">
        <f>HYPERLINK("https://www.compass.com/listing/175-claremont-avenue-unit-61-manhattan-ny-10027/1826452366933986505/view?agent_id=610d3f3370540700019b0833","175 Claremont Avenue, Unit 61")</f>
        <v>175 Claremont Avenue, Unit 61</v>
      </c>
      <c r="C667" s="25" t="s">
        <v>22</v>
      </c>
      <c r="D667" s="26" t="s">
        <v>23</v>
      </c>
      <c r="E667" s="27" t="str">
        <f>HYPERLINK("https://www.compass.com/building/175-claremont-ave-manhattan-ny-10027/281926316108849141/","175 Claremont Ave")</f>
        <v>175 Claremont Ave</v>
      </c>
      <c r="F667" s="25" t="s">
        <v>41</v>
      </c>
      <c r="G667" s="28">
        <v>575000.0</v>
      </c>
      <c r="H667" s="29"/>
      <c r="I667" s="28">
        <v>725.0</v>
      </c>
      <c r="J667" s="28">
        <v>0.0</v>
      </c>
      <c r="K667" s="25" t="s">
        <v>25</v>
      </c>
      <c r="L667" s="26">
        <v>4.0</v>
      </c>
      <c r="M667" s="26">
        <v>2.0</v>
      </c>
      <c r="N667" s="26">
        <v>1.0</v>
      </c>
      <c r="O667" s="26">
        <v>0.0</v>
      </c>
      <c r="P667" s="30"/>
      <c r="Q667" s="35">
        <v>92.0</v>
      </c>
      <c r="R667" s="32">
        <v>45859.0</v>
      </c>
      <c r="S667" s="32">
        <v>45771.0</v>
      </c>
      <c r="T667" s="29"/>
      <c r="U667" s="33"/>
      <c r="V667" s="1"/>
    </row>
    <row r="668" ht="24.0" customHeight="1">
      <c r="A668" s="1"/>
      <c r="B668" s="24" t="str">
        <f>HYPERLINK("https://www.compass.com/listing/21-37-33rd-street-unit-3d-queens-ny-11105/1876994670219935489/view?agent_id=610d3f3370540700019b0833","21-37 33rd Street, Unit 3D")</f>
        <v>21-37 33rd Street, Unit 3D</v>
      </c>
      <c r="C668" s="25" t="s">
        <v>22</v>
      </c>
      <c r="D668" s="26" t="s">
        <v>23</v>
      </c>
      <c r="E668" s="27" t="str">
        <f>HYPERLINK("https://www.compass.com/building/21-37-33rd-st-queens-ny-11105/307451530374097189/","21-37 33rd St")</f>
        <v>21-37 33rd St</v>
      </c>
      <c r="F668" s="25" t="s">
        <v>68</v>
      </c>
      <c r="G668" s="28">
        <v>249000.0</v>
      </c>
      <c r="H668" s="29"/>
      <c r="I668" s="28">
        <v>1003.0</v>
      </c>
      <c r="J668" s="29"/>
      <c r="K668" s="25" t="s">
        <v>25</v>
      </c>
      <c r="L668" s="26">
        <v>2.0</v>
      </c>
      <c r="M668" s="26">
        <v>2.0</v>
      </c>
      <c r="N668" s="26">
        <v>1.0</v>
      </c>
      <c r="O668" s="30"/>
      <c r="P668" s="30"/>
      <c r="Q668" s="35">
        <v>22.0</v>
      </c>
      <c r="R668" s="32">
        <v>45850.0</v>
      </c>
      <c r="S668" s="32">
        <v>45841.0</v>
      </c>
      <c r="T668" s="29"/>
      <c r="U668" s="33"/>
      <c r="V668" s="1"/>
    </row>
    <row r="669" ht="24.0" customHeight="1">
      <c r="A669" s="1"/>
      <c r="B669" s="24" t="str">
        <f>HYPERLINK("https://www.compass.com/listing/301-west-110th-street-unit-3m-manhattan-ny-10026/1766102409785823457/view?agent_id=610d3f3370540700019b0833","301 West 110th Street, Unit 3M")</f>
        <v>301 West 110th Street, Unit 3M</v>
      </c>
      <c r="C669" s="25" t="s">
        <v>22</v>
      </c>
      <c r="D669" s="26" t="s">
        <v>23</v>
      </c>
      <c r="E669" s="27" t="str">
        <f>HYPERLINK("https://www.compass.com/building/towers-on-the-park-manhattan-ny/294840734146311461/","Towers on the Park")</f>
        <v>Towers on the Park</v>
      </c>
      <c r="F669" s="25" t="s">
        <v>45</v>
      </c>
      <c r="G669" s="28">
        <v>919000.0</v>
      </c>
      <c r="H669" s="28">
        <v>1094.0</v>
      </c>
      <c r="I669" s="28">
        <v>1666.0</v>
      </c>
      <c r="J669" s="28">
        <v>11232.0</v>
      </c>
      <c r="K669" s="25" t="s">
        <v>28</v>
      </c>
      <c r="L669" s="26">
        <v>4.0</v>
      </c>
      <c r="M669" s="26">
        <v>2.0</v>
      </c>
      <c r="N669" s="26">
        <v>1.0</v>
      </c>
      <c r="O669" s="30"/>
      <c r="P669" s="26">
        <v>840.0</v>
      </c>
      <c r="Q669" s="35">
        <v>172.0</v>
      </c>
      <c r="R669" s="32">
        <v>45862.0</v>
      </c>
      <c r="S669" s="32">
        <v>45691.0</v>
      </c>
      <c r="T669" s="29"/>
      <c r="U669" s="33"/>
      <c r="V669" s="1"/>
    </row>
    <row r="670" ht="24.0" customHeight="1">
      <c r="A670" s="1"/>
      <c r="B670" s="24" t="str">
        <f>HYPERLINK("https://www.compass.com/listing/32-45-88th-street-unit-b211-queens-ny-11369/1830402377541070081/view?agent_id=610d3f3370540700019b0833","32-45 88th Street, Unit B211")</f>
        <v>32-45 88th Street, Unit B211</v>
      </c>
      <c r="C670" s="25" t="s">
        <v>22</v>
      </c>
      <c r="D670" s="26" t="s">
        <v>23</v>
      </c>
      <c r="E670" s="27" t="str">
        <f>HYPERLINK("https://www.compass.com/building/32-45-88th-st-queens-ny-11369/307450177317064869/","32-45 88th St")</f>
        <v>32-45 88th St</v>
      </c>
      <c r="F670" s="25" t="s">
        <v>33</v>
      </c>
      <c r="G670" s="28">
        <v>359000.0</v>
      </c>
      <c r="H670" s="28">
        <v>378.0</v>
      </c>
      <c r="I670" s="28">
        <v>1007.0</v>
      </c>
      <c r="J670" s="28">
        <v>0.0</v>
      </c>
      <c r="K670" s="25" t="s">
        <v>25</v>
      </c>
      <c r="L670" s="26">
        <v>5.0</v>
      </c>
      <c r="M670" s="26">
        <v>2.0</v>
      </c>
      <c r="N670" s="26">
        <v>1.0</v>
      </c>
      <c r="O670" s="30"/>
      <c r="P670" s="26">
        <v>950.0</v>
      </c>
      <c r="Q670" s="35">
        <v>87.0</v>
      </c>
      <c r="R670" s="32">
        <v>45777.0</v>
      </c>
      <c r="S670" s="32">
        <v>45776.0</v>
      </c>
      <c r="T670" s="29"/>
      <c r="U670" s="33"/>
      <c r="V670" s="1"/>
    </row>
    <row r="671" ht="24.0" customHeight="1">
      <c r="A671" s="1"/>
      <c r="B671" s="24" t="str">
        <f>HYPERLINK("https://www.compass.com/listing/268-bruckner-avenue-staten-island-ny-10303/1891570034161786897/view?agent_id=610d3f3370540700019b0833","268 Bruckner Avenue")</f>
        <v>268 Bruckner Avenue</v>
      </c>
      <c r="C671" s="25" t="s">
        <v>22</v>
      </c>
      <c r="D671" s="26" t="s">
        <v>23</v>
      </c>
      <c r="E671" s="26" t="s">
        <v>189</v>
      </c>
      <c r="F671" s="25" t="s">
        <v>190</v>
      </c>
      <c r="G671" s="28">
        <v>499999.0</v>
      </c>
      <c r="H671" s="28">
        <v>530.0</v>
      </c>
      <c r="I671" s="28">
        <v>243.0</v>
      </c>
      <c r="J671" s="28">
        <v>2915.0</v>
      </c>
      <c r="K671" s="25" t="s">
        <v>36</v>
      </c>
      <c r="L671" s="26">
        <v>4.0</v>
      </c>
      <c r="M671" s="26">
        <v>2.0</v>
      </c>
      <c r="N671" s="26">
        <v>1.0</v>
      </c>
      <c r="O671" s="26">
        <v>0.0</v>
      </c>
      <c r="P671" s="26">
        <v>943.0</v>
      </c>
      <c r="Q671" s="35">
        <v>2.0</v>
      </c>
      <c r="R671" s="32">
        <v>45863.0</v>
      </c>
      <c r="S671" s="32">
        <v>45861.0</v>
      </c>
      <c r="T671" s="29"/>
      <c r="U671" s="33"/>
      <c r="V671" s="1"/>
    </row>
    <row r="672" ht="24.0" customHeight="1">
      <c r="A672" s="1"/>
      <c r="B672" s="24" t="str">
        <f>HYPERLINK("https://www.compass.com/listing/74-02-43rd-avenue-unit-4d-queens-ny-11373/1890790960479910945/view?agent_id=610d3f3370540700019b0833","74-02 43rd Avenue, Unit 4D")</f>
        <v>74-02 43rd Avenue, Unit 4D</v>
      </c>
      <c r="C672" s="25" t="s">
        <v>22</v>
      </c>
      <c r="D672" s="26" t="s">
        <v>23</v>
      </c>
      <c r="E672" s="27" t="str">
        <f>HYPERLINK("https://www.compass.com/building/74-02-43rd-ave-queens-ny-11373/293526657032061365/","74-02 43rd Ave")</f>
        <v>74-02 43rd Ave</v>
      </c>
      <c r="F672" s="25" t="s">
        <v>151</v>
      </c>
      <c r="G672" s="28">
        <v>450000.0</v>
      </c>
      <c r="H672" s="28">
        <v>605.0</v>
      </c>
      <c r="I672" s="28">
        <v>700.0</v>
      </c>
      <c r="J672" s="29"/>
      <c r="K672" s="25" t="s">
        <v>25</v>
      </c>
      <c r="L672" s="26">
        <v>5.0</v>
      </c>
      <c r="M672" s="26">
        <v>2.0</v>
      </c>
      <c r="N672" s="26">
        <v>1.0</v>
      </c>
      <c r="O672" s="30"/>
      <c r="P672" s="26">
        <v>744.0</v>
      </c>
      <c r="Q672" s="35">
        <v>3.0</v>
      </c>
      <c r="R672" s="32">
        <v>45863.0</v>
      </c>
      <c r="S672" s="32">
        <v>45860.0</v>
      </c>
      <c r="T672" s="29"/>
      <c r="U672" s="33"/>
      <c r="V672" s="1"/>
    </row>
    <row r="673" ht="24.0" customHeight="1">
      <c r="A673" s="1"/>
      <c r="B673" s="24" t="str">
        <f>HYPERLINK("https://www.compass.com/listing/5900-arlington-avenue-unit-6h-bronx-ny-10471/1871983102502763857/view?agent_id=610d3f3370540700019b0833","5900 Arlington Avenue, Unit 6H")</f>
        <v>5900 Arlington Avenue, Unit 6H</v>
      </c>
      <c r="C673" s="25" t="s">
        <v>22</v>
      </c>
      <c r="D673" s="26" t="s">
        <v>23</v>
      </c>
      <c r="E673" s="27" t="str">
        <f>HYPERLINK("https://www.compass.com/building/skyview-on-the-hudson-bronx-ny/293535671430276277/","Skyview On The Hudson")</f>
        <v>Skyview On The Hudson</v>
      </c>
      <c r="F673" s="25" t="s">
        <v>75</v>
      </c>
      <c r="G673" s="28">
        <v>325000.0</v>
      </c>
      <c r="H673" s="29"/>
      <c r="I673" s="28">
        <v>1238.0</v>
      </c>
      <c r="J673" s="28">
        <v>0.0</v>
      </c>
      <c r="K673" s="25" t="s">
        <v>25</v>
      </c>
      <c r="L673" s="26">
        <v>4.0</v>
      </c>
      <c r="M673" s="26">
        <v>2.0</v>
      </c>
      <c r="N673" s="26">
        <v>1.0</v>
      </c>
      <c r="O673" s="26">
        <v>0.0</v>
      </c>
      <c r="P673" s="30"/>
      <c r="Q673" s="35">
        <v>29.0</v>
      </c>
      <c r="R673" s="32">
        <v>45862.0</v>
      </c>
      <c r="S673" s="32">
        <v>45834.0</v>
      </c>
      <c r="T673" s="29"/>
      <c r="U673" s="33"/>
      <c r="V673" s="1"/>
    </row>
    <row r="674" ht="24.0" customHeight="1">
      <c r="A674" s="1"/>
      <c r="B674" s="24" t="str">
        <f>HYPERLINK("https://www.compass.com/listing/78-11-main-street-unit-2f-queens-ny-11367/1869370251585910249/view?agent_id=610d3f3370540700019b0833","78-11 Main Street, Unit 2F")</f>
        <v>78-11 Main Street, Unit 2F</v>
      </c>
      <c r="C674" s="25" t="s">
        <v>22</v>
      </c>
      <c r="D674" s="26" t="s">
        <v>23</v>
      </c>
      <c r="E674" s="27" t="str">
        <f>HYPERLINK("https://www.compass.com/building/78-11-main-st-queens-ny-11367/293530955665133157/","78-11 Main St")</f>
        <v>78-11 Main St</v>
      </c>
      <c r="F674" s="25" t="s">
        <v>142</v>
      </c>
      <c r="G674" s="28">
        <v>289000.0</v>
      </c>
      <c r="H674" s="29"/>
      <c r="I674" s="28">
        <v>1006.0</v>
      </c>
      <c r="J674" s="28">
        <v>0.0</v>
      </c>
      <c r="K674" s="25" t="s">
        <v>25</v>
      </c>
      <c r="L674" s="26">
        <v>4.0</v>
      </c>
      <c r="M674" s="26">
        <v>2.0</v>
      </c>
      <c r="N674" s="26">
        <v>1.0</v>
      </c>
      <c r="O674" s="30"/>
      <c r="P674" s="26">
        <v>0.0</v>
      </c>
      <c r="Q674" s="35">
        <v>33.0</v>
      </c>
      <c r="R674" s="32">
        <v>45831.0</v>
      </c>
      <c r="S674" s="32">
        <v>45830.0</v>
      </c>
      <c r="T674" s="29"/>
      <c r="U674" s="33"/>
      <c r="V674" s="1"/>
    </row>
    <row r="675" ht="24.0" customHeight="1">
      <c r="A675" s="1"/>
      <c r="B675" s="24" t="str">
        <f>HYPERLINK("https://www.compass.com/listing/62-59-108th-street-unit-6e-queens-ny-11375/1890409224516281217/view?agent_id=610d3f3370540700019b0833","62-59 108th Street, Unit 6E")</f>
        <v>62-59 108th Street, Unit 6E</v>
      </c>
      <c r="C675" s="25" t="s">
        <v>22</v>
      </c>
      <c r="D675" s="26" t="s">
        <v>23</v>
      </c>
      <c r="E675" s="27" t="str">
        <f>HYPERLINK("https://www.compass.com/building/62-59-108th-st-queens-ny-11375/293531400873784277/","62-59 108th St")</f>
        <v>62-59 108th St</v>
      </c>
      <c r="F675" s="25" t="s">
        <v>83</v>
      </c>
      <c r="G675" s="28">
        <v>350000.0</v>
      </c>
      <c r="H675" s="28">
        <v>467.0</v>
      </c>
      <c r="I675" s="28">
        <v>777.0</v>
      </c>
      <c r="J675" s="28">
        <v>0.0</v>
      </c>
      <c r="K675" s="25" t="s">
        <v>25</v>
      </c>
      <c r="L675" s="26">
        <v>5.0</v>
      </c>
      <c r="M675" s="26">
        <v>2.0</v>
      </c>
      <c r="N675" s="26">
        <v>1.0</v>
      </c>
      <c r="O675" s="30"/>
      <c r="P675" s="26">
        <v>750.0</v>
      </c>
      <c r="Q675" s="35">
        <v>4.0</v>
      </c>
      <c r="R675" s="32">
        <v>45860.0</v>
      </c>
      <c r="S675" s="32">
        <v>45859.0</v>
      </c>
      <c r="T675" s="29"/>
      <c r="U675" s="33"/>
      <c r="V675" s="1"/>
    </row>
    <row r="676" ht="24.0" customHeight="1">
      <c r="A676" s="1"/>
      <c r="B676" s="24" t="str">
        <f>HYPERLINK("https://www.compass.com/listing/875-west-181st-street-unit-6b-manhattan-ny-10033/1857138657756194001/view?agent_id=610d3f3370540700019b0833","875 West 181st Street, Unit 6B")</f>
        <v>875 West 181st Street, Unit 6B</v>
      </c>
      <c r="C676" s="25" t="s">
        <v>22</v>
      </c>
      <c r="D676" s="26" t="s">
        <v>23</v>
      </c>
      <c r="E676" s="27" t="str">
        <f>HYPERLINK("https://www.compass.com/building/stirling-towers-manhattan-ny/282013983781687477/","Stirling Towers")</f>
        <v>Stirling Towers</v>
      </c>
      <c r="F676" s="25" t="s">
        <v>58</v>
      </c>
      <c r="G676" s="28">
        <v>840000.0</v>
      </c>
      <c r="H676" s="29"/>
      <c r="I676" s="28">
        <v>1502.0</v>
      </c>
      <c r="J676" s="28">
        <v>0.0</v>
      </c>
      <c r="K676" s="25" t="s">
        <v>25</v>
      </c>
      <c r="L676" s="26">
        <v>5.0</v>
      </c>
      <c r="M676" s="26">
        <v>2.0</v>
      </c>
      <c r="N676" s="26">
        <v>1.0</v>
      </c>
      <c r="O676" s="26">
        <v>0.0</v>
      </c>
      <c r="P676" s="26">
        <v>0.0</v>
      </c>
      <c r="Q676" s="35">
        <v>50.0</v>
      </c>
      <c r="R676" s="32">
        <v>45837.0</v>
      </c>
      <c r="S676" s="32">
        <v>45813.0</v>
      </c>
      <c r="T676" s="29"/>
      <c r="U676" s="33"/>
      <c r="V676" s="1"/>
    </row>
    <row r="677" ht="24.0" customHeight="1">
      <c r="A677" s="1"/>
      <c r="B677" s="24" t="str">
        <f>HYPERLINK("https://www.compass.com/listing/510-west-123rd-street-unit-45-manhattan-ny-10027/1758770200602026177/view?agent_id=610d3f3370540700019b0833","510 West 123rd Street, Unit 45")</f>
        <v>510 West 123rd Street, Unit 45</v>
      </c>
      <c r="C677" s="25" t="s">
        <v>22</v>
      </c>
      <c r="D677" s="26" t="s">
        <v>23</v>
      </c>
      <c r="E677" s="27" t="str">
        <f>HYPERLINK("https://www.compass.com/building/510-w-123rd-st-manhattan-ny-10027/281982970108155797/","510 W 123rd St")</f>
        <v>510 W 123rd St</v>
      </c>
      <c r="F677" s="25" t="s">
        <v>41</v>
      </c>
      <c r="G677" s="28">
        <v>499000.0</v>
      </c>
      <c r="H677" s="28">
        <v>998.0</v>
      </c>
      <c r="I677" s="28">
        <v>1356.0</v>
      </c>
      <c r="J677" s="28">
        <v>0.0</v>
      </c>
      <c r="K677" s="25" t="s">
        <v>25</v>
      </c>
      <c r="L677" s="26">
        <v>4.0</v>
      </c>
      <c r="M677" s="26">
        <v>2.0</v>
      </c>
      <c r="N677" s="26">
        <v>1.0</v>
      </c>
      <c r="O677" s="26">
        <v>0.0</v>
      </c>
      <c r="P677" s="26">
        <v>500.0</v>
      </c>
      <c r="Q677" s="35">
        <v>185.0</v>
      </c>
      <c r="R677" s="32">
        <v>45855.0</v>
      </c>
      <c r="S677" s="32">
        <v>45678.0</v>
      </c>
      <c r="T677" s="29"/>
      <c r="U677" s="33"/>
      <c r="V677" s="1"/>
    </row>
    <row r="678" ht="24.0" customHeight="1">
      <c r="A678" s="1"/>
      <c r="B678" s="24" t="str">
        <f>HYPERLINK("https://www.compass.com/listing/1478-east-28th-street-unit-4s-brooklyn-ny-11210/1889476724235664961/view?agent_id=610d3f3370540700019b0833","1478 East 28th Street, Unit 4S")</f>
        <v>1478 East 28th Street, Unit 4S</v>
      </c>
      <c r="C678" s="25" t="s">
        <v>22</v>
      </c>
      <c r="D678" s="26" t="s">
        <v>23</v>
      </c>
      <c r="E678" s="27" t="str">
        <f>HYPERLINK("https://www.compass.com/building/1478-e-28th-st-brooklyn-ny-11210/307437103268564901/","1478 E 28th St")</f>
        <v>1478 E 28th St</v>
      </c>
      <c r="F678" s="25" t="s">
        <v>34</v>
      </c>
      <c r="G678" s="28">
        <v>320000.0</v>
      </c>
      <c r="H678" s="29"/>
      <c r="I678" s="28">
        <v>773.0</v>
      </c>
      <c r="J678" s="28">
        <v>0.0</v>
      </c>
      <c r="K678" s="25" t="s">
        <v>25</v>
      </c>
      <c r="L678" s="26">
        <v>4.0</v>
      </c>
      <c r="M678" s="26">
        <v>2.0</v>
      </c>
      <c r="N678" s="26">
        <v>1.0</v>
      </c>
      <c r="O678" s="26">
        <v>0.0</v>
      </c>
      <c r="P678" s="30"/>
      <c r="Q678" s="35">
        <v>5.0</v>
      </c>
      <c r="R678" s="32">
        <v>45858.0</v>
      </c>
      <c r="S678" s="32">
        <v>45858.0</v>
      </c>
      <c r="T678" s="29"/>
      <c r="U678" s="33"/>
      <c r="V678" s="1"/>
    </row>
    <row r="679" ht="24.0" customHeight="1">
      <c r="A679" s="1"/>
      <c r="B679" s="24" t="str">
        <f>HYPERLINK("https://www.compass.com/listing/86-70-francis-lewis-boulevard-unit-b56-queens-ny-11423/1890019523360057537/view?agent_id=610d3f3370540700019b0833","86-70 Francis Lewis Boulevard, Unit B56")</f>
        <v>86-70 Francis Lewis Boulevard, Unit B56</v>
      </c>
      <c r="C679" s="25" t="s">
        <v>22</v>
      </c>
      <c r="D679" s="26" t="s">
        <v>23</v>
      </c>
      <c r="E679" s="27" t="str">
        <f>HYPERLINK("https://www.compass.com/building/86-70-francis-lewis-blvd-queens-ny-11423/307445462071951253/","86-70 Francis Lewis Blvd")</f>
        <v>86-70 Francis Lewis Blvd</v>
      </c>
      <c r="F679" s="25" t="s">
        <v>99</v>
      </c>
      <c r="G679" s="28">
        <v>254999.0</v>
      </c>
      <c r="H679" s="28">
        <v>255.0</v>
      </c>
      <c r="I679" s="28">
        <v>1120.0</v>
      </c>
      <c r="J679" s="29"/>
      <c r="K679" s="25" t="s">
        <v>25</v>
      </c>
      <c r="L679" s="26">
        <v>4.0</v>
      </c>
      <c r="M679" s="26">
        <v>2.0</v>
      </c>
      <c r="N679" s="30"/>
      <c r="O679" s="30"/>
      <c r="P679" s="34">
        <v>1000.0</v>
      </c>
      <c r="Q679" s="35">
        <v>4.0</v>
      </c>
      <c r="R679" s="32">
        <v>45861.0</v>
      </c>
      <c r="S679" s="32">
        <v>45859.0</v>
      </c>
      <c r="T679" s="29"/>
      <c r="U679" s="33"/>
      <c r="V679" s="1"/>
    </row>
    <row r="680" ht="24.0" customHeight="1">
      <c r="A680" s="1"/>
      <c r="B680" s="24" t="str">
        <f>HYPERLINK("https://www.compass.com/listing/94-11-69th-avenue-unit-309-queens-ny-11375/1891154648286890521/view?agent_id=610d3f3370540700019b0833","94-11 69th Avenue, Unit 309")</f>
        <v>94-11 69th Avenue, Unit 309</v>
      </c>
      <c r="C680" s="25" t="s">
        <v>22</v>
      </c>
      <c r="D680" s="26" t="s">
        <v>23</v>
      </c>
      <c r="E680" s="27" t="str">
        <f>HYPERLINK("https://www.compass.com/building/94-11-69th-ave-queens-ny-11375/293530898907791717/","94-11 69th Ave")</f>
        <v>94-11 69th Ave</v>
      </c>
      <c r="F680" s="25" t="s">
        <v>83</v>
      </c>
      <c r="G680" s="28">
        <v>650000.0</v>
      </c>
      <c r="H680" s="28">
        <v>611.0</v>
      </c>
      <c r="I680" s="28">
        <v>1172.0</v>
      </c>
      <c r="J680" s="28">
        <v>0.0</v>
      </c>
      <c r="K680" s="25" t="s">
        <v>25</v>
      </c>
      <c r="L680" s="26">
        <v>5.0</v>
      </c>
      <c r="M680" s="26">
        <v>2.0</v>
      </c>
      <c r="N680" s="26">
        <v>1.0</v>
      </c>
      <c r="O680" s="30"/>
      <c r="P680" s="34">
        <v>1064.0</v>
      </c>
      <c r="Q680" s="35">
        <v>3.0</v>
      </c>
      <c r="R680" s="32">
        <v>45861.0</v>
      </c>
      <c r="S680" s="32">
        <v>45860.0</v>
      </c>
      <c r="T680" s="29"/>
      <c r="U680" s="33"/>
      <c r="V680" s="1"/>
    </row>
    <row r="681" ht="24.0" customHeight="1">
      <c r="A681" s="1"/>
      <c r="B681" s="24" t="str">
        <f>HYPERLINK("https://www.compass.com/listing/276-gordon-street-staten-island-ny-10304/1871941424497178609/view?agent_id=610d3f3370540700019b0833","276 Gordon Street")</f>
        <v>276 Gordon Street</v>
      </c>
      <c r="C681" s="25" t="s">
        <v>22</v>
      </c>
      <c r="D681" s="26" t="s">
        <v>23</v>
      </c>
      <c r="E681" s="27" t="str">
        <f>HYPERLINK("https://www.compass.com/building/276-gordon-st-staten-island-ny-10304/293528621476298853/","276 Gordon St")</f>
        <v>276 Gordon St</v>
      </c>
      <c r="F681" s="25" t="s">
        <v>191</v>
      </c>
      <c r="G681" s="28">
        <v>399999.0</v>
      </c>
      <c r="H681" s="28">
        <v>606.0</v>
      </c>
      <c r="I681" s="28">
        <v>184.0</v>
      </c>
      <c r="J681" s="28">
        <v>2211.0</v>
      </c>
      <c r="K681" s="25" t="s">
        <v>97</v>
      </c>
      <c r="L681" s="26">
        <v>5.0</v>
      </c>
      <c r="M681" s="26">
        <v>2.0</v>
      </c>
      <c r="N681" s="26">
        <v>1.0</v>
      </c>
      <c r="O681" s="26">
        <v>0.0</v>
      </c>
      <c r="P681" s="26">
        <v>660.0</v>
      </c>
      <c r="Q681" s="35">
        <v>25.0</v>
      </c>
      <c r="R681" s="32">
        <v>45838.0</v>
      </c>
      <c r="S681" s="32">
        <v>45837.0</v>
      </c>
      <c r="T681" s="29"/>
      <c r="U681" s="33"/>
      <c r="V681" s="1"/>
    </row>
    <row r="682" ht="24.0" customHeight="1">
      <c r="A682" s="1"/>
      <c r="B682" s="24" t="str">
        <f>HYPERLINK("https://www.compass.com/listing/546-buchanan-avenue-unit-b-staten-island-ny-10314/1891640815440702137/view?agent_id=610d3f3370540700019b0833","546 Buchanan Avenue, Unit B")</f>
        <v>546 Buchanan Avenue, Unit B</v>
      </c>
      <c r="C682" s="25" t="s">
        <v>22</v>
      </c>
      <c r="D682" s="26" t="s">
        <v>23</v>
      </c>
      <c r="E682" s="27" t="str">
        <f>HYPERLINK("https://www.compass.com/building/546-buchanan-ave-staten-island-ny-10314/358725693478619653/","546 Buchanan Ave")</f>
        <v>546 Buchanan Ave</v>
      </c>
      <c r="F682" s="25" t="s">
        <v>192</v>
      </c>
      <c r="G682" s="28">
        <v>488000.0</v>
      </c>
      <c r="H682" s="28">
        <v>514.0</v>
      </c>
      <c r="I682" s="28">
        <v>235.0</v>
      </c>
      <c r="J682" s="28">
        <v>2817.0</v>
      </c>
      <c r="K682" s="25" t="s">
        <v>28</v>
      </c>
      <c r="L682" s="26">
        <v>6.0</v>
      </c>
      <c r="M682" s="26">
        <v>2.0</v>
      </c>
      <c r="N682" s="26">
        <v>1.0</v>
      </c>
      <c r="O682" s="26">
        <v>0.0</v>
      </c>
      <c r="P682" s="26">
        <v>950.0</v>
      </c>
      <c r="Q682" s="35">
        <v>3.0</v>
      </c>
      <c r="R682" s="32">
        <v>45862.0</v>
      </c>
      <c r="S682" s="32">
        <v>45860.0</v>
      </c>
      <c r="T682" s="29"/>
      <c r="U682" s="33"/>
      <c r="V682" s="1"/>
    </row>
    <row r="683" ht="24.0" customHeight="1">
      <c r="A683" s="1"/>
      <c r="B683" s="24" t="str">
        <f>HYPERLINK("https://www.compass.com/listing/200-corbin-place-unit-6l-brooklyn-ny-11235/1892565609774103097/view?agent_id=610d3f3370540700019b0833","200 Corbin Place, Unit 6L")</f>
        <v>200 Corbin Place, Unit 6L</v>
      </c>
      <c r="C683" s="25" t="s">
        <v>22</v>
      </c>
      <c r="D683" s="26" t="s">
        <v>23</v>
      </c>
      <c r="E683" s="27" t="str">
        <f>HYPERLINK("https://www.compass.com/building/200-corbin-pl-brooklyn-ny-11235/293530678136447621/","200 Corbin Pl")</f>
        <v>200 Corbin Pl</v>
      </c>
      <c r="F683" s="25" t="s">
        <v>74</v>
      </c>
      <c r="G683" s="28">
        <v>590000.0</v>
      </c>
      <c r="H683" s="28">
        <v>590.0</v>
      </c>
      <c r="I683" s="28">
        <v>900.0</v>
      </c>
      <c r="J683" s="28">
        <v>0.0</v>
      </c>
      <c r="K683" s="25" t="s">
        <v>25</v>
      </c>
      <c r="L683" s="26">
        <v>4.0</v>
      </c>
      <c r="M683" s="26">
        <v>2.0</v>
      </c>
      <c r="N683" s="26">
        <v>1.0</v>
      </c>
      <c r="O683" s="30"/>
      <c r="P683" s="34">
        <v>1000.0</v>
      </c>
      <c r="Q683" s="35">
        <v>1.0</v>
      </c>
      <c r="R683" s="32">
        <v>45863.0</v>
      </c>
      <c r="S683" s="32">
        <v>45862.0</v>
      </c>
      <c r="T683" s="29"/>
      <c r="U683" s="33"/>
      <c r="V683" s="1"/>
    </row>
    <row r="684" ht="24.0" customHeight="1">
      <c r="A684" s="1"/>
      <c r="B684" s="24" t="str">
        <f>HYPERLINK("https://www.compass.com/listing/246-east-51st-street-unit-11-manhattan-ny-10022/1861881272047596697/view?agent_id=610d3f3370540700019b0833","246 East 51st Street, Unit 11")</f>
        <v>246 East 51st Street, Unit 11</v>
      </c>
      <c r="C684" s="25" t="s">
        <v>22</v>
      </c>
      <c r="D684" s="26" t="s">
        <v>23</v>
      </c>
      <c r="E684" s="27" t="str">
        <f>HYPERLINK("https://www.compass.com/building/246-e-51st-st-manhattan-ny-10022/281953443390752885/","246 E 51st St")</f>
        <v>246 E 51st St</v>
      </c>
      <c r="F684" s="25" t="s">
        <v>66</v>
      </c>
      <c r="G684" s="28">
        <v>649000.0</v>
      </c>
      <c r="H684" s="29"/>
      <c r="I684" s="28">
        <v>1581.0</v>
      </c>
      <c r="J684" s="28">
        <v>0.0</v>
      </c>
      <c r="K684" s="25" t="s">
        <v>25</v>
      </c>
      <c r="L684" s="26">
        <v>4.0</v>
      </c>
      <c r="M684" s="26">
        <v>2.0</v>
      </c>
      <c r="N684" s="26">
        <v>1.0</v>
      </c>
      <c r="O684" s="30"/>
      <c r="P684" s="30"/>
      <c r="Q684" s="35">
        <v>1522.0</v>
      </c>
      <c r="R684" s="32">
        <v>44341.0</v>
      </c>
      <c r="S684" s="32">
        <v>44341.0</v>
      </c>
      <c r="T684" s="29"/>
      <c r="U684" s="33"/>
      <c r="V684" s="1"/>
    </row>
    <row r="685" ht="24.0" customHeight="1">
      <c r="A685" s="1"/>
      <c r="B685" s="24" t="str">
        <f>HYPERLINK("https://www.compass.com/listing/270-convent-avenue-unit-9c-manhattan-ny-10031/1742557465499421705/view?agent_id=610d3f3370540700019b0833","270 Convent Avenue, Unit 9C")</f>
        <v>270 Convent Avenue, Unit 9C</v>
      </c>
      <c r="C685" s="25" t="s">
        <v>22</v>
      </c>
      <c r="D685" s="26" t="s">
        <v>23</v>
      </c>
      <c r="E685" s="27" t="str">
        <f>HYPERLINK("https://www.compass.com/building/270-convent-ave-manhattan-ny-10031/281996325803906005/","270 Convent Ave")</f>
        <v>270 Convent Ave</v>
      </c>
      <c r="F685" s="25" t="s">
        <v>71</v>
      </c>
      <c r="G685" s="28">
        <v>595000.0</v>
      </c>
      <c r="H685" s="29"/>
      <c r="I685" s="28">
        <v>1091.0</v>
      </c>
      <c r="J685" s="28">
        <v>0.0</v>
      </c>
      <c r="K685" s="25" t="s">
        <v>25</v>
      </c>
      <c r="L685" s="26">
        <v>5.0</v>
      </c>
      <c r="M685" s="26">
        <v>2.0</v>
      </c>
      <c r="N685" s="26">
        <v>1.0</v>
      </c>
      <c r="O685" s="30"/>
      <c r="P685" s="30"/>
      <c r="Q685" s="35">
        <v>209.0</v>
      </c>
      <c r="R685" s="32">
        <v>45656.0</v>
      </c>
      <c r="S685" s="32">
        <v>45654.0</v>
      </c>
      <c r="T685" s="29"/>
      <c r="U685" s="33"/>
      <c r="V685" s="1"/>
    </row>
    <row r="686" ht="24.0" customHeight="1">
      <c r="A686" s="1"/>
      <c r="B686" s="24" t="str">
        <f>HYPERLINK("https://www.compass.com/listing/150-15-72nd-road-unit-4g-queens-ny-11367/1869900580793177457/view?agent_id=610d3f3370540700019b0833","150-15 72nd Road, Unit 4G")</f>
        <v>150-15 72nd Road, Unit 4G</v>
      </c>
      <c r="C686" s="25" t="s">
        <v>22</v>
      </c>
      <c r="D686" s="26" t="s">
        <v>23</v>
      </c>
      <c r="E686" s="27" t="str">
        <f>HYPERLINK("https://www.compass.com/building/150-15-72nd-rd-queens-ny-11367/294837177754125717/","150-15 72nd Rd")</f>
        <v>150-15 72nd Rd</v>
      </c>
      <c r="F686" s="25" t="s">
        <v>142</v>
      </c>
      <c r="G686" s="28">
        <v>350000.0</v>
      </c>
      <c r="H686" s="28">
        <v>357.0</v>
      </c>
      <c r="I686" s="28">
        <v>1259.0</v>
      </c>
      <c r="J686" s="29"/>
      <c r="K686" s="25" t="s">
        <v>25</v>
      </c>
      <c r="L686" s="26">
        <v>5.0</v>
      </c>
      <c r="M686" s="26">
        <v>2.0</v>
      </c>
      <c r="N686" s="26">
        <v>1.0</v>
      </c>
      <c r="O686" s="30"/>
      <c r="P686" s="26">
        <v>980.0</v>
      </c>
      <c r="Q686" s="35">
        <v>32.0</v>
      </c>
      <c r="R686" s="32">
        <v>45832.0</v>
      </c>
      <c r="S686" s="32">
        <v>45831.0</v>
      </c>
      <c r="T686" s="29"/>
      <c r="U686" s="33"/>
      <c r="V686" s="1"/>
    </row>
    <row r="687" ht="24.0" customHeight="1">
      <c r="A687" s="1"/>
      <c r="B687" s="24" t="str">
        <f>HYPERLINK("https://www.compass.com/listing/227-09-hillside-avenue-unit-517-duplex-queens-ny-11427/1839894698368538529/view?agent_id=610d3f3370540700019b0833","227-09 Hillside Avenue, Unit 517 DUPLEX")</f>
        <v>227-09 Hillside Avenue, Unit 517 DUPLEX</v>
      </c>
      <c r="C687" s="25" t="s">
        <v>22</v>
      </c>
      <c r="D687" s="26" t="s">
        <v>23</v>
      </c>
      <c r="E687" s="26" t="s">
        <v>193</v>
      </c>
      <c r="F687" s="25" t="s">
        <v>69</v>
      </c>
      <c r="G687" s="28">
        <v>348000.0</v>
      </c>
      <c r="H687" s="28">
        <v>533.0</v>
      </c>
      <c r="I687" s="28">
        <v>941.0</v>
      </c>
      <c r="J687" s="29"/>
      <c r="K687" s="25" t="s">
        <v>25</v>
      </c>
      <c r="L687" s="26">
        <v>5.0</v>
      </c>
      <c r="M687" s="26">
        <v>2.0</v>
      </c>
      <c r="N687" s="26">
        <v>1.0</v>
      </c>
      <c r="O687" s="30"/>
      <c r="P687" s="26">
        <v>653.0</v>
      </c>
      <c r="Q687" s="35">
        <v>69.0</v>
      </c>
      <c r="R687" s="32">
        <v>45807.0</v>
      </c>
      <c r="S687" s="32">
        <v>45794.0</v>
      </c>
      <c r="T687" s="29"/>
      <c r="U687" s="33"/>
      <c r="V687" s="1"/>
    </row>
    <row r="688" ht="24.0" customHeight="1">
      <c r="A688" s="1"/>
      <c r="B688" s="24" t="str">
        <f>HYPERLINK("https://www.compass.com/listing/137-east-36th-street-unit-2c-manhattan-ny-10016/1615995212892978737/view?agent_id=610d3f3370540700019b0833","137 East 36th Street, Unit 2C")</f>
        <v>137 East 36th Street, Unit 2C</v>
      </c>
      <c r="C688" s="25" t="s">
        <v>22</v>
      </c>
      <c r="D688" s="26" t="s">
        <v>23</v>
      </c>
      <c r="E688" s="27" t="str">
        <f>HYPERLINK("https://www.compass.com/building/the-carlton-regency-manhattan-ny/281937346574733269/","The Carlton Regency")</f>
        <v>The Carlton Regency</v>
      </c>
      <c r="F688" s="25" t="s">
        <v>72</v>
      </c>
      <c r="G688" s="28">
        <v>849000.0</v>
      </c>
      <c r="H688" s="29"/>
      <c r="I688" s="28">
        <v>2538.0</v>
      </c>
      <c r="J688" s="28">
        <v>0.0</v>
      </c>
      <c r="K688" s="25" t="s">
        <v>25</v>
      </c>
      <c r="L688" s="26">
        <v>4.0</v>
      </c>
      <c r="M688" s="26">
        <v>2.0</v>
      </c>
      <c r="N688" s="26">
        <v>1.0</v>
      </c>
      <c r="O688" s="26">
        <v>0.0</v>
      </c>
      <c r="P688" s="30"/>
      <c r="Q688" s="35">
        <v>326.0</v>
      </c>
      <c r="R688" s="32">
        <v>45859.0</v>
      </c>
      <c r="S688" s="32">
        <v>45537.0</v>
      </c>
      <c r="T688" s="29"/>
      <c r="U688" s="33"/>
      <c r="V688" s="1"/>
    </row>
    <row r="689" ht="24.0" customHeight="1">
      <c r="A689" s="1"/>
      <c r="B689" s="24" t="str">
        <f>HYPERLINK("https://www.compass.com/listing/150-10-71st-avenue-unit-2g-queens-ny-11367/1882127515332657425/view?agent_id=610d3f3370540700019b0833","150-10 71st Avenue, Unit 2G")</f>
        <v>150-10 71st Avenue, Unit 2G</v>
      </c>
      <c r="C689" s="25" t="s">
        <v>22</v>
      </c>
      <c r="D689" s="26" t="s">
        <v>23</v>
      </c>
      <c r="E689" s="27" t="str">
        <f>HYPERLINK("https://www.compass.com/building/150-10-71st-ave-queens-ny-11367/293417961962699877/","150-10 71st Ave")</f>
        <v>150-10 71st Ave</v>
      </c>
      <c r="F689" s="25" t="s">
        <v>142</v>
      </c>
      <c r="G689" s="28">
        <v>375000.0</v>
      </c>
      <c r="H689" s="28">
        <v>421.0</v>
      </c>
      <c r="I689" s="28">
        <v>1248.0</v>
      </c>
      <c r="J689" s="29"/>
      <c r="K689" s="25" t="s">
        <v>25</v>
      </c>
      <c r="L689" s="26">
        <v>5.0</v>
      </c>
      <c r="M689" s="26">
        <v>2.0</v>
      </c>
      <c r="N689" s="26">
        <v>1.0</v>
      </c>
      <c r="O689" s="30"/>
      <c r="P689" s="26">
        <v>890.0</v>
      </c>
      <c r="Q689" s="35">
        <v>15.0</v>
      </c>
      <c r="R689" s="32">
        <v>45849.0</v>
      </c>
      <c r="S689" s="32">
        <v>45848.0</v>
      </c>
      <c r="T689" s="29"/>
      <c r="U689" s="33"/>
      <c r="V689" s="1"/>
    </row>
    <row r="690" ht="24.0" customHeight="1">
      <c r="A690" s="1"/>
      <c r="B690" s="24" t="str">
        <f>HYPERLINK("https://www.compass.com/listing/38-west-55th-street-unit-4d-manhattan-ny-10019/1481072800381014881/view?agent_id=610d3f3370540700019b0833","38 West 55th Street, Unit 4D")</f>
        <v>38 West 55th Street, Unit 4D</v>
      </c>
      <c r="C690" s="25" t="s">
        <v>22</v>
      </c>
      <c r="D690" s="26" t="s">
        <v>23</v>
      </c>
      <c r="E690" s="26" t="s">
        <v>194</v>
      </c>
      <c r="F690" s="25" t="s">
        <v>195</v>
      </c>
      <c r="G690" s="28">
        <v>1175000.0</v>
      </c>
      <c r="H690" s="28">
        <v>1098.0</v>
      </c>
      <c r="I690" s="28">
        <v>2328.0</v>
      </c>
      <c r="J690" s="28">
        <v>13968.0</v>
      </c>
      <c r="K690" s="25" t="s">
        <v>28</v>
      </c>
      <c r="L690" s="26">
        <v>2.0</v>
      </c>
      <c r="M690" s="26">
        <v>2.0</v>
      </c>
      <c r="N690" s="30"/>
      <c r="O690" s="30"/>
      <c r="P690" s="34">
        <v>1070.0</v>
      </c>
      <c r="Q690" s="35">
        <v>569.0</v>
      </c>
      <c r="R690" s="32">
        <v>45295.0</v>
      </c>
      <c r="S690" s="32">
        <v>45294.0</v>
      </c>
      <c r="T690" s="29"/>
      <c r="U690" s="33"/>
      <c r="V690" s="1"/>
    </row>
    <row r="691" ht="24.0" customHeight="1">
      <c r="A691" s="1"/>
      <c r="B691" s="24" t="str">
        <f>HYPERLINK("https://www.compass.com/listing/88-beaver-street-unit-6k-brooklyn-ny-11206/1773022707567806105/view?agent_id=610d3f3370540700019b0833","88 Beaver Street, Unit 6K")</f>
        <v>88 Beaver Street, Unit 6K</v>
      </c>
      <c r="C691" s="25" t="s">
        <v>22</v>
      </c>
      <c r="D691" s="26" t="s">
        <v>23</v>
      </c>
      <c r="E691" s="26" t="s">
        <v>196</v>
      </c>
      <c r="F691" s="25" t="s">
        <v>82</v>
      </c>
      <c r="G691" s="28">
        <v>450000.0</v>
      </c>
      <c r="H691" s="28">
        <v>515.0</v>
      </c>
      <c r="I691" s="28">
        <v>997.0</v>
      </c>
      <c r="J691" s="28">
        <v>0.0</v>
      </c>
      <c r="K691" s="25" t="s">
        <v>28</v>
      </c>
      <c r="L691" s="26">
        <v>4.0</v>
      </c>
      <c r="M691" s="26">
        <v>2.0</v>
      </c>
      <c r="N691" s="26">
        <v>1.0</v>
      </c>
      <c r="O691" s="30"/>
      <c r="P691" s="26">
        <v>874.0</v>
      </c>
      <c r="Q691" s="35">
        <v>167.0</v>
      </c>
      <c r="R691" s="32">
        <v>45698.0</v>
      </c>
      <c r="S691" s="32">
        <v>45696.0</v>
      </c>
      <c r="T691" s="29"/>
      <c r="U691" s="33"/>
      <c r="V691" s="1"/>
    </row>
    <row r="692" ht="24.0" customHeight="1">
      <c r="A692" s="1"/>
      <c r="B692" s="24" t="str">
        <f>HYPERLINK("https://www.compass.com/listing/98-45-57th-avenue-unit-3f-queens-ny-11368/1879559311651757721/view?agent_id=610d3f3370540700019b0833","98-45 57th Avenue, Unit 3F")</f>
        <v>98-45 57th Avenue, Unit 3F</v>
      </c>
      <c r="C692" s="25" t="s">
        <v>22</v>
      </c>
      <c r="D692" s="26" t="s">
        <v>23</v>
      </c>
      <c r="E692" s="27" t="str">
        <f>HYPERLINK("https://www.compass.com/building/98-45-57th-ave-queens-ny-11368/307443505152486629/","98-45 57th Ave")</f>
        <v>98-45 57th Ave</v>
      </c>
      <c r="F692" s="25" t="s">
        <v>153</v>
      </c>
      <c r="G692" s="28">
        <v>359000.0</v>
      </c>
      <c r="H692" s="28">
        <v>390.0</v>
      </c>
      <c r="I692" s="28">
        <v>745.0</v>
      </c>
      <c r="J692" s="28">
        <v>0.0</v>
      </c>
      <c r="K692" s="25" t="s">
        <v>25</v>
      </c>
      <c r="L692" s="26">
        <v>4.0</v>
      </c>
      <c r="M692" s="26">
        <v>2.0</v>
      </c>
      <c r="N692" s="26">
        <v>1.0</v>
      </c>
      <c r="O692" s="30"/>
      <c r="P692" s="26">
        <v>920.0</v>
      </c>
      <c r="Q692" s="35">
        <v>20.0</v>
      </c>
      <c r="R692" s="32">
        <v>45845.0</v>
      </c>
      <c r="S692" s="32">
        <v>45843.0</v>
      </c>
      <c r="T692" s="29"/>
      <c r="U692" s="33"/>
      <c r="V692" s="1"/>
    </row>
    <row r="693" ht="24.0" customHeight="1">
      <c r="A693" s="1"/>
      <c r="B693" s="24" t="str">
        <f>HYPERLINK("https://www.compass.com/listing/6511-fort-hamilton-parkway-unit-2b-brooklyn-ny-11219/1885032474067561481/view?agent_id=610d3f3370540700019b0833","6511 Fort Hamilton Parkway, Unit 2B")</f>
        <v>6511 Fort Hamilton Parkway, Unit 2B</v>
      </c>
      <c r="C693" s="25" t="s">
        <v>22</v>
      </c>
      <c r="D693" s="26" t="s">
        <v>23</v>
      </c>
      <c r="E693" s="27" t="str">
        <f>HYPERLINK("https://www.compass.com/building/6511-fort-hamilton-pkwy-brooklyn-ny-11219/307458664021256213/","6511 Fort Hamilton Pkwy")</f>
        <v>6511 Fort Hamilton Pkwy</v>
      </c>
      <c r="F693" s="25" t="s">
        <v>197</v>
      </c>
      <c r="G693" s="28">
        <v>820000.0</v>
      </c>
      <c r="H693" s="28">
        <v>735.0</v>
      </c>
      <c r="I693" s="28">
        <v>1258.0</v>
      </c>
      <c r="J693" s="28">
        <v>9700.0</v>
      </c>
      <c r="K693" s="25" t="s">
        <v>28</v>
      </c>
      <c r="L693" s="26">
        <v>4.0</v>
      </c>
      <c r="M693" s="26">
        <v>2.0</v>
      </c>
      <c r="N693" s="26">
        <v>1.0</v>
      </c>
      <c r="O693" s="30"/>
      <c r="P693" s="34">
        <v>1116.0</v>
      </c>
      <c r="Q693" s="35">
        <v>11.0</v>
      </c>
      <c r="R693" s="32">
        <v>45857.0</v>
      </c>
      <c r="S693" s="32">
        <v>45852.0</v>
      </c>
      <c r="T693" s="29"/>
      <c r="U693" s="33"/>
      <c r="V693" s="1"/>
    </row>
    <row r="694" ht="24.0" customHeight="1">
      <c r="A694" s="1"/>
      <c r="B694" s="24" t="str">
        <f>HYPERLINK("https://www.compass.com/listing/140-08-28th-road-unit-6e-queens-ny-11354/1889879972188678425/view?agent_id=610d3f3370540700019b0833","140-08 28th Road, Unit 6E")</f>
        <v>140-08 28th Road, Unit 6E</v>
      </c>
      <c r="C694" s="25" t="s">
        <v>22</v>
      </c>
      <c r="D694" s="26" t="s">
        <v>23</v>
      </c>
      <c r="E694" s="27" t="str">
        <f>HYPERLINK("https://www.compass.com/building/140-08-28th-rd-queens-ny-11354/441134714804575757/","140-08 28th Rd")</f>
        <v>140-08 28th Rd</v>
      </c>
      <c r="F694" s="25" t="s">
        <v>185</v>
      </c>
      <c r="G694" s="28">
        <v>388000.0</v>
      </c>
      <c r="H694" s="28">
        <v>388.0</v>
      </c>
      <c r="I694" s="28">
        <v>966.0</v>
      </c>
      <c r="J694" s="29"/>
      <c r="K694" s="25" t="s">
        <v>25</v>
      </c>
      <c r="L694" s="26">
        <v>5.0</v>
      </c>
      <c r="M694" s="26">
        <v>2.0</v>
      </c>
      <c r="N694" s="26">
        <v>1.0</v>
      </c>
      <c r="O694" s="30"/>
      <c r="P694" s="34">
        <v>1000.0</v>
      </c>
      <c r="Q694" s="35">
        <v>4.0</v>
      </c>
      <c r="R694" s="32">
        <v>45862.0</v>
      </c>
      <c r="S694" s="32">
        <v>45859.0</v>
      </c>
      <c r="T694" s="29"/>
      <c r="U694" s="33"/>
      <c r="V694" s="1"/>
    </row>
    <row r="695" ht="24.0" customHeight="1">
      <c r="A695" s="1"/>
      <c r="B695" s="24" t="str">
        <f>HYPERLINK("https://www.compass.com/listing/833-central-avenue-unit-3m-queens-ny-11691/1871248362556228305/view?agent_id=610d3f3370540700019b0833","833 Central Avenue, Unit 3M")</f>
        <v>833 Central Avenue, Unit 3M</v>
      </c>
      <c r="C695" s="25" t="s">
        <v>22</v>
      </c>
      <c r="D695" s="26" t="s">
        <v>23</v>
      </c>
      <c r="E695" s="27" t="str">
        <f>HYPERLINK("https://www.compass.com/building/833-central-ave-queens-ny-11691/293417880911935365/","833 Central Ave")</f>
        <v>833 Central Ave</v>
      </c>
      <c r="F695" s="25" t="s">
        <v>198</v>
      </c>
      <c r="G695" s="28">
        <v>399000.0</v>
      </c>
      <c r="H695" s="29"/>
      <c r="I695" s="28">
        <v>833.0</v>
      </c>
      <c r="J695" s="29"/>
      <c r="K695" s="25" t="s">
        <v>25</v>
      </c>
      <c r="L695" s="26">
        <v>5.0</v>
      </c>
      <c r="M695" s="26">
        <v>2.0</v>
      </c>
      <c r="N695" s="26">
        <v>1.0</v>
      </c>
      <c r="O695" s="30"/>
      <c r="P695" s="30"/>
      <c r="Q695" s="35">
        <v>30.0</v>
      </c>
      <c r="R695" s="32">
        <v>45834.0</v>
      </c>
      <c r="S695" s="32">
        <v>45833.0</v>
      </c>
      <c r="T695" s="29"/>
      <c r="U695" s="33"/>
      <c r="V695" s="1"/>
    </row>
    <row r="696" ht="24.0" customHeight="1">
      <c r="A696" s="1"/>
      <c r="B696" s="24" t="str">
        <f>HYPERLINK("https://www.compass.com/listing/3115-broadway-unit-61-manhattan-ny-10027/1637075820482340617/view?agent_id=610d3f3370540700019b0833","3115 Broadway, Unit 61")</f>
        <v>3115 Broadway, Unit 61</v>
      </c>
      <c r="C696" s="25" t="s">
        <v>22</v>
      </c>
      <c r="D696" s="26" t="s">
        <v>23</v>
      </c>
      <c r="E696" s="27" t="str">
        <f>HYPERLINK("https://www.compass.com/building/3115-broadway-manhattan-ny-10027/281926410874953813/","3115 Broadway")</f>
        <v>3115 Broadway</v>
      </c>
      <c r="F696" s="25" t="s">
        <v>41</v>
      </c>
      <c r="G696" s="28">
        <v>550000.0</v>
      </c>
      <c r="H696" s="28">
        <v>780.0</v>
      </c>
      <c r="I696" s="28">
        <v>790.0</v>
      </c>
      <c r="J696" s="28">
        <v>0.0</v>
      </c>
      <c r="K696" s="25" t="s">
        <v>25</v>
      </c>
      <c r="L696" s="26">
        <v>4.0</v>
      </c>
      <c r="M696" s="26">
        <v>2.0</v>
      </c>
      <c r="N696" s="26">
        <v>1.0</v>
      </c>
      <c r="O696" s="26">
        <v>0.0</v>
      </c>
      <c r="P696" s="26">
        <v>705.0</v>
      </c>
      <c r="Q696" s="35">
        <v>319.0</v>
      </c>
      <c r="R696" s="32">
        <v>45846.0</v>
      </c>
      <c r="S696" s="32">
        <v>45525.0</v>
      </c>
      <c r="T696" s="29"/>
      <c r="U696" s="33"/>
      <c r="V696" s="1"/>
    </row>
    <row r="697" ht="24.0" customHeight="1">
      <c r="A697" s="1"/>
      <c r="B697" s="24" t="str">
        <f>HYPERLINK("https://www.compass.com/listing/600-west-148th-street-unit-11b-manhattan-ny-10031/1544842254733895049/view?agent_id=610d3f3370540700019b0833","600 West 148th Street, Unit 11B")</f>
        <v>600 West 148th Street, Unit 11B</v>
      </c>
      <c r="C697" s="25" t="s">
        <v>22</v>
      </c>
      <c r="D697" s="26" t="s">
        <v>23</v>
      </c>
      <c r="E697" s="26" t="s">
        <v>199</v>
      </c>
      <c r="F697" s="25" t="s">
        <v>71</v>
      </c>
      <c r="G697" s="28">
        <v>350000.0</v>
      </c>
      <c r="H697" s="28">
        <v>480.0</v>
      </c>
      <c r="I697" s="28">
        <v>1222.0</v>
      </c>
      <c r="J697" s="28">
        <v>0.0</v>
      </c>
      <c r="K697" s="25" t="s">
        <v>25</v>
      </c>
      <c r="L697" s="26">
        <v>4.0</v>
      </c>
      <c r="M697" s="26">
        <v>2.0</v>
      </c>
      <c r="N697" s="26">
        <v>1.0</v>
      </c>
      <c r="O697" s="30"/>
      <c r="P697" s="26">
        <v>729.0</v>
      </c>
      <c r="Q697" s="35">
        <v>481.0</v>
      </c>
      <c r="R697" s="32">
        <v>45740.0</v>
      </c>
      <c r="S697" s="32">
        <v>45382.0</v>
      </c>
      <c r="T697" s="29"/>
      <c r="U697" s="33"/>
      <c r="V697" s="1"/>
    </row>
    <row r="698" ht="24.0" customHeight="1">
      <c r="A698" s="1"/>
      <c r="B698" s="24" t="str">
        <f>HYPERLINK("https://www.compass.com/listing/2835-bedford-avenue-unit-3e-brooklyn-ny-11210/1871698573477002561/view?agent_id=610d3f3370540700019b0833","2835 Bedford Avenue, Unit 3E")</f>
        <v>2835 Bedford Avenue, Unit 3E</v>
      </c>
      <c r="C698" s="25" t="s">
        <v>22</v>
      </c>
      <c r="D698" s="26" t="s">
        <v>23</v>
      </c>
      <c r="E698" s="27" t="str">
        <f>HYPERLINK("https://www.compass.com/building/2835-bedford-ave-brooklyn-ny-11210/293535494933892853/","2835 Bedford Ave")</f>
        <v>2835 Bedford Ave</v>
      </c>
      <c r="F698" s="25" t="s">
        <v>112</v>
      </c>
      <c r="G698" s="28">
        <v>490000.0</v>
      </c>
      <c r="H698" s="28">
        <v>445.0</v>
      </c>
      <c r="I698" s="28">
        <v>1005.0</v>
      </c>
      <c r="J698" s="29"/>
      <c r="K698" s="25" t="s">
        <v>25</v>
      </c>
      <c r="L698" s="26">
        <v>6.0</v>
      </c>
      <c r="M698" s="26">
        <v>2.0</v>
      </c>
      <c r="N698" s="26">
        <v>1.0</v>
      </c>
      <c r="O698" s="30"/>
      <c r="P698" s="34">
        <v>1100.0</v>
      </c>
      <c r="Q698" s="35">
        <v>29.0</v>
      </c>
      <c r="R698" s="32">
        <v>45851.0</v>
      </c>
      <c r="S698" s="32">
        <v>45834.0</v>
      </c>
      <c r="T698" s="29"/>
      <c r="U698" s="33"/>
      <c r="V698" s="1"/>
    </row>
    <row r="699" ht="24.0" customHeight="1">
      <c r="A699" s="1"/>
      <c r="B699" s="24" t="str">
        <f>HYPERLINK("https://www.compass.com/listing/3117-broadway-unit-1-manhattan-ny-10027/1831894297052961713/view?agent_id=610d3f3370540700019b0833","3117 Broadway, Unit 1")</f>
        <v>3117 Broadway, Unit 1</v>
      </c>
      <c r="C699" s="25" t="s">
        <v>22</v>
      </c>
      <c r="D699" s="26" t="s">
        <v>23</v>
      </c>
      <c r="E699" s="27" t="str">
        <f>HYPERLINK("https://www.compass.com/building/3117-broadway-manhattan-ny-10027/281981613938673621/","3117 Broadway")</f>
        <v>3117 Broadway</v>
      </c>
      <c r="F699" s="25" t="s">
        <v>41</v>
      </c>
      <c r="G699" s="28">
        <v>549000.0</v>
      </c>
      <c r="H699" s="28">
        <v>610.0</v>
      </c>
      <c r="I699" s="28">
        <v>1758.0</v>
      </c>
      <c r="J699" s="28">
        <v>0.0</v>
      </c>
      <c r="K699" s="25" t="s">
        <v>25</v>
      </c>
      <c r="L699" s="26">
        <v>4.0</v>
      </c>
      <c r="M699" s="26">
        <v>2.0</v>
      </c>
      <c r="N699" s="26">
        <v>1.0</v>
      </c>
      <c r="O699" s="26">
        <v>0.0</v>
      </c>
      <c r="P699" s="26">
        <v>900.0</v>
      </c>
      <c r="Q699" s="35">
        <v>86.0</v>
      </c>
      <c r="R699" s="32">
        <v>45858.0</v>
      </c>
      <c r="S699" s="32">
        <v>45777.0</v>
      </c>
      <c r="T699" s="29"/>
      <c r="U699" s="33"/>
      <c r="V699" s="1"/>
    </row>
    <row r="700" ht="24.0" customHeight="1">
      <c r="A700" s="1"/>
      <c r="B700" s="24" t="str">
        <f>HYPERLINK("https://www.compass.com/listing/300-east-54th-street-unit-10j-manhattan-ny-10022/1708887865280011657/view?agent_id=610d3f3370540700019b0833","300 East 54th Street, Unit 10J")</f>
        <v>300 East 54th Street, Unit 10J</v>
      </c>
      <c r="C700" s="25" t="s">
        <v>22</v>
      </c>
      <c r="D700" s="26" t="s">
        <v>23</v>
      </c>
      <c r="E700" s="27" t="str">
        <f>HYPERLINK("https://www.compass.com/building/the-connaught-tower-manhattan-ny/281953553994549461/","The Connaught Tower")</f>
        <v>The Connaught Tower</v>
      </c>
      <c r="F700" s="25" t="s">
        <v>73</v>
      </c>
      <c r="G700" s="28">
        <v>799000.0</v>
      </c>
      <c r="H700" s="28">
        <v>968.0</v>
      </c>
      <c r="I700" s="28">
        <v>1596.0</v>
      </c>
      <c r="J700" s="28">
        <v>0.0</v>
      </c>
      <c r="K700" s="25" t="s">
        <v>25</v>
      </c>
      <c r="L700" s="26">
        <v>4.0</v>
      </c>
      <c r="M700" s="26">
        <v>2.0</v>
      </c>
      <c r="N700" s="26">
        <v>1.0</v>
      </c>
      <c r="O700" s="26">
        <v>0.0</v>
      </c>
      <c r="P700" s="26">
        <v>825.0</v>
      </c>
      <c r="Q700" s="35">
        <v>254.0</v>
      </c>
      <c r="R700" s="32">
        <v>45860.0</v>
      </c>
      <c r="S700" s="32">
        <v>45609.0</v>
      </c>
      <c r="T700" s="29"/>
      <c r="U700" s="33"/>
      <c r="V700" s="1"/>
    </row>
    <row r="701" ht="24.0" customHeight="1">
      <c r="A701" s="1"/>
      <c r="B701" s="24" t="str">
        <f>HYPERLINK("https://www.compass.com/listing/4-dartmouth-street-unit-7-queens-ny-11375/1888228197635562881/view?agent_id=610d3f3370540700019b0833","4 Dartmouth Street, Unit 7")</f>
        <v>4 Dartmouth Street, Unit 7</v>
      </c>
      <c r="C701" s="25" t="s">
        <v>22</v>
      </c>
      <c r="D701" s="26" t="s">
        <v>23</v>
      </c>
      <c r="E701" s="27" t="str">
        <f>HYPERLINK("https://www.compass.com/building/4-dartmouth-st-queens-ny-11375/293533682189305301/","4 Dartmouth St")</f>
        <v>4 Dartmouth St</v>
      </c>
      <c r="F701" s="25" t="s">
        <v>83</v>
      </c>
      <c r="G701" s="28">
        <v>685000.0</v>
      </c>
      <c r="H701" s="28">
        <v>548.0</v>
      </c>
      <c r="I701" s="28">
        <v>1469.0</v>
      </c>
      <c r="J701" s="29"/>
      <c r="K701" s="25" t="s">
        <v>25</v>
      </c>
      <c r="L701" s="26">
        <v>4.0</v>
      </c>
      <c r="M701" s="26">
        <v>2.0</v>
      </c>
      <c r="N701" s="26">
        <v>1.0</v>
      </c>
      <c r="O701" s="30"/>
      <c r="P701" s="34">
        <v>1250.0</v>
      </c>
      <c r="Q701" s="35">
        <v>4.0</v>
      </c>
      <c r="R701" s="32">
        <v>45861.0</v>
      </c>
      <c r="S701" s="32">
        <v>45858.0</v>
      </c>
      <c r="T701" s="29"/>
      <c r="U701" s="33"/>
      <c r="V701" s="1"/>
    </row>
    <row r="702" ht="24.0" customHeight="1">
      <c r="A702" s="1"/>
      <c r="B702" s="24" t="str">
        <f>HYPERLINK("https://www.compass.com/listing/607-west-136th-street-unit-3-manhattan-ny-10031/1729109082854539993/view?agent_id=610d3f3370540700019b0833","607 West 136th Street, Unit 3")</f>
        <v>607 West 136th Street, Unit 3</v>
      </c>
      <c r="C702" s="25" t="s">
        <v>22</v>
      </c>
      <c r="D702" s="26" t="s">
        <v>23</v>
      </c>
      <c r="E702" s="27" t="str">
        <f>HYPERLINK("https://www.compass.com/building/607-w-136th-st-manhattan-ny-10031/282001973383915269/","607 W 136th St")</f>
        <v>607 W 136th St</v>
      </c>
      <c r="F702" s="25" t="s">
        <v>71</v>
      </c>
      <c r="G702" s="28">
        <v>299995.0</v>
      </c>
      <c r="H702" s="28">
        <v>400.0</v>
      </c>
      <c r="I702" s="28">
        <v>0.0</v>
      </c>
      <c r="J702" s="29"/>
      <c r="K702" s="25" t="s">
        <v>25</v>
      </c>
      <c r="L702" s="26">
        <v>4.0</v>
      </c>
      <c r="M702" s="26">
        <v>2.0</v>
      </c>
      <c r="N702" s="26">
        <v>1.0</v>
      </c>
      <c r="O702" s="30"/>
      <c r="P702" s="26">
        <v>750.0</v>
      </c>
      <c r="Q702" s="35">
        <v>124.0</v>
      </c>
      <c r="R702" s="32">
        <v>45863.0</v>
      </c>
      <c r="S702" s="32">
        <v>45658.0</v>
      </c>
      <c r="T702" s="29"/>
      <c r="U702" s="33"/>
      <c r="V702" s="1"/>
    </row>
    <row r="703" ht="24.0" customHeight="1">
      <c r="A703" s="1"/>
      <c r="B703" s="24" t="str">
        <f>HYPERLINK("https://www.compass.com/listing/775-riverside-drive-unit-6b-manhattan-ny-10032/1839804360895660561/view?agent_id=610d3f3370540700019b0833","775 Riverside Drive, Unit 6B")</f>
        <v>775 Riverside Drive, Unit 6B</v>
      </c>
      <c r="C703" s="25" t="s">
        <v>22</v>
      </c>
      <c r="D703" s="26" t="s">
        <v>23</v>
      </c>
      <c r="E703" s="27" t="str">
        <f>HYPERLINK("https://www.compass.com/building/775-riverside-dr-manhattan-ny-10032/294837409665591813/","775 Riverside Dr")</f>
        <v>775 Riverside Dr</v>
      </c>
      <c r="F703" s="25" t="s">
        <v>77</v>
      </c>
      <c r="G703" s="28">
        <v>649000.0</v>
      </c>
      <c r="H703" s="28">
        <v>728.0</v>
      </c>
      <c r="I703" s="28">
        <v>1259.0</v>
      </c>
      <c r="J703" s="28">
        <v>5832.0</v>
      </c>
      <c r="K703" s="25" t="s">
        <v>28</v>
      </c>
      <c r="L703" s="26">
        <v>4.0</v>
      </c>
      <c r="M703" s="26">
        <v>2.0</v>
      </c>
      <c r="N703" s="26">
        <v>1.0</v>
      </c>
      <c r="O703" s="26">
        <v>0.0</v>
      </c>
      <c r="P703" s="26">
        <v>891.0</v>
      </c>
      <c r="Q703" s="35">
        <v>74.0</v>
      </c>
      <c r="R703" s="32">
        <v>45861.0</v>
      </c>
      <c r="S703" s="32">
        <v>45789.0</v>
      </c>
      <c r="T703" s="29"/>
      <c r="U703" s="33"/>
      <c r="V703" s="1"/>
    </row>
    <row r="704" ht="24.0" customHeight="1">
      <c r="A704" s="1"/>
      <c r="B704" s="24" t="str">
        <f>HYPERLINK("https://www.compass.com/listing/515-west-143rd-street-unit-34-manhattan-ny-10031/1623268913496892321/view?agent_id=610d3f3370540700019b0833","515 West 143rd Street, Unit 34")</f>
        <v>515 West 143rd Street, Unit 34</v>
      </c>
      <c r="C704" s="25" t="s">
        <v>22</v>
      </c>
      <c r="D704" s="26" t="s">
        <v>23</v>
      </c>
      <c r="E704" s="27" t="str">
        <f>HYPERLINK("https://www.compass.com/building/515-w-143rd-st-manhattan-ny-10031/281999210855915365/","515 W 143rd St")</f>
        <v>515 W 143rd St</v>
      </c>
      <c r="F704" s="25" t="s">
        <v>71</v>
      </c>
      <c r="G704" s="28">
        <v>419999.0</v>
      </c>
      <c r="H704" s="29"/>
      <c r="I704" s="28">
        <v>836.0</v>
      </c>
      <c r="J704" s="28">
        <v>0.0</v>
      </c>
      <c r="K704" s="25" t="s">
        <v>25</v>
      </c>
      <c r="L704" s="26">
        <v>5.0</v>
      </c>
      <c r="M704" s="26">
        <v>2.0</v>
      </c>
      <c r="N704" s="26">
        <v>1.0</v>
      </c>
      <c r="O704" s="26">
        <v>0.0</v>
      </c>
      <c r="P704" s="30"/>
      <c r="Q704" s="35">
        <v>354.0</v>
      </c>
      <c r="R704" s="32">
        <v>45863.0</v>
      </c>
      <c r="S704" s="32">
        <v>45490.0</v>
      </c>
      <c r="T704" s="29"/>
      <c r="U704" s="33"/>
      <c r="V704" s="1"/>
    </row>
    <row r="705" ht="24.0" customHeight="1">
      <c r="A705" s="1"/>
      <c r="B705" s="24" t="str">
        <f>HYPERLINK("https://www.compass.com/listing/136-east-56th-street-unit-9j-manhattan-ny-10022/1764691092599756873/view?agent_id=610d3f3370540700019b0833","136 East 56th Street, Unit 9J")</f>
        <v>136 East 56th Street, Unit 9J</v>
      </c>
      <c r="C705" s="25" t="s">
        <v>22</v>
      </c>
      <c r="D705" s="26" t="s">
        <v>23</v>
      </c>
      <c r="E705" s="27" t="str">
        <f>HYPERLINK("https://www.compass.com/building/136-east-56th-street-manhattan-ny/281952590260930501/","136 East 56th Street ")</f>
        <v>136 East 56th Street </v>
      </c>
      <c r="F705" s="25" t="s">
        <v>66</v>
      </c>
      <c r="G705" s="28">
        <v>695000.0</v>
      </c>
      <c r="H705" s="28">
        <v>719.0</v>
      </c>
      <c r="I705" s="28">
        <v>2208.0</v>
      </c>
      <c r="J705" s="28">
        <v>0.0</v>
      </c>
      <c r="K705" s="25" t="s">
        <v>25</v>
      </c>
      <c r="L705" s="26">
        <v>4.0</v>
      </c>
      <c r="M705" s="26">
        <v>2.0</v>
      </c>
      <c r="N705" s="26">
        <v>1.0</v>
      </c>
      <c r="O705" s="26">
        <v>0.0</v>
      </c>
      <c r="P705" s="26">
        <v>966.0</v>
      </c>
      <c r="Q705" s="35">
        <v>178.0</v>
      </c>
      <c r="R705" s="32">
        <v>45861.0</v>
      </c>
      <c r="S705" s="32">
        <v>45685.0</v>
      </c>
      <c r="T705" s="29"/>
      <c r="U705" s="33"/>
      <c r="V705" s="1"/>
    </row>
    <row r="706" ht="24.0" customHeight="1">
      <c r="A706" s="1"/>
      <c r="B706" s="24" t="str">
        <f>HYPERLINK("https://www.compass.com/listing/107-04-guy-r-brewer-boulevard-unit-7a-queens-ny-11433/1886367539805064169/view?agent_id=610d3f3370540700019b0833","107-04 Guy R Brewer Boulevard, Unit 7A")</f>
        <v>107-04 Guy R Brewer Boulevard, Unit 7A</v>
      </c>
      <c r="C706" s="25" t="s">
        <v>22</v>
      </c>
      <c r="D706" s="26" t="s">
        <v>23</v>
      </c>
      <c r="E706" s="27" t="str">
        <f>HYPERLINK("https://www.compass.com/building/107-04-guy-r-brewer-blvd-queens-ny-11433/307433751902464037/","107-04 Guy R Brewer Blvd")</f>
        <v>107-04 Guy R Brewer Blvd</v>
      </c>
      <c r="F706" s="25" t="s">
        <v>200</v>
      </c>
      <c r="G706" s="28">
        <v>379000.0</v>
      </c>
      <c r="H706" s="28">
        <v>466.0</v>
      </c>
      <c r="I706" s="28">
        <v>500.0</v>
      </c>
      <c r="J706" s="28">
        <v>3057.0</v>
      </c>
      <c r="K706" s="25" t="s">
        <v>28</v>
      </c>
      <c r="L706" s="26">
        <v>6.0</v>
      </c>
      <c r="M706" s="26">
        <v>2.0</v>
      </c>
      <c r="N706" s="26">
        <v>1.0</v>
      </c>
      <c r="O706" s="30"/>
      <c r="P706" s="26">
        <v>813.0</v>
      </c>
      <c r="Q706" s="35">
        <v>9.0</v>
      </c>
      <c r="R706" s="32">
        <v>45863.0</v>
      </c>
      <c r="S706" s="32">
        <v>45854.0</v>
      </c>
      <c r="T706" s="29"/>
      <c r="U706" s="33"/>
      <c r="V706" s="1"/>
    </row>
    <row r="707" ht="24.0" customHeight="1">
      <c r="A707" s="1"/>
      <c r="B707" s="24" t="str">
        <f>HYPERLINK("https://www.compass.com/listing/76-10-34th-avenue-unit-2m-queens-ny-11372/1876333817258940865/view?agent_id=610d3f3370540700019b0833","76-10 34th Avenue, Unit 2M")</f>
        <v>76-10 34th Avenue, Unit 2M</v>
      </c>
      <c r="C707" s="25" t="s">
        <v>22</v>
      </c>
      <c r="D707" s="26" t="s">
        <v>23</v>
      </c>
      <c r="E707" s="27" t="str">
        <f>HYPERLINK("https://www.compass.com/building/76-10-34th-ave-queens-ny-11372/293535118553809637/","76-10 34th Ave")</f>
        <v>76-10 34th Ave</v>
      </c>
      <c r="F707" s="25" t="s">
        <v>33</v>
      </c>
      <c r="G707" s="28">
        <v>399900.0</v>
      </c>
      <c r="H707" s="28">
        <v>457.0</v>
      </c>
      <c r="I707" s="28">
        <v>886.0</v>
      </c>
      <c r="J707" s="29"/>
      <c r="K707" s="25" t="s">
        <v>25</v>
      </c>
      <c r="L707" s="26">
        <v>4.0</v>
      </c>
      <c r="M707" s="26">
        <v>2.0</v>
      </c>
      <c r="N707" s="26">
        <v>1.0</v>
      </c>
      <c r="O707" s="30"/>
      <c r="P707" s="26">
        <v>875.0</v>
      </c>
      <c r="Q707" s="35">
        <v>23.0</v>
      </c>
      <c r="R707" s="32">
        <v>45856.0</v>
      </c>
      <c r="S707" s="32">
        <v>45840.0</v>
      </c>
      <c r="T707" s="29"/>
      <c r="U707" s="33"/>
      <c r="V707" s="1"/>
    </row>
    <row r="708" ht="24.0" customHeight="1">
      <c r="A708" s="1"/>
      <c r="B708" s="24" t="str">
        <f>HYPERLINK("https://www.compass.com/listing/2675-ocean-avenue-unit-3g-brooklyn-ny-11229/1874720067316838569/view?agent_id=610d3f3370540700019b0833","2675 Ocean Avenue, Unit 3G")</f>
        <v>2675 Ocean Avenue, Unit 3G</v>
      </c>
      <c r="C708" s="25" t="s">
        <v>22</v>
      </c>
      <c r="D708" s="26" t="s">
        <v>23</v>
      </c>
      <c r="E708" s="27" t="str">
        <f>HYPERLINK("https://www.compass.com/building/2675-ocean-ave-brooklyn-ny-11229/293417343202099237/","2675 Ocean Ave")</f>
        <v>2675 Ocean Ave</v>
      </c>
      <c r="F708" s="25" t="s">
        <v>70</v>
      </c>
      <c r="G708" s="28">
        <v>335000.0</v>
      </c>
      <c r="H708" s="28">
        <v>319.0</v>
      </c>
      <c r="I708" s="28">
        <v>825.0</v>
      </c>
      <c r="J708" s="29"/>
      <c r="K708" s="25" t="s">
        <v>25</v>
      </c>
      <c r="L708" s="26">
        <v>5.0</v>
      </c>
      <c r="M708" s="26">
        <v>2.0</v>
      </c>
      <c r="N708" s="26">
        <v>1.0</v>
      </c>
      <c r="O708" s="30"/>
      <c r="P708" s="34">
        <v>1050.0</v>
      </c>
      <c r="Q708" s="35">
        <v>25.0</v>
      </c>
      <c r="R708" s="32">
        <v>45838.0</v>
      </c>
      <c r="S708" s="32">
        <v>45838.0</v>
      </c>
      <c r="T708" s="29"/>
      <c r="U708" s="33"/>
      <c r="V708" s="1"/>
    </row>
    <row r="709" ht="24.0" customHeight="1">
      <c r="A709" s="1"/>
      <c r="B709" s="24" t="str">
        <f>HYPERLINK("https://www.compass.com/listing/2072-frederick-douglass-boulevard-unit-2b-manhattan-ny-10026/1727824923007441377/view?agent_id=610d3f3370540700019b0833","2072 Frederick Douglass Boulevard, Unit 2B")</f>
        <v>2072 Frederick Douglass Boulevard, Unit 2B</v>
      </c>
      <c r="C709" s="25" t="s">
        <v>22</v>
      </c>
      <c r="D709" s="26" t="s">
        <v>23</v>
      </c>
      <c r="E709" s="27" t="str">
        <f>HYPERLINK("https://www.compass.com/building/2072-frederick-douglass-blvd-manhattan-ny-10026/389278262845589573/","2072 Frederick Douglass Blvd")</f>
        <v>2072 Frederick Douglass Blvd</v>
      </c>
      <c r="F709" s="25" t="s">
        <v>45</v>
      </c>
      <c r="G709" s="28">
        <v>575000.0</v>
      </c>
      <c r="H709" s="28">
        <v>1045.0</v>
      </c>
      <c r="I709" s="28">
        <v>770.0</v>
      </c>
      <c r="J709" s="28">
        <v>4692.0</v>
      </c>
      <c r="K709" s="25" t="s">
        <v>28</v>
      </c>
      <c r="L709" s="26">
        <v>3.0</v>
      </c>
      <c r="M709" s="26">
        <v>2.0</v>
      </c>
      <c r="N709" s="26">
        <v>1.0</v>
      </c>
      <c r="O709" s="26">
        <v>0.0</v>
      </c>
      <c r="P709" s="26">
        <v>550.0</v>
      </c>
      <c r="Q709" s="35">
        <v>226.0</v>
      </c>
      <c r="R709" s="32">
        <v>45859.0</v>
      </c>
      <c r="S709" s="32">
        <v>45637.0</v>
      </c>
      <c r="T709" s="29"/>
      <c r="U709" s="33"/>
      <c r="V709" s="1"/>
    </row>
    <row r="710" ht="24.0" customHeight="1">
      <c r="A710" s="1"/>
      <c r="B710" s="24" t="str">
        <f>HYPERLINK("https://www.compass.com/listing/150-28-jewel-avenue-unit-1-queens-ny-11367/1886454515669692561/view?agent_id=610d3f3370540700019b0833","150-28 Jewel Avenue, Unit 1")</f>
        <v>150-28 Jewel Avenue, Unit 1</v>
      </c>
      <c r="C710" s="25" t="s">
        <v>22</v>
      </c>
      <c r="D710" s="26" t="s">
        <v>23</v>
      </c>
      <c r="E710" s="27" t="str">
        <f>HYPERLINK("https://www.compass.com/building/150-28-jewel-ave-queens-ny-11367/467295927771101709/","150-28 Jewel Ave")</f>
        <v>150-28 Jewel Ave</v>
      </c>
      <c r="F710" s="25" t="s">
        <v>142</v>
      </c>
      <c r="G710" s="28">
        <v>449000.0</v>
      </c>
      <c r="H710" s="28">
        <v>499.0</v>
      </c>
      <c r="I710" s="28">
        <v>1037.0</v>
      </c>
      <c r="J710" s="29"/>
      <c r="K710" s="25" t="s">
        <v>25</v>
      </c>
      <c r="L710" s="26">
        <v>4.0</v>
      </c>
      <c r="M710" s="26">
        <v>2.0</v>
      </c>
      <c r="N710" s="26">
        <v>1.0</v>
      </c>
      <c r="O710" s="30"/>
      <c r="P710" s="26">
        <v>900.0</v>
      </c>
      <c r="Q710" s="35">
        <v>9.0</v>
      </c>
      <c r="R710" s="32">
        <v>45863.0</v>
      </c>
      <c r="S710" s="32">
        <v>45854.0</v>
      </c>
      <c r="T710" s="29"/>
      <c r="U710" s="33"/>
      <c r="V710" s="1"/>
    </row>
    <row r="711" ht="24.0" customHeight="1">
      <c r="A711" s="1"/>
      <c r="B711" s="24" t="str">
        <f>HYPERLINK("https://www.compass.com/listing/70-40-45th-avenue-unit-1k-queens-ny-11377/1826734835398674745/view?agent_id=610d3f3370540700019b0833","70-40 45th Avenue, Unit 1K")</f>
        <v>70-40 45th Avenue, Unit 1K</v>
      </c>
      <c r="C711" s="25" t="s">
        <v>22</v>
      </c>
      <c r="D711" s="26" t="s">
        <v>23</v>
      </c>
      <c r="E711" s="26" t="s">
        <v>201</v>
      </c>
      <c r="F711" s="25" t="s">
        <v>137</v>
      </c>
      <c r="G711" s="28">
        <v>558000.0</v>
      </c>
      <c r="H711" s="28">
        <v>794.0</v>
      </c>
      <c r="I711" s="28">
        <v>826.0</v>
      </c>
      <c r="J711" s="28">
        <v>7320.0</v>
      </c>
      <c r="K711" s="25" t="s">
        <v>28</v>
      </c>
      <c r="L711" s="26">
        <v>4.0</v>
      </c>
      <c r="M711" s="26">
        <v>2.0</v>
      </c>
      <c r="N711" s="26">
        <v>1.0</v>
      </c>
      <c r="O711" s="30"/>
      <c r="P711" s="26">
        <v>703.0</v>
      </c>
      <c r="Q711" s="35">
        <v>92.0</v>
      </c>
      <c r="R711" s="32">
        <v>45773.0</v>
      </c>
      <c r="S711" s="32">
        <v>45771.0</v>
      </c>
      <c r="T711" s="29"/>
      <c r="U711" s="33"/>
      <c r="V711" s="1"/>
    </row>
    <row r="712" ht="24.0" customHeight="1">
      <c r="A712" s="1"/>
      <c r="B712" s="24" t="str">
        <f>HYPERLINK("https://www.compass.com/listing/504-west-139th-street-unit-5-manhattan-ny-10031/1103798049575728873/view?agent_id=610d3f3370540700019b0833","504 West 139th Street, Unit 5")</f>
        <v>504 West 139th Street, Unit 5</v>
      </c>
      <c r="C712" s="25" t="s">
        <v>22</v>
      </c>
      <c r="D712" s="26" t="s">
        <v>23</v>
      </c>
      <c r="E712" s="27" t="str">
        <f>HYPERLINK("https://www.compass.com/building/504-w-139th-st-manhattan-ny-10031/281998458825598341/","504 W 139th St")</f>
        <v>504 W 139th St</v>
      </c>
      <c r="F712" s="25" t="s">
        <v>71</v>
      </c>
      <c r="G712" s="28">
        <v>495000.0</v>
      </c>
      <c r="H712" s="28">
        <v>707.0</v>
      </c>
      <c r="I712" s="28">
        <v>559.0</v>
      </c>
      <c r="J712" s="28">
        <v>0.0</v>
      </c>
      <c r="K712" s="25" t="s">
        <v>25</v>
      </c>
      <c r="L712" s="26">
        <v>4.0</v>
      </c>
      <c r="M712" s="26">
        <v>2.0</v>
      </c>
      <c r="N712" s="26">
        <v>1.0</v>
      </c>
      <c r="O712" s="26">
        <v>0.0</v>
      </c>
      <c r="P712" s="26">
        <v>700.0</v>
      </c>
      <c r="Q712" s="35">
        <v>1037.0</v>
      </c>
      <c r="R712" s="32">
        <v>45853.0</v>
      </c>
      <c r="S712" s="32">
        <v>44826.0</v>
      </c>
      <c r="T712" s="29"/>
      <c r="U712" s="33"/>
      <c r="V712" s="1"/>
    </row>
    <row r="713" ht="24.0" customHeight="1">
      <c r="A713" s="1"/>
      <c r="B713" s="24" t="str">
        <f>HYPERLINK("https://www.compass.com/listing/224-33-kingsbury-avenue-unit-b-queens-ny-11364/1889973998485051313/view?agent_id=610d3f3370540700019b0833","224-33 Kingsbury Avenue, Unit B")</f>
        <v>224-33 Kingsbury Avenue, Unit B</v>
      </c>
      <c r="C713" s="25" t="s">
        <v>22</v>
      </c>
      <c r="D713" s="26" t="s">
        <v>23</v>
      </c>
      <c r="E713" s="27" t="str">
        <f>HYPERLINK("https://www.compass.com/building/224-33-kingsbury-ave-queens-ny-11364/307431776662068629/","224-33 Kingsbury Ave")</f>
        <v>224-33 Kingsbury Ave</v>
      </c>
      <c r="F713" s="25" t="s">
        <v>37</v>
      </c>
      <c r="G713" s="28">
        <v>398888.0</v>
      </c>
      <c r="H713" s="28">
        <v>464.0</v>
      </c>
      <c r="I713" s="28">
        <v>1191.0</v>
      </c>
      <c r="J713" s="29"/>
      <c r="K713" s="25" t="s">
        <v>25</v>
      </c>
      <c r="L713" s="26">
        <v>5.0</v>
      </c>
      <c r="M713" s="26">
        <v>2.0</v>
      </c>
      <c r="N713" s="26">
        <v>1.0</v>
      </c>
      <c r="O713" s="30"/>
      <c r="P713" s="26">
        <v>860.0</v>
      </c>
      <c r="Q713" s="35">
        <v>4.0</v>
      </c>
      <c r="R713" s="32">
        <v>45863.0</v>
      </c>
      <c r="S713" s="32">
        <v>45859.0</v>
      </c>
      <c r="T713" s="29"/>
      <c r="U713" s="33"/>
      <c r="V713" s="1"/>
    </row>
    <row r="714" ht="24.0" customHeight="1">
      <c r="A714" s="1"/>
      <c r="B714" s="24" t="str">
        <f>HYPERLINK("https://www.compass.com/listing/20-west-10th-road-queens-ny-11693/1883635972422307073/view?agent_id=610d3f3370540700019b0833","20 West 10th Road")</f>
        <v>20 West 10th Road</v>
      </c>
      <c r="C714" s="25" t="s">
        <v>22</v>
      </c>
      <c r="D714" s="26" t="s">
        <v>23</v>
      </c>
      <c r="E714" s="27" t="str">
        <f>HYPERLINK("https://www.compass.com/building/20-w-10th-rd-queens-ny-11693/293528071921840053/","20 W 10th Rd")</f>
        <v>20 W 10th Rd</v>
      </c>
      <c r="F714" s="25" t="s">
        <v>202</v>
      </c>
      <c r="G714" s="28">
        <v>499999.0</v>
      </c>
      <c r="H714" s="28">
        <v>488.0</v>
      </c>
      <c r="I714" s="28">
        <v>243.0</v>
      </c>
      <c r="J714" s="28">
        <v>2918.0</v>
      </c>
      <c r="K714" s="25" t="s">
        <v>97</v>
      </c>
      <c r="L714" s="26">
        <v>6.0</v>
      </c>
      <c r="M714" s="26">
        <v>2.0</v>
      </c>
      <c r="N714" s="26">
        <v>1.0</v>
      </c>
      <c r="O714" s="30"/>
      <c r="P714" s="34">
        <v>1025.0</v>
      </c>
      <c r="Q714" s="35">
        <v>13.0</v>
      </c>
      <c r="R714" s="32">
        <v>45851.0</v>
      </c>
      <c r="S714" s="32">
        <v>45850.0</v>
      </c>
      <c r="T714" s="29"/>
      <c r="U714" s="33"/>
      <c r="V714" s="1"/>
    </row>
    <row r="715" ht="24.0" customHeight="1">
      <c r="A715" s="1"/>
      <c r="B715" s="24" t="str">
        <f>HYPERLINK("https://www.compass.com/listing/1171-ocean-parkway-unit-2j-brooklyn-ny-11230/1892703272904859185/view?agent_id=610d3f3370540700019b0833","1171 Ocean Parkway, Unit 2J")</f>
        <v>1171 Ocean Parkway, Unit 2J</v>
      </c>
      <c r="C715" s="25" t="s">
        <v>22</v>
      </c>
      <c r="D715" s="26" t="s">
        <v>23</v>
      </c>
      <c r="E715" s="27" t="str">
        <f>HYPERLINK("https://www.compass.com/building/1171-ocean-pkwy-brooklyn-ny-11230/307443232807934069/","1171 Ocean Pkwy")</f>
        <v>1171 Ocean Pkwy</v>
      </c>
      <c r="F715" s="25" t="s">
        <v>34</v>
      </c>
      <c r="G715" s="28">
        <v>385000.0</v>
      </c>
      <c r="H715" s="28">
        <v>335.0</v>
      </c>
      <c r="I715" s="28">
        <v>944.0</v>
      </c>
      <c r="J715" s="29"/>
      <c r="K715" s="25" t="s">
        <v>25</v>
      </c>
      <c r="L715" s="26">
        <v>5.0</v>
      </c>
      <c r="M715" s="26">
        <v>2.0</v>
      </c>
      <c r="N715" s="26">
        <v>1.0</v>
      </c>
      <c r="O715" s="30"/>
      <c r="P715" s="34">
        <v>1150.0</v>
      </c>
      <c r="Q715" s="35">
        <v>1.0</v>
      </c>
      <c r="R715" s="32">
        <v>45863.0</v>
      </c>
      <c r="S715" s="32">
        <v>45862.0</v>
      </c>
      <c r="T715" s="29"/>
      <c r="U715" s="33"/>
      <c r="V715" s="1"/>
    </row>
    <row r="716" ht="24.0" customHeight="1">
      <c r="A716" s="1"/>
      <c r="B716" s="24" t="str">
        <f>HYPERLINK("https://www.compass.com/listing/139-15-83rd-avenue-unit-219-queens-ny-11435/1885042155184190329/view?agent_id=610d3f3370540700019b0833","139-15 83rd Avenue, Unit 219")</f>
        <v>139-15 83rd Avenue, Unit 219</v>
      </c>
      <c r="C716" s="25" t="s">
        <v>22</v>
      </c>
      <c r="D716" s="26" t="s">
        <v>23</v>
      </c>
      <c r="E716" s="27" t="str">
        <f>HYPERLINK("https://www.compass.com/building/139-15-83rd-ave-queens-ny-11435/293531355952770837/","139-15 83rd Ave")</f>
        <v>139-15 83rd Ave</v>
      </c>
      <c r="F716" s="25" t="s">
        <v>146</v>
      </c>
      <c r="G716" s="28">
        <v>289000.0</v>
      </c>
      <c r="H716" s="28">
        <v>361.0</v>
      </c>
      <c r="I716" s="28">
        <v>1038.0</v>
      </c>
      <c r="J716" s="29"/>
      <c r="K716" s="25" t="s">
        <v>25</v>
      </c>
      <c r="L716" s="26">
        <v>5.0</v>
      </c>
      <c r="M716" s="26">
        <v>2.0</v>
      </c>
      <c r="N716" s="26">
        <v>1.0</v>
      </c>
      <c r="O716" s="30"/>
      <c r="P716" s="26">
        <v>800.0</v>
      </c>
      <c r="Q716" s="35">
        <v>11.0</v>
      </c>
      <c r="R716" s="32">
        <v>45862.0</v>
      </c>
      <c r="S716" s="32">
        <v>45852.0</v>
      </c>
      <c r="T716" s="29"/>
      <c r="U716" s="33"/>
      <c r="V716" s="1"/>
    </row>
    <row r="717" ht="24.0" customHeight="1">
      <c r="A717" s="1"/>
      <c r="B717" s="24" t="str">
        <f>HYPERLINK("https://www.compass.com/listing/415-east-52nd-street-unit-1cb-manhattan-ny-10022/1768188268362290217/view?agent_id=610d3f3370540700019b0833","415 East 52nd Street, Unit 1CB")</f>
        <v>415 East 52nd Street, Unit 1CB</v>
      </c>
      <c r="C717" s="25" t="s">
        <v>22</v>
      </c>
      <c r="D717" s="26" t="s">
        <v>23</v>
      </c>
      <c r="E717" s="27" t="str">
        <f>HYPERLINK("https://www.compass.com/building/the-sutton-house-manhattan-ny/281955016388974133/","The Sutton House")</f>
        <v>The Sutton House</v>
      </c>
      <c r="F717" s="25" t="s">
        <v>66</v>
      </c>
      <c r="G717" s="28">
        <v>699000.0</v>
      </c>
      <c r="H717" s="28">
        <v>675.0</v>
      </c>
      <c r="I717" s="28">
        <v>1562.0</v>
      </c>
      <c r="J717" s="28">
        <v>0.0</v>
      </c>
      <c r="K717" s="25" t="s">
        <v>25</v>
      </c>
      <c r="L717" s="26">
        <v>4.0</v>
      </c>
      <c r="M717" s="26">
        <v>2.0</v>
      </c>
      <c r="N717" s="26">
        <v>1.0</v>
      </c>
      <c r="O717" s="26">
        <v>0.0</v>
      </c>
      <c r="P717" s="34">
        <v>1035.0</v>
      </c>
      <c r="Q717" s="35">
        <v>176.0</v>
      </c>
      <c r="R717" s="32">
        <v>45860.0</v>
      </c>
      <c r="S717" s="32">
        <v>45687.0</v>
      </c>
      <c r="T717" s="29"/>
      <c r="U717" s="33"/>
      <c r="V717" s="1"/>
    </row>
    <row r="718" ht="24.0" customHeight="1">
      <c r="A718" s="1"/>
      <c r="B718" s="24" t="str">
        <f>HYPERLINK("https://www.compass.com/listing/84-01-main-street-unit-730-queens-ny-11435/1821706920956499081/view?agent_id=610d3f3370540700019b0833","84-01 Main Street, Unit 730")</f>
        <v>84-01 Main Street, Unit 730</v>
      </c>
      <c r="C718" s="25" t="s">
        <v>22</v>
      </c>
      <c r="D718" s="26" t="s">
        <v>23</v>
      </c>
      <c r="E718" s="27" t="str">
        <f>HYPERLINK("https://www.compass.com/building/84-01-main-st-queens-ny-11435/293535101113885285/","84-01 Main St")</f>
        <v>84-01 Main St</v>
      </c>
      <c r="F718" s="25" t="s">
        <v>146</v>
      </c>
      <c r="G718" s="28">
        <v>399000.0</v>
      </c>
      <c r="H718" s="29"/>
      <c r="I718" s="28">
        <v>1328.0</v>
      </c>
      <c r="J718" s="28">
        <v>0.0</v>
      </c>
      <c r="K718" s="25" t="s">
        <v>25</v>
      </c>
      <c r="L718" s="26">
        <v>5.0</v>
      </c>
      <c r="M718" s="26">
        <v>2.0</v>
      </c>
      <c r="N718" s="26">
        <v>1.0</v>
      </c>
      <c r="O718" s="30"/>
      <c r="P718" s="26">
        <v>0.0</v>
      </c>
      <c r="Q718" s="35">
        <v>99.0</v>
      </c>
      <c r="R718" s="32">
        <v>45765.0</v>
      </c>
      <c r="S718" s="32">
        <v>45764.0</v>
      </c>
      <c r="T718" s="29"/>
      <c r="U718" s="33"/>
      <c r="V718" s="1"/>
    </row>
    <row r="719" ht="24.0" customHeight="1">
      <c r="A719" s="1"/>
      <c r="B719" s="24" t="str">
        <f>HYPERLINK("https://www.compass.com/listing/69-tiemann-place-unit-12-manhattan-ny-10027/1784906740316277193/view?agent_id=610d3f3370540700019b0833","69 Tiemann Place, Unit 12")</f>
        <v>69 Tiemann Place, Unit 12</v>
      </c>
      <c r="C719" s="25" t="s">
        <v>22</v>
      </c>
      <c r="D719" s="26" t="s">
        <v>23</v>
      </c>
      <c r="E719" s="27" t="str">
        <f>HYPERLINK("https://www.compass.com/building/69-tiemann-pl-manhattan-ny-10027/307452271113447413/","69 Tiemann Pl")</f>
        <v>69 Tiemann Pl</v>
      </c>
      <c r="F719" s="25" t="s">
        <v>41</v>
      </c>
      <c r="G719" s="28">
        <v>510000.0</v>
      </c>
      <c r="H719" s="29"/>
      <c r="I719" s="28">
        <v>1413.0</v>
      </c>
      <c r="J719" s="28">
        <v>0.0</v>
      </c>
      <c r="K719" s="25" t="s">
        <v>25</v>
      </c>
      <c r="L719" s="26">
        <v>5.0</v>
      </c>
      <c r="M719" s="26">
        <v>2.0</v>
      </c>
      <c r="N719" s="26">
        <v>1.0</v>
      </c>
      <c r="O719" s="26">
        <v>0.0</v>
      </c>
      <c r="P719" s="30"/>
      <c r="Q719" s="35">
        <v>152.0</v>
      </c>
      <c r="R719" s="32">
        <v>45861.0</v>
      </c>
      <c r="S719" s="32">
        <v>45711.0</v>
      </c>
      <c r="T719" s="29"/>
      <c r="U719" s="33"/>
      <c r="V719" s="1"/>
    </row>
    <row r="720" ht="24.0" customHeight="1">
      <c r="A720" s="1"/>
      <c r="B720" s="24" t="str">
        <f>HYPERLINK("https://www.compass.com/listing/135-39-78th-avenue-unit-23b-queens-ny-11367/1858414545202260265/view?agent_id=610d3f3370540700019b0833","135-39 78th Avenue, Unit 23B")</f>
        <v>135-39 78th Avenue, Unit 23B</v>
      </c>
      <c r="C720" s="25" t="s">
        <v>22</v>
      </c>
      <c r="D720" s="26" t="s">
        <v>23</v>
      </c>
      <c r="E720" s="27" t="str">
        <f>HYPERLINK("https://www.compass.com/building/135-39-78th-ave-queens-ny-11367/307457890960683749/","135-39 78th Ave")</f>
        <v>135-39 78th Ave</v>
      </c>
      <c r="F720" s="25" t="s">
        <v>142</v>
      </c>
      <c r="G720" s="28">
        <v>348000.0</v>
      </c>
      <c r="H720" s="28">
        <v>316.0</v>
      </c>
      <c r="I720" s="28">
        <v>2318.0</v>
      </c>
      <c r="J720" s="29"/>
      <c r="K720" s="25" t="s">
        <v>25</v>
      </c>
      <c r="L720" s="26">
        <v>5.0</v>
      </c>
      <c r="M720" s="26">
        <v>2.0</v>
      </c>
      <c r="N720" s="26">
        <v>1.0</v>
      </c>
      <c r="O720" s="30"/>
      <c r="P720" s="34">
        <v>1100.0</v>
      </c>
      <c r="Q720" s="35">
        <v>48.0</v>
      </c>
      <c r="R720" s="32">
        <v>45816.0</v>
      </c>
      <c r="S720" s="32">
        <v>45815.0</v>
      </c>
      <c r="T720" s="29"/>
      <c r="U720" s="33"/>
      <c r="V720" s="1"/>
    </row>
    <row r="721" ht="24.0" customHeight="1">
      <c r="A721" s="1"/>
      <c r="B721" s="24" t="str">
        <f>HYPERLINK("https://www.compass.com/listing/1919-madison-avenue-unit-516-manhattan-ny-10035/1855983531041532513/view?agent_id=610d3f3370540700019b0833","1919 Madison Avenue, Unit 516")</f>
        <v>1919 Madison Avenue, Unit 516</v>
      </c>
      <c r="C721" s="25" t="s">
        <v>22</v>
      </c>
      <c r="D721" s="26" t="s">
        <v>23</v>
      </c>
      <c r="E721" s="27" t="str">
        <f>HYPERLINK("https://www.compass.com/building/1919-madison-ave-manhattan-ny-10035/292914302245940933/","1919 Madison Ave")</f>
        <v>1919 Madison Ave</v>
      </c>
      <c r="F721" s="25" t="s">
        <v>45</v>
      </c>
      <c r="G721" s="28">
        <v>505000.0</v>
      </c>
      <c r="H721" s="28">
        <v>594.0</v>
      </c>
      <c r="I721" s="28">
        <v>1594.0</v>
      </c>
      <c r="J721" s="28">
        <v>0.0</v>
      </c>
      <c r="K721" s="25" t="s">
        <v>25</v>
      </c>
      <c r="L721" s="26">
        <v>4.0</v>
      </c>
      <c r="M721" s="26">
        <v>2.0</v>
      </c>
      <c r="N721" s="26">
        <v>1.0</v>
      </c>
      <c r="O721" s="26">
        <v>0.0</v>
      </c>
      <c r="P721" s="26">
        <v>850.0</v>
      </c>
      <c r="Q721" s="35">
        <v>51.0</v>
      </c>
      <c r="R721" s="32">
        <v>45812.0</v>
      </c>
      <c r="S721" s="32">
        <v>45812.0</v>
      </c>
      <c r="T721" s="29"/>
      <c r="U721" s="33"/>
      <c r="V721" s="1"/>
    </row>
    <row r="722" ht="24.0" customHeight="1">
      <c r="A722" s="1"/>
      <c r="B722" s="24" t="str">
        <f>HYPERLINK("https://www.compass.com/listing/133-b-edgewater-park-unit-133b-bronx-ny-10465/1839360681468893377/view?agent_id=610d3f3370540700019b0833","133 B Edgewater Park, Unit 133B")</f>
        <v>133 B Edgewater Park, Unit 133B</v>
      </c>
      <c r="C722" s="25" t="s">
        <v>22</v>
      </c>
      <c r="D722" s="26" t="s">
        <v>23</v>
      </c>
      <c r="E722" s="26" t="s">
        <v>203</v>
      </c>
      <c r="F722" s="25" t="s">
        <v>204</v>
      </c>
      <c r="G722" s="28">
        <v>349999.0</v>
      </c>
      <c r="H722" s="28">
        <v>389.0</v>
      </c>
      <c r="I722" s="28">
        <v>449.0</v>
      </c>
      <c r="J722" s="29"/>
      <c r="K722" s="25" t="s">
        <v>25</v>
      </c>
      <c r="L722" s="26">
        <v>6.0</v>
      </c>
      <c r="M722" s="26">
        <v>2.0</v>
      </c>
      <c r="N722" s="26">
        <v>1.0</v>
      </c>
      <c r="O722" s="30"/>
      <c r="P722" s="26">
        <v>900.0</v>
      </c>
      <c r="Q722" s="35">
        <v>74.0</v>
      </c>
      <c r="R722" s="32">
        <v>45790.0</v>
      </c>
      <c r="S722" s="32">
        <v>45789.0</v>
      </c>
      <c r="T722" s="29"/>
      <c r="U722" s="33"/>
      <c r="V722" s="1"/>
    </row>
    <row r="723" ht="24.0" customHeight="1">
      <c r="A723" s="1"/>
      <c r="B723" s="24" t="str">
        <f>HYPERLINK("https://www.compass.com/listing/1-fordham-hill-ovl-unit-12c-bronx-ny-10468/1882666363825580633/view?agent_id=610d3f3370540700019b0833","1 Fordham Hill Ovl, Unit 12C")</f>
        <v>1 Fordham Hill Ovl, Unit 12C</v>
      </c>
      <c r="C723" s="25" t="s">
        <v>22</v>
      </c>
      <c r="D723" s="26" t="s">
        <v>23</v>
      </c>
      <c r="E723" s="27" t="str">
        <f>HYPERLINK("https://www.compass.com/building/1-fordham-hill-oval-bronx-ny-10468/293531184783279333/","1 Fordham Hill Oval")</f>
        <v>1 Fordham Hill Oval</v>
      </c>
      <c r="F723" s="25" t="s">
        <v>126</v>
      </c>
      <c r="G723" s="28">
        <v>250000.0</v>
      </c>
      <c r="H723" s="28">
        <v>263.0</v>
      </c>
      <c r="I723" s="28">
        <v>1631.0</v>
      </c>
      <c r="J723" s="28">
        <v>0.0</v>
      </c>
      <c r="K723" s="25" t="s">
        <v>25</v>
      </c>
      <c r="L723" s="26">
        <v>4.0</v>
      </c>
      <c r="M723" s="26">
        <v>2.0</v>
      </c>
      <c r="N723" s="26">
        <v>1.0</v>
      </c>
      <c r="O723" s="26">
        <v>0.0</v>
      </c>
      <c r="P723" s="26">
        <v>950.0</v>
      </c>
      <c r="Q723" s="35">
        <v>29.0</v>
      </c>
      <c r="R723" s="32">
        <v>45849.0</v>
      </c>
      <c r="S723" s="32">
        <v>45834.0</v>
      </c>
      <c r="T723" s="29"/>
      <c r="U723" s="33"/>
      <c r="V723" s="1"/>
    </row>
    <row r="724" ht="24.0" customHeight="1">
      <c r="A724" s="1"/>
      <c r="B724" s="24" t="str">
        <f>HYPERLINK("https://www.compass.com/listing/2400-east-3rd-street-unit-406-brooklyn-ny-11223/1875895546674328017/view?agent_id=610d3f3370540700019b0833","2400 East 3rd Street, Unit 406")</f>
        <v>2400 East 3rd Street, Unit 406</v>
      </c>
      <c r="C724" s="25" t="s">
        <v>22</v>
      </c>
      <c r="D724" s="26" t="s">
        <v>23</v>
      </c>
      <c r="E724" s="27" t="str">
        <f>HYPERLINK("https://www.compass.com/building/2400-e-3rd-st-brooklyn-ny-11223/293531184909109141/","2400 E 3rd St")</f>
        <v>2400 E 3rd St</v>
      </c>
      <c r="F724" s="25" t="s">
        <v>205</v>
      </c>
      <c r="G724" s="28">
        <v>369000.0</v>
      </c>
      <c r="H724" s="28">
        <v>369.0</v>
      </c>
      <c r="I724" s="28">
        <v>1012.0</v>
      </c>
      <c r="J724" s="28">
        <v>0.0</v>
      </c>
      <c r="K724" s="25" t="s">
        <v>25</v>
      </c>
      <c r="L724" s="26">
        <v>4.0</v>
      </c>
      <c r="M724" s="26">
        <v>2.0</v>
      </c>
      <c r="N724" s="26">
        <v>1.0</v>
      </c>
      <c r="O724" s="30"/>
      <c r="P724" s="34">
        <v>1000.0</v>
      </c>
      <c r="Q724" s="35">
        <v>24.0</v>
      </c>
      <c r="R724" s="32">
        <v>45840.0</v>
      </c>
      <c r="S724" s="32">
        <v>45839.0</v>
      </c>
      <c r="T724" s="29"/>
      <c r="U724" s="33"/>
      <c r="V724" s="1"/>
    </row>
    <row r="725" ht="24.0" customHeight="1">
      <c r="A725" s="1"/>
      <c r="B725" s="24" t="str">
        <f>HYPERLINK("https://www.compass.com/listing/30-macombs-place-unit-61-manhattan-ny-10039/1808950609801954185/view?agent_id=610d3f3370540700019b0833","30 Macombs Place, Unit 61")</f>
        <v>30 Macombs Place, Unit 61</v>
      </c>
      <c r="C725" s="25" t="s">
        <v>22</v>
      </c>
      <c r="D725" s="26" t="s">
        <v>23</v>
      </c>
      <c r="E725" s="27" t="str">
        <f>HYPERLINK("https://www.compass.com/building/30-macombs-place-manhattan-ny/282032148590903605/","30 Macombs Place")</f>
        <v>30 Macombs Place</v>
      </c>
      <c r="F725" s="25" t="s">
        <v>32</v>
      </c>
      <c r="G725" s="28">
        <v>299999.0</v>
      </c>
      <c r="H725" s="28">
        <v>500.0</v>
      </c>
      <c r="I725" s="28">
        <v>800.0</v>
      </c>
      <c r="J725" s="29"/>
      <c r="K725" s="25" t="s">
        <v>25</v>
      </c>
      <c r="L725" s="26">
        <v>4.0</v>
      </c>
      <c r="M725" s="26">
        <v>2.0</v>
      </c>
      <c r="N725" s="26">
        <v>1.0</v>
      </c>
      <c r="O725" s="30"/>
      <c r="P725" s="26">
        <v>600.0</v>
      </c>
      <c r="Q725" s="35">
        <v>116.0</v>
      </c>
      <c r="R725" s="32">
        <v>45840.0</v>
      </c>
      <c r="S725" s="32">
        <v>45747.0</v>
      </c>
      <c r="T725" s="29"/>
      <c r="U725" s="33"/>
      <c r="V725" s="1"/>
    </row>
    <row r="726" ht="24.0" customHeight="1">
      <c r="A726" s="1"/>
      <c r="B726" s="24" t="str">
        <f>HYPERLINK("https://www.compass.com/listing/75-02-springfield-boulevard-unit-2-queens-ny-11364/1879730795880031617/view?agent_id=610d3f3370540700019b0833","75-02 Springfield Boulevard, Unit 2")</f>
        <v>75-02 Springfield Boulevard, Unit 2</v>
      </c>
      <c r="C726" s="25" t="s">
        <v>22</v>
      </c>
      <c r="D726" s="26" t="s">
        <v>23</v>
      </c>
      <c r="E726" s="27" t="str">
        <f>HYPERLINK("https://www.compass.com/building/75-02-springfield-blvd-queens-ny-11364/445085712372011917/","75-02 Springfield Blvd")</f>
        <v>75-02 Springfield Blvd</v>
      </c>
      <c r="F726" s="25" t="s">
        <v>37</v>
      </c>
      <c r="G726" s="28">
        <v>395000.0</v>
      </c>
      <c r="H726" s="29"/>
      <c r="I726" s="28">
        <v>1216.0</v>
      </c>
      <c r="J726" s="29"/>
      <c r="K726" s="25" t="s">
        <v>25</v>
      </c>
      <c r="L726" s="26">
        <v>5.0</v>
      </c>
      <c r="M726" s="26">
        <v>2.0</v>
      </c>
      <c r="N726" s="26">
        <v>1.0</v>
      </c>
      <c r="O726" s="30"/>
      <c r="P726" s="30"/>
      <c r="Q726" s="35">
        <v>18.0</v>
      </c>
      <c r="R726" s="32">
        <v>45846.0</v>
      </c>
      <c r="S726" s="32">
        <v>45845.0</v>
      </c>
      <c r="T726" s="29"/>
      <c r="U726" s="33"/>
      <c r="V726" s="1"/>
    </row>
    <row r="727" ht="24.0" customHeight="1">
      <c r="A727" s="1"/>
      <c r="B727" s="24" t="str">
        <f>HYPERLINK("https://www.compass.com/listing/348-west-38th-street-unit-11e-manhattan-ny-10018/1824090089701502409/view?agent_id=610d3f3370540700019b0833","348 West 38th Street, Unit 11E")</f>
        <v>348 West 38th Street, Unit 11E</v>
      </c>
      <c r="C727" s="25" t="s">
        <v>22</v>
      </c>
      <c r="D727" s="26" t="s">
        <v>23</v>
      </c>
      <c r="E727" s="27" t="str">
        <f>HYPERLINK("https://www.compass.com/building/348-w-38th-st-manhattan-ny-10018/292844263635484005/","348 W 38th St")</f>
        <v>348 W 38th St</v>
      </c>
      <c r="F727" s="25" t="s">
        <v>206</v>
      </c>
      <c r="G727" s="28">
        <v>1200000.0</v>
      </c>
      <c r="H727" s="29"/>
      <c r="I727" s="28">
        <v>2114.0</v>
      </c>
      <c r="J727" s="28">
        <v>0.0</v>
      </c>
      <c r="K727" s="25" t="s">
        <v>25</v>
      </c>
      <c r="L727" s="26">
        <v>4.0</v>
      </c>
      <c r="M727" s="26">
        <v>2.0</v>
      </c>
      <c r="N727" s="26">
        <v>1.0</v>
      </c>
      <c r="O727" s="26">
        <v>0.0</v>
      </c>
      <c r="P727" s="30"/>
      <c r="Q727" s="35">
        <v>95.0</v>
      </c>
      <c r="R727" s="32">
        <v>45844.0</v>
      </c>
      <c r="S727" s="32">
        <v>45768.0</v>
      </c>
      <c r="T727" s="29"/>
      <c r="U727" s="33"/>
      <c r="V727" s="1"/>
    </row>
    <row r="728" ht="24.0" customHeight="1">
      <c r="A728" s="1"/>
      <c r="B728" s="24" t="str">
        <f>HYPERLINK("https://www.compass.com/listing/501-west-123rd-street-unit-3a-manhattan-ny-10027/1700805088711853769/view?agent_id=610d3f3370540700019b0833","501 West 123rd Street, Unit 3A")</f>
        <v>501 West 123rd Street, Unit 3A</v>
      </c>
      <c r="C728" s="25" t="s">
        <v>22</v>
      </c>
      <c r="D728" s="26" t="s">
        <v>23</v>
      </c>
      <c r="E728" s="27" t="str">
        <f>HYPERLINK("https://www.compass.com/building/morningside-gardens-manhattan-ny/282059495302004517/","Morningside Gardens")</f>
        <v>Morningside Gardens</v>
      </c>
      <c r="F728" s="25" t="s">
        <v>41</v>
      </c>
      <c r="G728" s="28">
        <v>699000.0</v>
      </c>
      <c r="H728" s="28">
        <v>736.0</v>
      </c>
      <c r="I728" s="28">
        <v>1462.0</v>
      </c>
      <c r="J728" s="28">
        <v>0.0</v>
      </c>
      <c r="K728" s="25" t="s">
        <v>25</v>
      </c>
      <c r="L728" s="26">
        <v>4.0</v>
      </c>
      <c r="M728" s="26">
        <v>2.0</v>
      </c>
      <c r="N728" s="26">
        <v>1.0</v>
      </c>
      <c r="O728" s="26">
        <v>0.0</v>
      </c>
      <c r="P728" s="26">
        <v>950.0</v>
      </c>
      <c r="Q728" s="35">
        <v>204.0</v>
      </c>
      <c r="R728" s="32">
        <v>45816.0</v>
      </c>
      <c r="S728" s="32">
        <v>45598.0</v>
      </c>
      <c r="T728" s="29"/>
      <c r="U728" s="33"/>
      <c r="V728" s="1"/>
    </row>
    <row r="729" ht="24.0" customHeight="1">
      <c r="A729" s="1"/>
      <c r="B729" s="24" t="str">
        <f>HYPERLINK("https://www.compass.com/listing/150-west-51st-street-unit-1623-manhattan-ny-10019/1861114446673369777/view?agent_id=610d3f3370540700019b0833","150 West 51st Street, Unit 1623")</f>
        <v>150 West 51st Street, Unit 1623</v>
      </c>
      <c r="C729" s="25" t="s">
        <v>22</v>
      </c>
      <c r="D729" s="26" t="s">
        <v>23</v>
      </c>
      <c r="E729" s="27" t="str">
        <f>HYPERLINK("https://www.compass.com/building/the-executive-plaza-manhattan-ny/292848579993733925/","The Executive Plaza")</f>
        <v>The Executive Plaza</v>
      </c>
      <c r="F729" s="25" t="s">
        <v>67</v>
      </c>
      <c r="G729" s="28">
        <v>875000.0</v>
      </c>
      <c r="H729" s="28">
        <v>1029.0</v>
      </c>
      <c r="I729" s="28">
        <v>2071.0</v>
      </c>
      <c r="J729" s="28">
        <v>14133.0</v>
      </c>
      <c r="K729" s="25" t="s">
        <v>28</v>
      </c>
      <c r="L729" s="26">
        <v>4.0</v>
      </c>
      <c r="M729" s="26">
        <v>2.0</v>
      </c>
      <c r="N729" s="26">
        <v>1.0</v>
      </c>
      <c r="O729" s="26">
        <v>0.0</v>
      </c>
      <c r="P729" s="26">
        <v>850.0</v>
      </c>
      <c r="Q729" s="35">
        <v>44.0</v>
      </c>
      <c r="R729" s="32">
        <v>45852.0</v>
      </c>
      <c r="S729" s="32">
        <v>45819.0</v>
      </c>
      <c r="T729" s="29"/>
      <c r="U729" s="33"/>
      <c r="V729" s="1"/>
    </row>
    <row r="730" ht="24.0" customHeight="1">
      <c r="A730" s="1"/>
      <c r="B730" s="24" t="str">
        <f>HYPERLINK("https://www.compass.com/listing/170-park-row-unit-7c-manhattan-ny-10038/1785042985469485185/view?agent_id=610d3f3370540700019b0833","170 Park Row, Unit 7C")</f>
        <v>170 Park Row, Unit 7C</v>
      </c>
      <c r="C730" s="25" t="s">
        <v>22</v>
      </c>
      <c r="D730" s="26" t="s">
        <v>23</v>
      </c>
      <c r="E730" s="27" t="str">
        <f>HYPERLINK("https://www.compass.com/building/170-park-row-manhattan-ny-10038/344162628801804981/","170 Park Row")</f>
        <v>170 Park Row</v>
      </c>
      <c r="F730" s="25" t="s">
        <v>109</v>
      </c>
      <c r="G730" s="28">
        <v>1100000.0</v>
      </c>
      <c r="H730" s="29"/>
      <c r="I730" s="28">
        <v>2110.0</v>
      </c>
      <c r="J730" s="28">
        <v>0.0</v>
      </c>
      <c r="K730" s="25" t="s">
        <v>25</v>
      </c>
      <c r="L730" s="26">
        <v>4.0</v>
      </c>
      <c r="M730" s="26">
        <v>2.0</v>
      </c>
      <c r="N730" s="26">
        <v>1.0</v>
      </c>
      <c r="O730" s="26">
        <v>0.0</v>
      </c>
      <c r="P730" s="30"/>
      <c r="Q730" s="35">
        <v>149.0</v>
      </c>
      <c r="R730" s="32">
        <v>45862.0</v>
      </c>
      <c r="S730" s="32">
        <v>45714.0</v>
      </c>
      <c r="T730" s="29"/>
      <c r="U730" s="33"/>
      <c r="V730" s="1"/>
    </row>
    <row r="731" ht="24.0" customHeight="1">
      <c r="A731" s="1"/>
      <c r="B731" s="24" t="str">
        <f>HYPERLINK("https://www.compass.com/listing/67-63-136th-street-unit-a-queens-ny-11367/1842313987612821057/view?agent_id=610d3f3370540700019b0833","67-63 136th Street, Unit A")</f>
        <v>67-63 136th Street, Unit A</v>
      </c>
      <c r="C731" s="25" t="s">
        <v>22</v>
      </c>
      <c r="D731" s="26" t="s">
        <v>23</v>
      </c>
      <c r="E731" s="26" t="s">
        <v>207</v>
      </c>
      <c r="F731" s="25" t="s">
        <v>142</v>
      </c>
      <c r="G731" s="28">
        <v>379000.0</v>
      </c>
      <c r="H731" s="28">
        <v>474.0</v>
      </c>
      <c r="I731" s="28">
        <v>1054.0</v>
      </c>
      <c r="J731" s="29"/>
      <c r="K731" s="25" t="s">
        <v>25</v>
      </c>
      <c r="L731" s="26">
        <v>4.0</v>
      </c>
      <c r="M731" s="26">
        <v>2.0</v>
      </c>
      <c r="N731" s="26">
        <v>1.0</v>
      </c>
      <c r="O731" s="30"/>
      <c r="P731" s="26">
        <v>800.0</v>
      </c>
      <c r="Q731" s="35">
        <v>70.0</v>
      </c>
      <c r="R731" s="32">
        <v>45795.0</v>
      </c>
      <c r="S731" s="32">
        <v>45793.0</v>
      </c>
      <c r="T731" s="29"/>
      <c r="U731" s="33"/>
      <c r="V731" s="1"/>
    </row>
    <row r="732" ht="24.0" customHeight="1">
      <c r="A732" s="1"/>
      <c r="B732" s="24" t="str">
        <f>HYPERLINK("https://www.compass.com/listing/100-la-salle-street-unit-4a-manhattan-ny-10027/1791511239044381833/view?agent_id=610d3f3370540700019b0833","100 La Salle Street, Unit 4A")</f>
        <v>100 La Salle Street, Unit 4A</v>
      </c>
      <c r="C732" s="25" t="s">
        <v>22</v>
      </c>
      <c r="D732" s="26" t="s">
        <v>23</v>
      </c>
      <c r="E732" s="27" t="str">
        <f>HYPERLINK("https://www.compass.com/building/morningside-gardens-manhattan-ny/282059026127160645/","Morningside Gardens")</f>
        <v>Morningside Gardens</v>
      </c>
      <c r="F732" s="25" t="s">
        <v>41</v>
      </c>
      <c r="G732" s="28">
        <v>650000.0</v>
      </c>
      <c r="H732" s="28">
        <v>684.0</v>
      </c>
      <c r="I732" s="28">
        <v>1481.0</v>
      </c>
      <c r="J732" s="28">
        <v>0.0</v>
      </c>
      <c r="K732" s="25" t="s">
        <v>25</v>
      </c>
      <c r="L732" s="26">
        <v>4.0</v>
      </c>
      <c r="M732" s="26">
        <v>2.0</v>
      </c>
      <c r="N732" s="26">
        <v>1.0</v>
      </c>
      <c r="O732" s="26">
        <v>0.0</v>
      </c>
      <c r="P732" s="26">
        <v>950.0</v>
      </c>
      <c r="Q732" s="35">
        <v>120.0</v>
      </c>
      <c r="R732" s="32">
        <v>45847.0</v>
      </c>
      <c r="S732" s="32">
        <v>45722.0</v>
      </c>
      <c r="T732" s="29"/>
      <c r="U732" s="33"/>
      <c r="V732" s="1"/>
    </row>
    <row r="733" ht="24.0" customHeight="1">
      <c r="A733" s="1"/>
      <c r="B733" s="24" t="str">
        <f>HYPERLINK("https://www.compass.com/listing/231-west-148th-street-unit-2b-manhattan-ny-10039/1497592831576132377/view?agent_id=610d3f3370540700019b0833","231 West 148th Street, Unit 2B")</f>
        <v>231 West 148th Street, Unit 2B</v>
      </c>
      <c r="C733" s="25" t="s">
        <v>22</v>
      </c>
      <c r="D733" s="26" t="s">
        <v>23</v>
      </c>
      <c r="E733" s="27" t="str">
        <f>HYPERLINK("https://www.compass.com/building/231-w-148th-st-manhattan-ny-10039/307453481304473093/","231 W 148th St")</f>
        <v>231 W 148th St</v>
      </c>
      <c r="F733" s="25" t="s">
        <v>32</v>
      </c>
      <c r="G733" s="28">
        <v>460000.0</v>
      </c>
      <c r="H733" s="28">
        <v>418.0</v>
      </c>
      <c r="I733" s="28">
        <v>800.0</v>
      </c>
      <c r="J733" s="28">
        <v>0.0</v>
      </c>
      <c r="K733" s="25" t="s">
        <v>25</v>
      </c>
      <c r="L733" s="26">
        <v>5.0</v>
      </c>
      <c r="M733" s="26">
        <v>2.0</v>
      </c>
      <c r="N733" s="30"/>
      <c r="O733" s="30"/>
      <c r="P733" s="34">
        <v>1100.0</v>
      </c>
      <c r="Q733" s="35">
        <v>588.0</v>
      </c>
      <c r="R733" s="32">
        <v>45674.0</v>
      </c>
      <c r="S733" s="32">
        <v>45257.0</v>
      </c>
      <c r="T733" s="29"/>
      <c r="U733" s="33"/>
      <c r="V733" s="1"/>
    </row>
    <row r="734" ht="24.0" customHeight="1">
      <c r="A734" s="1"/>
      <c r="B734" s="24" t="str">
        <f>HYPERLINK("https://www.compass.com/listing/600-clarence-avenue-unit-1j-bronx-ny-10465/1881279436701307393/view?agent_id=610d3f3370540700019b0833","600 Clarence Avenue, Unit 1J")</f>
        <v>600 Clarence Avenue, Unit 1J</v>
      </c>
      <c r="C734" s="25" t="s">
        <v>22</v>
      </c>
      <c r="D734" s="26" t="s">
        <v>23</v>
      </c>
      <c r="E734" s="27" t="str">
        <f>HYPERLINK("https://www.compass.com/building/600-clarence-ave-bronx-ny-10465/293528372745713877/","600 Clarence Ave")</f>
        <v>600 Clarence Ave</v>
      </c>
      <c r="F734" s="25" t="s">
        <v>208</v>
      </c>
      <c r="G734" s="28">
        <v>545000.0</v>
      </c>
      <c r="H734" s="28">
        <v>640.0</v>
      </c>
      <c r="I734" s="28">
        <v>1172.0</v>
      </c>
      <c r="J734" s="28">
        <v>4704.0</v>
      </c>
      <c r="K734" s="25" t="s">
        <v>28</v>
      </c>
      <c r="L734" s="26">
        <v>5.0</v>
      </c>
      <c r="M734" s="26">
        <v>2.0</v>
      </c>
      <c r="N734" s="26">
        <v>1.0</v>
      </c>
      <c r="O734" s="30"/>
      <c r="P734" s="26">
        <v>851.0</v>
      </c>
      <c r="Q734" s="35">
        <v>16.0</v>
      </c>
      <c r="R734" s="32">
        <v>45848.0</v>
      </c>
      <c r="S734" s="32">
        <v>45847.0</v>
      </c>
      <c r="T734" s="29"/>
      <c r="U734" s="33"/>
      <c r="V734" s="1"/>
    </row>
    <row r="735" ht="24.0" customHeight="1">
      <c r="A735" s="1"/>
      <c r="B735" s="24" t="str">
        <f>HYPERLINK("https://www.compass.com/listing/67-25-clyde-street-unit-5d-queens-ny-11375/1874746575662061217/view?agent_id=610d3f3370540700019b0833","67-25 Clyde Street, Unit 5D")</f>
        <v>67-25 Clyde Street, Unit 5D</v>
      </c>
      <c r="C735" s="25" t="s">
        <v>22</v>
      </c>
      <c r="D735" s="26" t="s">
        <v>23</v>
      </c>
      <c r="E735" s="27" t="str">
        <f>HYPERLINK("https://www.compass.com/building/67-25-clyde-st-queens-ny-11375/293533605114745717/","67-25 Clyde St")</f>
        <v>67-25 Clyde St</v>
      </c>
      <c r="F735" s="25" t="s">
        <v>166</v>
      </c>
      <c r="G735" s="28">
        <v>410000.0</v>
      </c>
      <c r="H735" s="28">
        <v>509.0</v>
      </c>
      <c r="I735" s="28">
        <v>1163.0</v>
      </c>
      <c r="J735" s="29"/>
      <c r="K735" s="25" t="s">
        <v>25</v>
      </c>
      <c r="L735" s="26">
        <v>5.0</v>
      </c>
      <c r="M735" s="26">
        <v>2.0</v>
      </c>
      <c r="N735" s="26">
        <v>1.0</v>
      </c>
      <c r="O735" s="30"/>
      <c r="P735" s="26">
        <v>806.0</v>
      </c>
      <c r="Q735" s="35">
        <v>25.0</v>
      </c>
      <c r="R735" s="32">
        <v>45841.0</v>
      </c>
      <c r="S735" s="32">
        <v>45838.0</v>
      </c>
      <c r="T735" s="29"/>
      <c r="U735" s="33"/>
      <c r="V735" s="1"/>
    </row>
    <row r="736" ht="24.0" customHeight="1">
      <c r="A736" s="1"/>
      <c r="B736" s="24" t="str">
        <f>HYPERLINK("https://www.compass.com/listing/300-east-40th-street-unit-5c-manhattan-ny-10016/1777813780590397961/view?agent_id=610d3f3370540700019b0833","300 East 40th Street, Unit 5C")</f>
        <v>300 East 40th Street, Unit 5C</v>
      </c>
      <c r="C736" s="25" t="s">
        <v>22</v>
      </c>
      <c r="D736" s="26" t="s">
        <v>23</v>
      </c>
      <c r="E736" s="27" t="str">
        <f>HYPERLINK("https://www.compass.com/building/the-churchill-manhattan-ny/281939423015264389/","The Churchill")</f>
        <v>The Churchill</v>
      </c>
      <c r="F736" s="25" t="s">
        <v>72</v>
      </c>
      <c r="G736" s="28">
        <v>1015000.0</v>
      </c>
      <c r="H736" s="28">
        <v>902.0</v>
      </c>
      <c r="I736" s="28">
        <v>2362.0</v>
      </c>
      <c r="J736" s="28">
        <v>0.0</v>
      </c>
      <c r="K736" s="25" t="s">
        <v>209</v>
      </c>
      <c r="L736" s="26">
        <v>5.0</v>
      </c>
      <c r="M736" s="26">
        <v>2.0</v>
      </c>
      <c r="N736" s="26">
        <v>1.0</v>
      </c>
      <c r="O736" s="26">
        <v>0.0</v>
      </c>
      <c r="P736" s="34">
        <v>1125.0</v>
      </c>
      <c r="Q736" s="35">
        <v>136.0</v>
      </c>
      <c r="R736" s="32">
        <v>45863.0</v>
      </c>
      <c r="S736" s="32">
        <v>45703.0</v>
      </c>
      <c r="T736" s="29"/>
      <c r="U736" s="33"/>
      <c r="V736" s="1"/>
    </row>
    <row r="737" ht="24.0" customHeight="1">
      <c r="A737" s="1"/>
      <c r="B737" s="24" t="str">
        <f>HYPERLINK("https://www.compass.com/listing/607-west-136th-street-unit-53-manhattan-ny-10031/1603167773623915681/view?agent_id=610d3f3370540700019b0833","607 West 136th Street, Unit 53")</f>
        <v>607 West 136th Street, Unit 53</v>
      </c>
      <c r="C737" s="25" t="s">
        <v>22</v>
      </c>
      <c r="D737" s="26" t="s">
        <v>23</v>
      </c>
      <c r="E737" s="27" t="str">
        <f>HYPERLINK("https://www.compass.com/building/607-w-136th-st-manhattan-ny-10031/282001973383915269/","607 W 136th St")</f>
        <v>607 W 136th St</v>
      </c>
      <c r="F737" s="25" t="s">
        <v>71</v>
      </c>
      <c r="G737" s="28">
        <v>515000.0</v>
      </c>
      <c r="H737" s="29"/>
      <c r="I737" s="28">
        <v>611.0</v>
      </c>
      <c r="J737" s="28">
        <v>0.0</v>
      </c>
      <c r="K737" s="25" t="s">
        <v>25</v>
      </c>
      <c r="L737" s="26">
        <v>4.0</v>
      </c>
      <c r="M737" s="26">
        <v>2.0</v>
      </c>
      <c r="N737" s="26">
        <v>1.0</v>
      </c>
      <c r="O737" s="30"/>
      <c r="P737" s="30"/>
      <c r="Q737" s="35">
        <v>399.0</v>
      </c>
      <c r="R737" s="32">
        <v>45463.0</v>
      </c>
      <c r="S737" s="32">
        <v>45463.0</v>
      </c>
      <c r="T737" s="29"/>
      <c r="U737" s="33"/>
      <c r="V737" s="1"/>
    </row>
    <row r="738" ht="24.0" customHeight="1">
      <c r="A738" s="1"/>
      <c r="B738" s="24" t="str">
        <f>HYPERLINK("https://www.compass.com/listing/260-beach-81st-street-unit-6k-queens-ny-11693/1872740301252418217/view?agent_id=610d3f3370540700019b0833","260 Beach 81st Street, Unit 6K")</f>
        <v>260 Beach 81st Street, Unit 6K</v>
      </c>
      <c r="C738" s="25" t="s">
        <v>22</v>
      </c>
      <c r="D738" s="26" t="s">
        <v>23</v>
      </c>
      <c r="E738" s="27" t="str">
        <f>HYPERLINK("https://www.compass.com/building/260-beach-81st-st-queens-ny-11693/307435657970099941/","260 Beach 81st St")</f>
        <v>260 Beach 81st St</v>
      </c>
      <c r="F738" s="25" t="s">
        <v>35</v>
      </c>
      <c r="G738" s="28">
        <v>435000.0</v>
      </c>
      <c r="H738" s="28">
        <v>483.0</v>
      </c>
      <c r="I738" s="28">
        <v>975.0</v>
      </c>
      <c r="J738" s="28">
        <v>3005.0</v>
      </c>
      <c r="K738" s="25" t="s">
        <v>28</v>
      </c>
      <c r="L738" s="26">
        <v>5.0</v>
      </c>
      <c r="M738" s="26">
        <v>2.0</v>
      </c>
      <c r="N738" s="26">
        <v>1.0</v>
      </c>
      <c r="O738" s="30"/>
      <c r="P738" s="26">
        <v>900.0</v>
      </c>
      <c r="Q738" s="35">
        <v>28.0</v>
      </c>
      <c r="R738" s="32">
        <v>45836.0</v>
      </c>
      <c r="S738" s="32">
        <v>45835.0</v>
      </c>
      <c r="T738" s="29"/>
      <c r="U738" s="33"/>
      <c r="V738" s="1"/>
    </row>
    <row r="739" ht="24.0" customHeight="1">
      <c r="A739" s="1"/>
      <c r="B739" s="24" t="str">
        <f>HYPERLINK("https://www.compass.com/listing/2815-ocean-parkway-unit-4i-brooklyn-ny-11235/1882439214438510977/view?agent_id=610d3f3370540700019b0833","2815 Ocean Parkway, Unit 4I")</f>
        <v>2815 Ocean Parkway, Unit 4I</v>
      </c>
      <c r="C739" s="25" t="s">
        <v>22</v>
      </c>
      <c r="D739" s="26" t="s">
        <v>23</v>
      </c>
      <c r="E739" s="27" t="str">
        <f>HYPERLINK("https://www.compass.com/building/2815-ocean-pkwy-brooklyn-ny-11235/293535381905746997/","2815 Ocean Pkwy")</f>
        <v>2815 Ocean Pkwy</v>
      </c>
      <c r="F739" s="25" t="s">
        <v>74</v>
      </c>
      <c r="G739" s="28">
        <v>489500.0</v>
      </c>
      <c r="H739" s="28">
        <v>408.0</v>
      </c>
      <c r="I739" s="28">
        <v>1045.0</v>
      </c>
      <c r="J739" s="28">
        <v>0.0</v>
      </c>
      <c r="K739" s="25" t="s">
        <v>25</v>
      </c>
      <c r="L739" s="26">
        <v>6.0</v>
      </c>
      <c r="M739" s="26">
        <v>2.0</v>
      </c>
      <c r="N739" s="26">
        <v>1.0</v>
      </c>
      <c r="O739" s="30"/>
      <c r="P739" s="34">
        <v>1200.0</v>
      </c>
      <c r="Q739" s="35">
        <v>15.0</v>
      </c>
      <c r="R739" s="32">
        <v>45849.0</v>
      </c>
      <c r="S739" s="32">
        <v>45848.0</v>
      </c>
      <c r="T739" s="29"/>
      <c r="U739" s="33"/>
      <c r="V739" s="1"/>
    </row>
    <row r="740" ht="24.0" customHeight="1">
      <c r="A740" s="1"/>
      <c r="B740" s="24" t="str">
        <f>HYPERLINK("https://www.compass.com/listing/254-07-74th-avenue-unit-a-queens-ny-11004/1888162098583727321/view?agent_id=610d3f3370540700019b0833","254-07 74th Avenue, Unit A")</f>
        <v>254-07 74th Avenue, Unit A</v>
      </c>
      <c r="C740" s="25" t="s">
        <v>22</v>
      </c>
      <c r="D740" s="26" t="s">
        <v>23</v>
      </c>
      <c r="E740" s="27" t="str">
        <f>HYPERLINK("https://www.compass.com/building/254-07-74th-ave-queens-ny-11004/440456510997529701/","254-07 74th Ave")</f>
        <v>254-07 74th Ave</v>
      </c>
      <c r="F740" s="25" t="s">
        <v>92</v>
      </c>
      <c r="G740" s="28">
        <v>399000.0</v>
      </c>
      <c r="H740" s="28">
        <v>469.0</v>
      </c>
      <c r="I740" s="28">
        <v>739.0</v>
      </c>
      <c r="J740" s="29"/>
      <c r="K740" s="25" t="s">
        <v>25</v>
      </c>
      <c r="L740" s="26">
        <v>5.0</v>
      </c>
      <c r="M740" s="26">
        <v>2.0</v>
      </c>
      <c r="N740" s="26">
        <v>1.0</v>
      </c>
      <c r="O740" s="30"/>
      <c r="P740" s="26">
        <v>850.0</v>
      </c>
      <c r="Q740" s="35">
        <v>6.0</v>
      </c>
      <c r="R740" s="32">
        <v>45863.0</v>
      </c>
      <c r="S740" s="32">
        <v>45857.0</v>
      </c>
      <c r="T740" s="29"/>
      <c r="U740" s="33"/>
      <c r="V740" s="1"/>
    </row>
    <row r="741" ht="24.0" customHeight="1">
      <c r="A741" s="1"/>
      <c r="B741" s="24" t="str">
        <f>HYPERLINK("https://www.compass.com/listing/2156-cruger-avenue-unit-5g-bronx-ny-10462/1876196268330786921/view?agent_id=610d3f3370540700019b0833","2156 Cruger Avenue, Unit 5G")</f>
        <v>2156 Cruger Avenue, Unit 5G</v>
      </c>
      <c r="C741" s="25" t="s">
        <v>22</v>
      </c>
      <c r="D741" s="26" t="s">
        <v>23</v>
      </c>
      <c r="E741" s="27" t="str">
        <f>HYPERLINK("https://www.compass.com/building/2156-cruger-ave-bronx-ny-10462/293535114921541573/","2156 Cruger Ave")</f>
        <v>2156 Cruger Ave</v>
      </c>
      <c r="F741" s="25" t="s">
        <v>147</v>
      </c>
      <c r="G741" s="28">
        <v>185000.0</v>
      </c>
      <c r="H741" s="28">
        <v>185.0</v>
      </c>
      <c r="I741" s="28">
        <v>1300.0</v>
      </c>
      <c r="J741" s="29"/>
      <c r="K741" s="25" t="s">
        <v>25</v>
      </c>
      <c r="L741" s="26">
        <v>5.0</v>
      </c>
      <c r="M741" s="26">
        <v>2.0</v>
      </c>
      <c r="N741" s="26">
        <v>1.0</v>
      </c>
      <c r="O741" s="30"/>
      <c r="P741" s="34">
        <v>1000.0</v>
      </c>
      <c r="Q741" s="35">
        <v>23.0</v>
      </c>
      <c r="R741" s="32">
        <v>45860.0</v>
      </c>
      <c r="S741" s="32">
        <v>45840.0</v>
      </c>
      <c r="T741" s="29"/>
      <c r="U741" s="33"/>
      <c r="V741" s="1"/>
    </row>
    <row r="742" ht="24.0" customHeight="1">
      <c r="A742" s="1"/>
      <c r="B742" s="24" t="str">
        <f>HYPERLINK("https://www.compass.com/listing/56-saturn-lane-staten-island-ny-10314/1890853649345094745/view?agent_id=610d3f3370540700019b0833","56 Saturn Lane")</f>
        <v>56 Saturn Lane</v>
      </c>
      <c r="C742" s="25" t="s">
        <v>22</v>
      </c>
      <c r="D742" s="26" t="s">
        <v>23</v>
      </c>
      <c r="E742" s="27" t="str">
        <f>HYPERLINK("https://www.compass.com/building/56-saturn-ln-staten-island-ny-10314/307458877117068837/","56 Saturn Ln")</f>
        <v>56 Saturn Ln</v>
      </c>
      <c r="F742" s="25" t="s">
        <v>210</v>
      </c>
      <c r="G742" s="28">
        <v>499000.0</v>
      </c>
      <c r="H742" s="28">
        <v>533.0</v>
      </c>
      <c r="I742" s="28">
        <v>525.0</v>
      </c>
      <c r="J742" s="28">
        <v>3270.0</v>
      </c>
      <c r="K742" s="36"/>
      <c r="L742" s="26">
        <v>5.0</v>
      </c>
      <c r="M742" s="26">
        <v>2.0</v>
      </c>
      <c r="N742" s="26">
        <v>1.0</v>
      </c>
      <c r="O742" s="26">
        <v>0.0</v>
      </c>
      <c r="P742" s="26">
        <v>937.0</v>
      </c>
      <c r="Q742" s="35">
        <v>3.0</v>
      </c>
      <c r="R742" s="32">
        <v>45863.0</v>
      </c>
      <c r="S742" s="32">
        <v>45860.0</v>
      </c>
      <c r="T742" s="29"/>
      <c r="U742" s="33"/>
      <c r="V742" s="1"/>
    </row>
    <row r="743" ht="24.0" customHeight="1">
      <c r="A743" s="1"/>
      <c r="B743" s="24" t="str">
        <f>HYPERLINK("https://www.compass.com/listing/1727-lacombe-avenue-unit-3b-bronx-ny-10473/1872650325085204273/view?agent_id=610d3f3370540700019b0833","1727 Lacombe Avenue, Unit 3B")</f>
        <v>1727 Lacombe Avenue, Unit 3B</v>
      </c>
      <c r="C743" s="25" t="s">
        <v>22</v>
      </c>
      <c r="D743" s="26" t="s">
        <v>23</v>
      </c>
      <c r="E743" s="26" t="s">
        <v>211</v>
      </c>
      <c r="F743" s="25" t="s">
        <v>121</v>
      </c>
      <c r="G743" s="28">
        <v>235800.0</v>
      </c>
      <c r="H743" s="28">
        <v>305.0</v>
      </c>
      <c r="I743" s="28">
        <v>613.0</v>
      </c>
      <c r="J743" s="29"/>
      <c r="K743" s="25" t="s">
        <v>25</v>
      </c>
      <c r="L743" s="26">
        <v>4.0</v>
      </c>
      <c r="M743" s="26">
        <v>2.0</v>
      </c>
      <c r="N743" s="26">
        <v>1.0</v>
      </c>
      <c r="O743" s="30"/>
      <c r="P743" s="26">
        <v>773.0</v>
      </c>
      <c r="Q743" s="35">
        <v>28.0</v>
      </c>
      <c r="R743" s="32">
        <v>45863.0</v>
      </c>
      <c r="S743" s="32">
        <v>45835.0</v>
      </c>
      <c r="T743" s="29"/>
      <c r="U743" s="33"/>
      <c r="V743" s="1"/>
    </row>
    <row r="744" ht="24.0" customHeight="1">
      <c r="A744" s="1"/>
      <c r="B744" s="24" t="str">
        <f>HYPERLINK("https://www.compass.com/listing/1727-lacombe-avenue-unit-4b-bronx-ny-10473/1872656405374389385/view?agent_id=610d3f3370540700019b0833","1727 Lacombe Avenue, Unit 4B")</f>
        <v>1727 Lacombe Avenue, Unit 4B</v>
      </c>
      <c r="C744" s="25" t="s">
        <v>22</v>
      </c>
      <c r="D744" s="26" t="s">
        <v>23</v>
      </c>
      <c r="E744" s="26" t="s">
        <v>211</v>
      </c>
      <c r="F744" s="25" t="s">
        <v>121</v>
      </c>
      <c r="G744" s="28">
        <v>235800.0</v>
      </c>
      <c r="H744" s="28">
        <v>305.0</v>
      </c>
      <c r="I744" s="28">
        <v>613.0</v>
      </c>
      <c r="J744" s="29"/>
      <c r="K744" s="25" t="s">
        <v>25</v>
      </c>
      <c r="L744" s="26">
        <v>4.0</v>
      </c>
      <c r="M744" s="26">
        <v>2.0</v>
      </c>
      <c r="N744" s="26">
        <v>1.0</v>
      </c>
      <c r="O744" s="30"/>
      <c r="P744" s="26">
        <v>773.0</v>
      </c>
      <c r="Q744" s="35">
        <v>28.0</v>
      </c>
      <c r="R744" s="32">
        <v>45863.0</v>
      </c>
      <c r="S744" s="32">
        <v>45835.0</v>
      </c>
      <c r="T744" s="29"/>
      <c r="U744" s="33"/>
      <c r="V744" s="1"/>
    </row>
    <row r="745" ht="24.0" customHeight="1">
      <c r="A745" s="1"/>
      <c r="B745" s="24" t="str">
        <f>HYPERLINK("https://www.compass.com/listing/68-18-140th-street-unit-a-queens-ny-11367/1885094698186695961/view?agent_id=610d3f3370540700019b0833","68-18 140th Street, Unit A")</f>
        <v>68-18 140th Street, Unit A</v>
      </c>
      <c r="C745" s="25" t="s">
        <v>22</v>
      </c>
      <c r="D745" s="26" t="s">
        <v>23</v>
      </c>
      <c r="E745" s="27" t="str">
        <f>HYPERLINK("https://www.compass.com/building/68-18-140th-st-queens-ny-11367/307437790841129589/","68-18 140th St")</f>
        <v>68-18 140th St</v>
      </c>
      <c r="F745" s="25" t="s">
        <v>142</v>
      </c>
      <c r="G745" s="28">
        <v>330000.0</v>
      </c>
      <c r="H745" s="28">
        <v>405.0</v>
      </c>
      <c r="I745" s="28">
        <v>1325.0</v>
      </c>
      <c r="J745" s="29"/>
      <c r="K745" s="25" t="s">
        <v>25</v>
      </c>
      <c r="L745" s="26">
        <v>5.0</v>
      </c>
      <c r="M745" s="26">
        <v>2.0</v>
      </c>
      <c r="N745" s="26">
        <v>1.0</v>
      </c>
      <c r="O745" s="30"/>
      <c r="P745" s="26">
        <v>815.0</v>
      </c>
      <c r="Q745" s="35">
        <v>10.0</v>
      </c>
      <c r="R745" s="32">
        <v>45859.0</v>
      </c>
      <c r="S745" s="32">
        <v>45852.0</v>
      </c>
      <c r="T745" s="29"/>
      <c r="U745" s="33"/>
      <c r="V745" s="1"/>
    </row>
    <row r="746" ht="24.0" customHeight="1">
      <c r="A746" s="1"/>
      <c r="B746" s="24" t="str">
        <f>HYPERLINK("https://www.compass.com/listing/212-east-broadway-unit-g407-manhattan-ny-10002/1862807562947799561/view?agent_id=610d3f3370540700019b0833","212 East Broadway, Unit G407")</f>
        <v>212 East Broadway, Unit G407</v>
      </c>
      <c r="C746" s="25" t="s">
        <v>22</v>
      </c>
      <c r="D746" s="26" t="s">
        <v>23</v>
      </c>
      <c r="E746" s="27" t="str">
        <f>HYPERLINK("https://www.compass.com/building/seward-park-manhattan-ny/294840995803650853/","Seward Park")</f>
        <v>Seward Park</v>
      </c>
      <c r="F746" s="25" t="s">
        <v>119</v>
      </c>
      <c r="G746" s="28">
        <v>1150000.0</v>
      </c>
      <c r="H746" s="28">
        <v>1150.0</v>
      </c>
      <c r="I746" s="28">
        <v>1505.0</v>
      </c>
      <c r="J746" s="28">
        <v>0.0</v>
      </c>
      <c r="K746" s="25" t="s">
        <v>25</v>
      </c>
      <c r="L746" s="26">
        <v>4.0</v>
      </c>
      <c r="M746" s="26">
        <v>2.0</v>
      </c>
      <c r="N746" s="26">
        <v>1.0</v>
      </c>
      <c r="O746" s="30"/>
      <c r="P746" s="34">
        <v>1000.0</v>
      </c>
      <c r="Q746" s="35">
        <v>42.0</v>
      </c>
      <c r="R746" s="32">
        <v>45822.0</v>
      </c>
      <c r="S746" s="32">
        <v>45821.0</v>
      </c>
      <c r="T746" s="29"/>
      <c r="U746" s="33"/>
      <c r="V746" s="1"/>
    </row>
    <row r="747" ht="24.0" customHeight="1">
      <c r="A747" s="1"/>
      <c r="B747" s="24" t="str">
        <f>HYPERLINK("https://www.compass.com/listing/2915-2935-west-5th-street-unit-7b-brooklyn-ny-11224/1890790151180843473/view?agent_id=610d3f3370540700019b0833","2915-2935 West 5th Street, Unit 7B")</f>
        <v>2915-2935 West 5th Street, Unit 7B</v>
      </c>
      <c r="C747" s="25" t="s">
        <v>22</v>
      </c>
      <c r="D747" s="26" t="s">
        <v>23</v>
      </c>
      <c r="E747" s="27" t="str">
        <f>HYPERLINK("https://www.compass.com/building/2915-2935-w-5th-st-brooklyn-ny-11224/436385997014995573/","2915-2935 W 5th St")</f>
        <v>2915-2935 W 5th St</v>
      </c>
      <c r="F747" s="25" t="s">
        <v>183</v>
      </c>
      <c r="G747" s="28">
        <v>499000.0</v>
      </c>
      <c r="H747" s="28">
        <v>475.0</v>
      </c>
      <c r="I747" s="28">
        <v>969.0</v>
      </c>
      <c r="J747" s="29"/>
      <c r="K747" s="25" t="s">
        <v>25</v>
      </c>
      <c r="L747" s="26">
        <v>4.0</v>
      </c>
      <c r="M747" s="26">
        <v>2.0</v>
      </c>
      <c r="N747" s="26">
        <v>1.0</v>
      </c>
      <c r="O747" s="30"/>
      <c r="P747" s="34">
        <v>1050.0</v>
      </c>
      <c r="Q747" s="35">
        <v>3.0</v>
      </c>
      <c r="R747" s="32">
        <v>45862.0</v>
      </c>
      <c r="S747" s="32">
        <v>45860.0</v>
      </c>
      <c r="T747" s="29"/>
      <c r="U747" s="33"/>
      <c r="V747" s="1"/>
    </row>
    <row r="748" ht="24.0" customHeight="1">
      <c r="A748" s="1"/>
      <c r="B748" s="24" t="str">
        <f>HYPERLINK("https://www.compass.com/listing/824-st-nicholas-avenue-unit-41-manhattan-ny-10031/1466831375879645089/view?agent_id=610d3f3370540700019b0833","824 St Nicholas Avenue, Unit 41")</f>
        <v>824 St Nicholas Avenue, Unit 41</v>
      </c>
      <c r="C748" s="25" t="s">
        <v>22</v>
      </c>
      <c r="D748" s="26" t="s">
        <v>23</v>
      </c>
      <c r="E748" s="27" t="str">
        <f>HYPERLINK("https://www.compass.com/building/824-st-nicholas-ave-manhattan-ny-10031/307450955821547429/","824 St Nicholas Ave")</f>
        <v>824 St Nicholas Ave</v>
      </c>
      <c r="F748" s="25" t="s">
        <v>71</v>
      </c>
      <c r="G748" s="28">
        <v>270000.0</v>
      </c>
      <c r="H748" s="29"/>
      <c r="I748" s="28">
        <v>470.0</v>
      </c>
      <c r="J748" s="28">
        <v>0.0</v>
      </c>
      <c r="K748" s="25" t="s">
        <v>25</v>
      </c>
      <c r="L748" s="26">
        <v>4.0</v>
      </c>
      <c r="M748" s="26">
        <v>2.0</v>
      </c>
      <c r="N748" s="26">
        <v>1.0</v>
      </c>
      <c r="O748" s="30"/>
      <c r="P748" s="30"/>
      <c r="Q748" s="35">
        <v>572.0</v>
      </c>
      <c r="R748" s="32">
        <v>45836.0</v>
      </c>
      <c r="S748" s="32">
        <v>45275.0</v>
      </c>
      <c r="T748" s="29"/>
      <c r="U748" s="33"/>
      <c r="V748" s="1"/>
    </row>
    <row r="749" ht="24.0" customHeight="1">
      <c r="A749" s="1"/>
      <c r="B749" s="24" t="str">
        <f>HYPERLINK("https://www.compass.com/listing/105-bennett-avenue-unit-36b-manhattan-ny-10033/1832757978133542169/view?agent_id=610d3f3370540700019b0833","105 Bennett Avenue, Unit 36B")</f>
        <v>105 Bennett Avenue, Unit 36B</v>
      </c>
      <c r="C749" s="25" t="s">
        <v>22</v>
      </c>
      <c r="D749" s="26" t="s">
        <v>23</v>
      </c>
      <c r="E749" s="27" t="str">
        <f>HYPERLINK("https://www.compass.com/building/105-bennett-ave-manhattan-ny-10033/282010034911706389/","105 Bennett Ave")</f>
        <v>105 Bennett Ave</v>
      </c>
      <c r="F749" s="25" t="s">
        <v>58</v>
      </c>
      <c r="G749" s="28">
        <v>485000.0</v>
      </c>
      <c r="H749" s="28">
        <v>437.0</v>
      </c>
      <c r="I749" s="28">
        <v>1311.0</v>
      </c>
      <c r="J749" s="28">
        <v>6046.0</v>
      </c>
      <c r="K749" s="25" t="s">
        <v>28</v>
      </c>
      <c r="L749" s="26">
        <v>4.0</v>
      </c>
      <c r="M749" s="26">
        <v>2.0</v>
      </c>
      <c r="N749" s="26">
        <v>1.0</v>
      </c>
      <c r="O749" s="26">
        <v>0.0</v>
      </c>
      <c r="P749" s="34">
        <v>1109.0</v>
      </c>
      <c r="Q749" s="35">
        <v>81.0</v>
      </c>
      <c r="R749" s="32">
        <v>45861.0</v>
      </c>
      <c r="S749" s="32">
        <v>45782.0</v>
      </c>
      <c r="T749" s="29"/>
      <c r="U749" s="33"/>
      <c r="V749" s="1"/>
    </row>
    <row r="750" ht="24.0" customHeight="1">
      <c r="A750" s="1"/>
      <c r="B750" s="24" t="str">
        <f>HYPERLINK("https://www.compass.com/listing/88-12-151st-avenue-unit-4b-queens-ny-11414/1864572202312621121/view?agent_id=610d3f3370540700019b0833","88-12 151st Avenue, Unit 4B")</f>
        <v>88-12 151st Avenue, Unit 4B</v>
      </c>
      <c r="C750" s="25" t="s">
        <v>22</v>
      </c>
      <c r="D750" s="26" t="s">
        <v>23</v>
      </c>
      <c r="E750" s="27" t="str">
        <f>HYPERLINK("https://www.compass.com/building/88-12-151st-ave-queens-ny-11414/307456127398557445/","88-12 151st Ave")</f>
        <v>88-12 151st Ave</v>
      </c>
      <c r="F750" s="25" t="s">
        <v>212</v>
      </c>
      <c r="G750" s="28">
        <v>275000.0</v>
      </c>
      <c r="H750" s="28">
        <v>306.0</v>
      </c>
      <c r="I750" s="28">
        <v>900.0</v>
      </c>
      <c r="J750" s="29"/>
      <c r="K750" s="25" t="s">
        <v>25</v>
      </c>
      <c r="L750" s="26">
        <v>3.0</v>
      </c>
      <c r="M750" s="26">
        <v>2.0</v>
      </c>
      <c r="N750" s="26">
        <v>1.0</v>
      </c>
      <c r="O750" s="30"/>
      <c r="P750" s="26">
        <v>900.0</v>
      </c>
      <c r="Q750" s="35">
        <v>39.0</v>
      </c>
      <c r="R750" s="32">
        <v>45829.0</v>
      </c>
      <c r="S750" s="32">
        <v>45824.0</v>
      </c>
      <c r="T750" s="29"/>
      <c r="U750" s="33"/>
      <c r="V750" s="1"/>
    </row>
    <row r="751" ht="24.0" customHeight="1">
      <c r="A751" s="1"/>
      <c r="B751" s="24" t="str">
        <f>HYPERLINK("https://www.compass.com/listing/139-15-83rd-avenue-unit-433-queens-ny-11435/1839549552858922425/view?agent_id=610d3f3370540700019b0833","139-15 83rd Avenue, Unit 433")</f>
        <v>139-15 83rd Avenue, Unit 433</v>
      </c>
      <c r="C751" s="25" t="s">
        <v>22</v>
      </c>
      <c r="D751" s="26" t="s">
        <v>23</v>
      </c>
      <c r="E751" s="27" t="str">
        <f>HYPERLINK("https://www.compass.com/building/139-15-83rd-ave-queens-ny-11435/293531355952770837/","139-15 83rd Ave")</f>
        <v>139-15 83rd Ave</v>
      </c>
      <c r="F751" s="25" t="s">
        <v>146</v>
      </c>
      <c r="G751" s="28">
        <v>307000.0</v>
      </c>
      <c r="H751" s="28">
        <v>351.0</v>
      </c>
      <c r="I751" s="28">
        <v>1180.0</v>
      </c>
      <c r="J751" s="29"/>
      <c r="K751" s="25" t="s">
        <v>25</v>
      </c>
      <c r="L751" s="26">
        <v>4.0</v>
      </c>
      <c r="M751" s="26">
        <v>2.0</v>
      </c>
      <c r="N751" s="26">
        <v>1.0</v>
      </c>
      <c r="O751" s="30"/>
      <c r="P751" s="26">
        <v>875.0</v>
      </c>
      <c r="Q751" s="35">
        <v>74.0</v>
      </c>
      <c r="R751" s="32">
        <v>45790.0</v>
      </c>
      <c r="S751" s="32">
        <v>45789.0</v>
      </c>
      <c r="T751" s="29"/>
      <c r="U751" s="33"/>
      <c r="V751" s="1"/>
    </row>
    <row r="752" ht="24.0" customHeight="1">
      <c r="A752" s="1"/>
      <c r="B752" s="24" t="str">
        <f>HYPERLINK("https://www.compass.com/listing/1474-bushwick-avenue-unit-2r-brooklyn-ny-11207/1826444737084038249/view?agent_id=610d3f3370540700019b0833","1474 Bushwick Avenue, Unit 2R")</f>
        <v>1474 Bushwick Avenue, Unit 2R</v>
      </c>
      <c r="C752" s="25" t="s">
        <v>22</v>
      </c>
      <c r="D752" s="26" t="s">
        <v>23</v>
      </c>
      <c r="E752" s="27" t="str">
        <f>HYPERLINK("https://www.compass.com/building/1474-bushwick-ave-brooklyn-ny-11207/293530004791258949/","1474 Bushwick Ave")</f>
        <v>1474 Bushwick Ave</v>
      </c>
      <c r="F752" s="25" t="s">
        <v>82</v>
      </c>
      <c r="G752" s="28">
        <v>695000.0</v>
      </c>
      <c r="H752" s="28">
        <v>723.0</v>
      </c>
      <c r="I752" s="28">
        <v>1129.0</v>
      </c>
      <c r="J752" s="28">
        <v>5124.0</v>
      </c>
      <c r="K752" s="25" t="s">
        <v>28</v>
      </c>
      <c r="L752" s="26">
        <v>5.0</v>
      </c>
      <c r="M752" s="26">
        <v>2.0</v>
      </c>
      <c r="N752" s="26">
        <v>1.0</v>
      </c>
      <c r="O752" s="26">
        <v>0.0</v>
      </c>
      <c r="P752" s="26">
        <v>961.0</v>
      </c>
      <c r="Q752" s="35">
        <v>92.0</v>
      </c>
      <c r="R752" s="32">
        <v>45862.0</v>
      </c>
      <c r="S752" s="32">
        <v>45771.0</v>
      </c>
      <c r="T752" s="29"/>
      <c r="U752" s="33"/>
      <c r="V752" s="1"/>
    </row>
    <row r="753" ht="24.0" customHeight="1">
      <c r="A753" s="1"/>
      <c r="B753" s="24" t="str">
        <f>HYPERLINK("https://www.compass.com/listing/883-east-165th-street-unit-3b-bronx-ny-10459/1839973581868585985/view?agent_id=610d3f3370540700019b0833","883 East 165th Street, Unit 3B")</f>
        <v>883 East 165th Street, Unit 3B</v>
      </c>
      <c r="C753" s="25" t="s">
        <v>22</v>
      </c>
      <c r="D753" s="26" t="s">
        <v>23</v>
      </c>
      <c r="E753" s="27" t="str">
        <f>HYPERLINK("https://www.compass.com/building/883-e-165th-st-bronx-ny-10459/293527274760756213/","883 E 165th St")</f>
        <v>883 E 165th St</v>
      </c>
      <c r="F753" s="25" t="s">
        <v>134</v>
      </c>
      <c r="G753" s="28">
        <v>167000.0</v>
      </c>
      <c r="H753" s="28">
        <v>214.0</v>
      </c>
      <c r="I753" s="28">
        <v>810.0</v>
      </c>
      <c r="J753" s="29"/>
      <c r="K753" s="25" t="s">
        <v>25</v>
      </c>
      <c r="L753" s="26">
        <v>4.0</v>
      </c>
      <c r="M753" s="26">
        <v>2.0</v>
      </c>
      <c r="N753" s="26">
        <v>1.0</v>
      </c>
      <c r="O753" s="30"/>
      <c r="P753" s="26">
        <v>780.0</v>
      </c>
      <c r="Q753" s="35">
        <v>73.0</v>
      </c>
      <c r="R753" s="32">
        <v>45816.0</v>
      </c>
      <c r="S753" s="32">
        <v>45790.0</v>
      </c>
      <c r="T753" s="29"/>
      <c r="U753" s="33"/>
      <c r="V753" s="1"/>
    </row>
    <row r="754" ht="24.0" customHeight="1">
      <c r="A754" s="1"/>
      <c r="B754" s="24" t="str">
        <f>HYPERLINK("https://www.compass.com/listing/1727-lacombe-avenue-unit-4a-bronx-ny-10473/1872152534139188705/view?agent_id=610d3f3370540700019b0833","1727 Lacombe Avenue, Unit 4A")</f>
        <v>1727 Lacombe Avenue, Unit 4A</v>
      </c>
      <c r="C754" s="25" t="s">
        <v>22</v>
      </c>
      <c r="D754" s="26" t="s">
        <v>23</v>
      </c>
      <c r="E754" s="26" t="s">
        <v>211</v>
      </c>
      <c r="F754" s="25" t="s">
        <v>121</v>
      </c>
      <c r="G754" s="28">
        <v>235800.0</v>
      </c>
      <c r="H754" s="28">
        <v>305.0</v>
      </c>
      <c r="I754" s="28">
        <v>613.0</v>
      </c>
      <c r="J754" s="29"/>
      <c r="K754" s="25" t="s">
        <v>25</v>
      </c>
      <c r="L754" s="26">
        <v>4.0</v>
      </c>
      <c r="M754" s="26">
        <v>2.0</v>
      </c>
      <c r="N754" s="26">
        <v>1.0</v>
      </c>
      <c r="O754" s="30"/>
      <c r="P754" s="26">
        <v>773.0</v>
      </c>
      <c r="Q754" s="35">
        <v>29.0</v>
      </c>
      <c r="R754" s="32">
        <v>45863.0</v>
      </c>
      <c r="S754" s="32">
        <v>45834.0</v>
      </c>
      <c r="T754" s="29"/>
      <c r="U754" s="33"/>
      <c r="V754" s="1"/>
    </row>
    <row r="755" ht="24.0" customHeight="1">
      <c r="A755" s="1"/>
      <c r="B755" s="24" t="str">
        <f>HYPERLINK("https://www.compass.com/listing/1-city-point-unit-19l-brooklyn-ny-11201/1870585485239622305/view?agent_id=610d3f3370540700019b0833","1 City Point, Unit 19L")</f>
        <v>1 City Point, Unit 19L</v>
      </c>
      <c r="C755" s="25" t="s">
        <v>22</v>
      </c>
      <c r="D755" s="26" t="s">
        <v>23</v>
      </c>
      <c r="E755" s="27" t="str">
        <f>HYPERLINK("https://www.compass.com/building/brooklyn-point-brooklyn-ny/567697827189070269/","Brooklyn Point")</f>
        <v>Brooklyn Point</v>
      </c>
      <c r="F755" s="25" t="s">
        <v>31</v>
      </c>
      <c r="G755" s="28">
        <v>1855000.0</v>
      </c>
      <c r="H755" s="28">
        <v>1601.0</v>
      </c>
      <c r="I755" s="28">
        <v>1421.0</v>
      </c>
      <c r="J755" s="28">
        <v>0.0</v>
      </c>
      <c r="K755" s="25" t="s">
        <v>49</v>
      </c>
      <c r="L755" s="26">
        <v>4.0</v>
      </c>
      <c r="M755" s="26">
        <v>2.0</v>
      </c>
      <c r="N755" s="30"/>
      <c r="O755" s="30"/>
      <c r="P755" s="34">
        <v>1159.0</v>
      </c>
      <c r="Q755" s="35">
        <v>1471.0</v>
      </c>
      <c r="R755" s="32">
        <v>44392.0</v>
      </c>
      <c r="S755" s="32">
        <v>44392.0</v>
      </c>
      <c r="T755" s="29"/>
      <c r="U755" s="33"/>
      <c r="V755" s="1"/>
    </row>
    <row r="756" ht="24.0" customHeight="1">
      <c r="A756" s="1"/>
      <c r="B756" s="24" t="str">
        <f>HYPERLINK("https://www.compass.com/listing/2750-olinville-avenue-unit-4c-bronx-ny-10467/1846124272807642425/view?agent_id=610d3f3370540700019b0833","2750 Olinville Avenue, Unit 4C")</f>
        <v>2750 Olinville Avenue, Unit 4C</v>
      </c>
      <c r="C756" s="25" t="s">
        <v>22</v>
      </c>
      <c r="D756" s="26" t="s">
        <v>23</v>
      </c>
      <c r="E756" s="27" t="str">
        <f>HYPERLINK("https://www.compass.com/building/2750-olinville-ave-bronx-ny-10467/293533598739399269/","2750 Olinville Ave")</f>
        <v>2750 Olinville Ave</v>
      </c>
      <c r="F756" s="25" t="s">
        <v>213</v>
      </c>
      <c r="G756" s="28">
        <v>239999.0</v>
      </c>
      <c r="H756" s="28">
        <v>246.0</v>
      </c>
      <c r="I756" s="28">
        <v>875.0</v>
      </c>
      <c r="J756" s="29"/>
      <c r="K756" s="25" t="s">
        <v>25</v>
      </c>
      <c r="L756" s="26">
        <v>5.0</v>
      </c>
      <c r="M756" s="26">
        <v>2.0</v>
      </c>
      <c r="N756" s="26">
        <v>1.0</v>
      </c>
      <c r="O756" s="30"/>
      <c r="P756" s="26">
        <v>975.0</v>
      </c>
      <c r="Q756" s="35">
        <v>65.0</v>
      </c>
      <c r="R756" s="32">
        <v>45813.0</v>
      </c>
      <c r="S756" s="32">
        <v>45798.0</v>
      </c>
      <c r="T756" s="29"/>
      <c r="U756" s="33"/>
      <c r="V756" s="1"/>
    </row>
    <row r="757" ht="24.0" customHeight="1">
      <c r="A757" s="1"/>
      <c r="B757" s="24" t="str">
        <f>HYPERLINK("https://www.compass.com/listing/549-west-123rd-street-unit-6b-manhattan-ny-10027/1800179253216405153/view?agent_id=610d3f3370540700019b0833","549 West 123rd Street, Unit 6B")</f>
        <v>549 West 123rd Street, Unit 6B</v>
      </c>
      <c r="C757" s="25" t="s">
        <v>22</v>
      </c>
      <c r="D757" s="26" t="s">
        <v>23</v>
      </c>
      <c r="E757" s="27" t="str">
        <f>HYPERLINK("https://www.compass.com/building/morningside-gardens-manhattan-ny/282059380772338885/","Morningside Gardens")</f>
        <v>Morningside Gardens</v>
      </c>
      <c r="F757" s="25" t="s">
        <v>41</v>
      </c>
      <c r="G757" s="28">
        <v>685000.0</v>
      </c>
      <c r="H757" s="29"/>
      <c r="I757" s="28">
        <v>1515.0</v>
      </c>
      <c r="J757" s="28">
        <v>0.0</v>
      </c>
      <c r="K757" s="25" t="s">
        <v>25</v>
      </c>
      <c r="L757" s="26">
        <v>4.0</v>
      </c>
      <c r="M757" s="26">
        <v>2.0</v>
      </c>
      <c r="N757" s="26">
        <v>1.0</v>
      </c>
      <c r="O757" s="26">
        <v>0.0</v>
      </c>
      <c r="P757" s="30"/>
      <c r="Q757" s="35">
        <v>128.0</v>
      </c>
      <c r="R757" s="32">
        <v>45853.0</v>
      </c>
      <c r="S757" s="32">
        <v>45735.0</v>
      </c>
      <c r="T757" s="29"/>
      <c r="U757" s="33"/>
      <c r="V757" s="1"/>
    </row>
    <row r="758" ht="24.0" customHeight="1">
      <c r="A758" s="1"/>
      <c r="B758" s="24" t="str">
        <f>HYPERLINK("https://www.compass.com/listing/1560-metropolitan-avenue-unit-8b-bronx-ny-10462/1840154589590929921/view?agent_id=610d3f3370540700019b0833","1560 Metropolitan Avenue, Unit 8B")</f>
        <v>1560 Metropolitan Avenue, Unit 8B</v>
      </c>
      <c r="C758" s="25" t="s">
        <v>22</v>
      </c>
      <c r="D758" s="26" t="s">
        <v>23</v>
      </c>
      <c r="E758" s="27" t="str">
        <f>HYPERLINK("https://www.compass.com/building/1560-metropolitan-ave-bronx-ny-10462/294847226584849573/","1560 Metropolitan Ave")</f>
        <v>1560 Metropolitan Ave</v>
      </c>
      <c r="F758" s="25" t="s">
        <v>129</v>
      </c>
      <c r="G758" s="28">
        <v>345000.0</v>
      </c>
      <c r="H758" s="28">
        <v>416.0</v>
      </c>
      <c r="I758" s="28">
        <v>1170.0</v>
      </c>
      <c r="J758" s="28">
        <v>838.0</v>
      </c>
      <c r="K758" s="25" t="s">
        <v>28</v>
      </c>
      <c r="L758" s="26">
        <v>4.0</v>
      </c>
      <c r="M758" s="26">
        <v>2.0</v>
      </c>
      <c r="N758" s="26">
        <v>1.0</v>
      </c>
      <c r="O758" s="30"/>
      <c r="P758" s="26">
        <v>829.0</v>
      </c>
      <c r="Q758" s="35">
        <v>73.0</v>
      </c>
      <c r="R758" s="32">
        <v>45809.0</v>
      </c>
      <c r="S758" s="32">
        <v>45790.0</v>
      </c>
      <c r="T758" s="29"/>
      <c r="U758" s="33"/>
      <c r="V758" s="1"/>
    </row>
    <row r="759" ht="24.0" customHeight="1">
      <c r="A759" s="1"/>
      <c r="B759" s="24" t="str">
        <f>HYPERLINK("https://www.compass.com/listing/141-15-28th-avenue-unit-1e-queens-ny-11354/1889558729161422849/view?agent_id=610d3f3370540700019b0833","141-15 28th Avenue, Unit 1E")</f>
        <v>141-15 28th Avenue, Unit 1E</v>
      </c>
      <c r="C759" s="25" t="s">
        <v>22</v>
      </c>
      <c r="D759" s="26" t="s">
        <v>23</v>
      </c>
      <c r="E759" s="27" t="str">
        <f>HYPERLINK("https://www.compass.com/building/141-15-28th-ave-queens-ny-11354/307434173538997557/","141-15 28th Ave")</f>
        <v>141-15 28th Ave</v>
      </c>
      <c r="F759" s="25" t="s">
        <v>185</v>
      </c>
      <c r="G759" s="28">
        <v>375000.0</v>
      </c>
      <c r="H759" s="28">
        <v>383.0</v>
      </c>
      <c r="I759" s="28">
        <v>1150.0</v>
      </c>
      <c r="J759" s="29"/>
      <c r="K759" s="25" t="s">
        <v>25</v>
      </c>
      <c r="L759" s="26">
        <v>5.0</v>
      </c>
      <c r="M759" s="26">
        <v>2.0</v>
      </c>
      <c r="N759" s="26">
        <v>1.0</v>
      </c>
      <c r="O759" s="30"/>
      <c r="P759" s="26">
        <v>980.0</v>
      </c>
      <c r="Q759" s="35">
        <v>5.0</v>
      </c>
      <c r="R759" s="32">
        <v>45863.0</v>
      </c>
      <c r="S759" s="32">
        <v>45858.0</v>
      </c>
      <c r="T759" s="29"/>
      <c r="U759" s="33"/>
      <c r="V759" s="1"/>
    </row>
    <row r="760" ht="24.0" customHeight="1">
      <c r="A760" s="1"/>
      <c r="B760" s="24" t="str">
        <f>HYPERLINK("https://www.compass.com/listing/271-bay-19th-street-unit-b-brooklyn-ny-11214/1886431205900839529/view?agent_id=610d3f3370540700019b0833","271 Bay 19th Street, Unit B")</f>
        <v>271 Bay 19th Street, Unit B</v>
      </c>
      <c r="C760" s="25" t="s">
        <v>22</v>
      </c>
      <c r="D760" s="26" t="s">
        <v>23</v>
      </c>
      <c r="E760" s="27" t="str">
        <f>HYPERLINK("https://www.compass.com/building/271-bay-19th-st-brooklyn-ny-11214/307459203274542581/","271 Bay 19th St")</f>
        <v>271 Bay 19th St</v>
      </c>
      <c r="F760" s="25" t="s">
        <v>214</v>
      </c>
      <c r="G760" s="28">
        <v>469900.0</v>
      </c>
      <c r="H760" s="28">
        <v>534.0</v>
      </c>
      <c r="I760" s="28">
        <v>728.0</v>
      </c>
      <c r="J760" s="29"/>
      <c r="K760" s="25" t="s">
        <v>25</v>
      </c>
      <c r="L760" s="26">
        <v>4.0</v>
      </c>
      <c r="M760" s="26">
        <v>2.0</v>
      </c>
      <c r="N760" s="26">
        <v>1.0</v>
      </c>
      <c r="O760" s="30"/>
      <c r="P760" s="26">
        <v>880.0</v>
      </c>
      <c r="Q760" s="35">
        <v>9.0</v>
      </c>
      <c r="R760" s="32">
        <v>45862.0</v>
      </c>
      <c r="S760" s="32">
        <v>45854.0</v>
      </c>
      <c r="T760" s="29"/>
      <c r="U760" s="33"/>
      <c r="V760" s="1"/>
    </row>
    <row r="761" ht="24.0" customHeight="1">
      <c r="A761" s="1"/>
      <c r="B761" s="24" t="str">
        <f>HYPERLINK("https://www.compass.com/listing/549-west-123rd-street-unit-13c-manhattan-ny-10027/1764589519056046665/view?agent_id=610d3f3370540700019b0833","549 West 123rd Street, Unit 13C")</f>
        <v>549 West 123rd Street, Unit 13C</v>
      </c>
      <c r="C761" s="25" t="s">
        <v>22</v>
      </c>
      <c r="D761" s="26" t="s">
        <v>23</v>
      </c>
      <c r="E761" s="27" t="str">
        <f>HYPERLINK("https://www.compass.com/building/morningside-gardens-manhattan-ny/282059380772338885/","Morningside Gardens")</f>
        <v>Morningside Gardens</v>
      </c>
      <c r="F761" s="25" t="s">
        <v>41</v>
      </c>
      <c r="G761" s="28">
        <v>650000.0</v>
      </c>
      <c r="H761" s="29"/>
      <c r="I761" s="28">
        <v>1508.0</v>
      </c>
      <c r="J761" s="28">
        <v>0.0</v>
      </c>
      <c r="K761" s="25" t="s">
        <v>25</v>
      </c>
      <c r="L761" s="26">
        <v>4.0</v>
      </c>
      <c r="M761" s="26">
        <v>2.0</v>
      </c>
      <c r="N761" s="26">
        <v>1.0</v>
      </c>
      <c r="O761" s="26">
        <v>0.0</v>
      </c>
      <c r="P761" s="30"/>
      <c r="Q761" s="35">
        <v>177.0</v>
      </c>
      <c r="R761" s="32">
        <v>45812.0</v>
      </c>
      <c r="S761" s="32">
        <v>45686.0</v>
      </c>
      <c r="T761" s="29"/>
      <c r="U761" s="33"/>
      <c r="V761" s="1"/>
    </row>
    <row r="762" ht="24.0" customHeight="1">
      <c r="A762" s="1"/>
      <c r="B762" s="24" t="str">
        <f>HYPERLINK("https://www.compass.com/listing/147-25-38th-avenue-unit-f26-queens-ny-11354/1884226461345005497/view?agent_id=610d3f3370540700019b0833","147-25 38th Avenue, Unit F26")</f>
        <v>147-25 38th Avenue, Unit F26</v>
      </c>
      <c r="C762" s="25" t="s">
        <v>22</v>
      </c>
      <c r="D762" s="26" t="s">
        <v>23</v>
      </c>
      <c r="E762" s="27" t="str">
        <f>HYPERLINK("https://www.compass.com/building/147-25-38th-ave-queens-ny-11354/307443371832337077/","147-25 38th Ave")</f>
        <v>147-25 38th Ave</v>
      </c>
      <c r="F762" s="25" t="s">
        <v>160</v>
      </c>
      <c r="G762" s="28">
        <v>438000.0</v>
      </c>
      <c r="H762" s="28">
        <v>438.0</v>
      </c>
      <c r="I762" s="28">
        <v>1071.0</v>
      </c>
      <c r="J762" s="29"/>
      <c r="K762" s="25" t="s">
        <v>25</v>
      </c>
      <c r="L762" s="26">
        <v>5.0</v>
      </c>
      <c r="M762" s="26">
        <v>2.0</v>
      </c>
      <c r="N762" s="26">
        <v>1.0</v>
      </c>
      <c r="O762" s="30"/>
      <c r="P762" s="34">
        <v>1000.0</v>
      </c>
      <c r="Q762" s="35">
        <v>9.0</v>
      </c>
      <c r="R762" s="32">
        <v>45860.0</v>
      </c>
      <c r="S762" s="32">
        <v>45854.0</v>
      </c>
      <c r="T762" s="29"/>
      <c r="U762" s="33"/>
      <c r="V762" s="1"/>
    </row>
    <row r="763" ht="24.0" customHeight="1">
      <c r="A763" s="1"/>
      <c r="B763" s="24" t="str">
        <f>HYPERLINK("https://www.compass.com/listing/87-10-51st-avenue-unit-3e-queens-ny-11373/1877986037508004937/view?agent_id=610d3f3370540700019b0833","87-10 51st Avenue, Unit 3E")</f>
        <v>87-10 51st Avenue, Unit 3E</v>
      </c>
      <c r="C763" s="25" t="s">
        <v>22</v>
      </c>
      <c r="D763" s="26" t="s">
        <v>23</v>
      </c>
      <c r="E763" s="27" t="str">
        <f t="shared" ref="E763:E764" si="3">HYPERLINK("https://www.compass.com/building/87-10-51st-ave-queens-ny-11373/293529364111306533/","87-10 51st Ave")</f>
        <v>87-10 51st Ave</v>
      </c>
      <c r="F763" s="25" t="s">
        <v>151</v>
      </c>
      <c r="G763" s="28">
        <v>528000.0</v>
      </c>
      <c r="H763" s="28">
        <v>533.0</v>
      </c>
      <c r="I763" s="28">
        <v>2498.0</v>
      </c>
      <c r="J763" s="29"/>
      <c r="K763" s="25" t="s">
        <v>25</v>
      </c>
      <c r="L763" s="26">
        <v>5.0</v>
      </c>
      <c r="M763" s="26">
        <v>2.0</v>
      </c>
      <c r="N763" s="26">
        <v>1.0</v>
      </c>
      <c r="O763" s="30"/>
      <c r="P763" s="26">
        <v>991.0</v>
      </c>
      <c r="Q763" s="35">
        <v>21.0</v>
      </c>
      <c r="R763" s="32">
        <v>45843.0</v>
      </c>
      <c r="S763" s="32">
        <v>45842.0</v>
      </c>
      <c r="T763" s="29"/>
      <c r="U763" s="33"/>
      <c r="V763" s="1"/>
    </row>
    <row r="764" ht="24.0" customHeight="1">
      <c r="A764" s="1"/>
      <c r="B764" s="24" t="str">
        <f>HYPERLINK("https://www.compass.com/listing/87-10-51st-avenue-unit-1p-queens-ny-11373/1885129101982074609/view?agent_id=610d3f3370540700019b0833","87-10 51st Avenue, Unit 1P")</f>
        <v>87-10 51st Avenue, Unit 1P</v>
      </c>
      <c r="C764" s="25" t="s">
        <v>22</v>
      </c>
      <c r="D764" s="26" t="s">
        <v>23</v>
      </c>
      <c r="E764" s="27" t="str">
        <f t="shared" si="3"/>
        <v>87-10 51st Ave</v>
      </c>
      <c r="F764" s="25" t="s">
        <v>151</v>
      </c>
      <c r="G764" s="28">
        <v>529000.0</v>
      </c>
      <c r="H764" s="28">
        <v>574.0</v>
      </c>
      <c r="I764" s="28">
        <v>1011.0</v>
      </c>
      <c r="J764" s="29"/>
      <c r="K764" s="25" t="s">
        <v>25</v>
      </c>
      <c r="L764" s="26">
        <v>5.0</v>
      </c>
      <c r="M764" s="26">
        <v>2.0</v>
      </c>
      <c r="N764" s="26">
        <v>1.0</v>
      </c>
      <c r="O764" s="30"/>
      <c r="P764" s="26">
        <v>921.0</v>
      </c>
      <c r="Q764" s="35">
        <v>11.0</v>
      </c>
      <c r="R764" s="32">
        <v>45857.0</v>
      </c>
      <c r="S764" s="32">
        <v>45852.0</v>
      </c>
      <c r="T764" s="29"/>
      <c r="U764" s="33"/>
      <c r="V764" s="1"/>
    </row>
    <row r="765" ht="24.0" customHeight="1">
      <c r="A765" s="1"/>
      <c r="B765" s="24" t="str">
        <f>HYPERLINK("https://www.compass.com/listing/69-10-108th-street-unit-6d-queens-ny-11375/1887696420982348481/view?agent_id=610d3f3370540700019b0833","69-10 108th Street, Unit 6D")</f>
        <v>69-10 108th Street, Unit 6D</v>
      </c>
      <c r="C765" s="25" t="s">
        <v>22</v>
      </c>
      <c r="D765" s="26" t="s">
        <v>23</v>
      </c>
      <c r="E765" s="27" t="str">
        <f>HYPERLINK("https://www.compass.com/building/69-10-108th-st-queens-ny-11375/293417690767417605/","69-10 108th St")</f>
        <v>69-10 108th St</v>
      </c>
      <c r="F765" s="25" t="s">
        <v>83</v>
      </c>
      <c r="G765" s="28">
        <v>549000.0</v>
      </c>
      <c r="H765" s="28">
        <v>525.0</v>
      </c>
      <c r="I765" s="28">
        <v>1267.0</v>
      </c>
      <c r="J765" s="29"/>
      <c r="K765" s="25" t="s">
        <v>25</v>
      </c>
      <c r="L765" s="26">
        <v>5.0</v>
      </c>
      <c r="M765" s="26">
        <v>2.0</v>
      </c>
      <c r="N765" s="26">
        <v>1.0</v>
      </c>
      <c r="O765" s="30"/>
      <c r="P765" s="34">
        <v>1045.0</v>
      </c>
      <c r="Q765" s="35">
        <v>7.0</v>
      </c>
      <c r="R765" s="32">
        <v>45860.0</v>
      </c>
      <c r="S765" s="32">
        <v>45856.0</v>
      </c>
      <c r="T765" s="29"/>
      <c r="U765" s="33"/>
      <c r="V765" s="1"/>
    </row>
    <row r="766" ht="24.0" customHeight="1">
      <c r="A766" s="1"/>
      <c r="B766" s="24" t="str">
        <f>HYPERLINK("https://www.compass.com/listing/140-21-31st-road-unit-4a-queens-ny-11354/1880183447264995305/view?agent_id=610d3f3370540700019b0833","140-21 31st Road, Unit 4A")</f>
        <v>140-21 31st Road, Unit 4A</v>
      </c>
      <c r="C766" s="25" t="s">
        <v>22</v>
      </c>
      <c r="D766" s="26" t="s">
        <v>23</v>
      </c>
      <c r="E766" s="27" t="str">
        <f>HYPERLINK("https://www.compass.com/building/140-21-31st-rd-queens-ny-11354/307452304072501269/","140-21 31st Rd")</f>
        <v>140-21 31st Rd</v>
      </c>
      <c r="F766" s="25" t="s">
        <v>185</v>
      </c>
      <c r="G766" s="28">
        <v>340000.0</v>
      </c>
      <c r="H766" s="28">
        <v>309.0</v>
      </c>
      <c r="I766" s="28">
        <v>899.0</v>
      </c>
      <c r="J766" s="29"/>
      <c r="K766" s="25" t="s">
        <v>25</v>
      </c>
      <c r="L766" s="26">
        <v>5.0</v>
      </c>
      <c r="M766" s="26">
        <v>2.0</v>
      </c>
      <c r="N766" s="26">
        <v>1.0</v>
      </c>
      <c r="O766" s="30"/>
      <c r="P766" s="34">
        <v>1100.0</v>
      </c>
      <c r="Q766" s="35">
        <v>18.0</v>
      </c>
      <c r="R766" s="32">
        <v>45847.0</v>
      </c>
      <c r="S766" s="32">
        <v>45845.0</v>
      </c>
      <c r="T766" s="29"/>
      <c r="U766" s="33"/>
      <c r="V766" s="1"/>
    </row>
    <row r="767" ht="24.0" customHeight="1">
      <c r="A767" s="1"/>
      <c r="B767" s="24" t="str">
        <f>HYPERLINK("https://www.compass.com/listing/2170-brigham-street-unit-1d-brooklyn-ny-11229/1887860415827606865/view?agent_id=610d3f3370540700019b0833","2170 Brigham Street, Unit 1D")</f>
        <v>2170 Brigham Street, Unit 1D</v>
      </c>
      <c r="C767" s="25" t="s">
        <v>22</v>
      </c>
      <c r="D767" s="26" t="s">
        <v>23</v>
      </c>
      <c r="E767" s="27" t="str">
        <f>HYPERLINK("https://www.compass.com/building/2170-brigham-st-brooklyn-ny-11229/307438317737699317/","2170 Brigham St")</f>
        <v>2170 Brigham St</v>
      </c>
      <c r="F767" s="25" t="s">
        <v>70</v>
      </c>
      <c r="G767" s="28">
        <v>256500.0</v>
      </c>
      <c r="H767" s="28">
        <v>270.0</v>
      </c>
      <c r="I767" s="28">
        <v>1321.0</v>
      </c>
      <c r="J767" s="29"/>
      <c r="K767" s="25" t="s">
        <v>25</v>
      </c>
      <c r="L767" s="26">
        <v>4.0</v>
      </c>
      <c r="M767" s="26">
        <v>2.0</v>
      </c>
      <c r="N767" s="26">
        <v>1.0</v>
      </c>
      <c r="O767" s="30"/>
      <c r="P767" s="26">
        <v>950.0</v>
      </c>
      <c r="Q767" s="35">
        <v>8.0</v>
      </c>
      <c r="R767" s="32">
        <v>45859.0</v>
      </c>
      <c r="S767" s="32">
        <v>45855.0</v>
      </c>
      <c r="T767" s="29"/>
      <c r="U767" s="33"/>
      <c r="V767" s="1"/>
    </row>
    <row r="768" ht="24.0" customHeight="1">
      <c r="A768" s="1"/>
      <c r="B768" s="24" t="str">
        <f>HYPERLINK("https://www.compass.com/listing/3626-kings-highway-unit-5k-brooklyn-ny-11234/1799396658853032409/view?agent_id=610d3f3370540700019b0833","3626 Kings Highway, Unit 5K")</f>
        <v>3626 Kings Highway, Unit 5K</v>
      </c>
      <c r="C768" s="25" t="s">
        <v>22</v>
      </c>
      <c r="D768" s="26" t="s">
        <v>23</v>
      </c>
      <c r="E768" s="27" t="str">
        <f>HYPERLINK("https://www.compass.com/building/3626-kings-hwy-brooklyn-ny-11234/293417811445845493/","3626 Kings Hwy")</f>
        <v>3626 Kings Hwy</v>
      </c>
      <c r="F768" s="25" t="s">
        <v>34</v>
      </c>
      <c r="G768" s="28">
        <v>289000.0</v>
      </c>
      <c r="H768" s="28">
        <v>241.0</v>
      </c>
      <c r="I768" s="28">
        <v>1388.0</v>
      </c>
      <c r="J768" s="28">
        <v>0.0</v>
      </c>
      <c r="K768" s="25" t="s">
        <v>25</v>
      </c>
      <c r="L768" s="26">
        <v>4.0</v>
      </c>
      <c r="M768" s="26">
        <v>2.0</v>
      </c>
      <c r="N768" s="26">
        <v>1.0</v>
      </c>
      <c r="O768" s="30"/>
      <c r="P768" s="34">
        <v>1200.0</v>
      </c>
      <c r="Q768" s="35">
        <v>130.0</v>
      </c>
      <c r="R768" s="32">
        <v>45734.0</v>
      </c>
      <c r="S768" s="32">
        <v>45733.0</v>
      </c>
      <c r="T768" s="29"/>
      <c r="U768" s="33"/>
      <c r="V768" s="1"/>
    </row>
    <row r="769" ht="24.0" customHeight="1">
      <c r="A769" s="1"/>
      <c r="B769" s="24" t="str">
        <f>HYPERLINK("https://www.compass.com/listing/785-east-34th-street-unit-2c-brooklyn-ny-11210/1865840861622856537/view?agent_id=610d3f3370540700019b0833","785 East 34th Street, Unit 2C")</f>
        <v>785 East 34th Street, Unit 2C</v>
      </c>
      <c r="C769" s="25" t="s">
        <v>22</v>
      </c>
      <c r="D769" s="26" t="s">
        <v>23</v>
      </c>
      <c r="E769" s="27" t="str">
        <f>HYPERLINK("https://www.compass.com/building/785-e-34th-st-brooklyn-ny-11210/293526742503624245/","785 E 34th St")</f>
        <v>785 E 34th St</v>
      </c>
      <c r="F769" s="25" t="s">
        <v>123</v>
      </c>
      <c r="G769" s="28">
        <v>540000.0</v>
      </c>
      <c r="H769" s="28">
        <v>915.0</v>
      </c>
      <c r="I769" s="28">
        <v>360.0</v>
      </c>
      <c r="J769" s="28">
        <v>0.0</v>
      </c>
      <c r="K769" s="25" t="s">
        <v>28</v>
      </c>
      <c r="L769" s="26">
        <v>3.0</v>
      </c>
      <c r="M769" s="26">
        <v>2.0</v>
      </c>
      <c r="N769" s="26">
        <v>1.0</v>
      </c>
      <c r="O769" s="26">
        <v>0.0</v>
      </c>
      <c r="P769" s="26">
        <v>590.0</v>
      </c>
      <c r="Q769" s="35">
        <v>37.0</v>
      </c>
      <c r="R769" s="32">
        <v>45856.0</v>
      </c>
      <c r="S769" s="32">
        <v>45826.0</v>
      </c>
      <c r="T769" s="29"/>
      <c r="U769" s="33"/>
      <c r="V769" s="1"/>
    </row>
    <row r="770" ht="24.0" customHeight="1">
      <c r="A770" s="1"/>
      <c r="B770" s="24" t="str">
        <f>HYPERLINK("https://www.compass.com/listing/685-1st-avenue-unit-35f-manhattan-ny-10016/1491016559786485953/view?agent_id=610d3f3370540700019b0833","685 1st Avenue, Unit 35F")</f>
        <v>685 1st Avenue, Unit 35F</v>
      </c>
      <c r="C770" s="25" t="s">
        <v>22</v>
      </c>
      <c r="D770" s="26" t="s">
        <v>23</v>
      </c>
      <c r="E770" s="27" t="str">
        <f>HYPERLINK("https://www.compass.com/building/685-1st-ave-manhattan-ny-10016/281941262150459157/","685 1st Ave")</f>
        <v>685 1st Ave</v>
      </c>
      <c r="F770" s="25" t="s">
        <v>72</v>
      </c>
      <c r="G770" s="28">
        <v>2450000.0</v>
      </c>
      <c r="H770" s="28">
        <v>1494.0</v>
      </c>
      <c r="I770" s="28">
        <v>5147.0</v>
      </c>
      <c r="J770" s="28">
        <v>33012.0</v>
      </c>
      <c r="K770" s="25" t="s">
        <v>28</v>
      </c>
      <c r="L770" s="26">
        <v>6.0</v>
      </c>
      <c r="M770" s="26">
        <v>2.0</v>
      </c>
      <c r="N770" s="26">
        <v>0.0</v>
      </c>
      <c r="O770" s="30"/>
      <c r="P770" s="34">
        <v>1640.0</v>
      </c>
      <c r="Q770" s="35">
        <v>555.0</v>
      </c>
      <c r="R770" s="32">
        <v>45531.0</v>
      </c>
      <c r="S770" s="32">
        <v>45308.0</v>
      </c>
      <c r="T770" s="29"/>
      <c r="U770" s="33"/>
      <c r="V770" s="1"/>
    </row>
    <row r="771" ht="24.0" customHeight="1">
      <c r="A771" s="1"/>
      <c r="B771" s="24" t="str">
        <f>HYPERLINK("https://www.compass.com/listing/2190-brigham-street-unit-4b-brooklyn-ny-11229/1883743965231181145/view?agent_id=610d3f3370540700019b0833","2190 Brigham Street, Unit 4B")</f>
        <v>2190 Brigham Street, Unit 4B</v>
      </c>
      <c r="C771" s="25" t="s">
        <v>22</v>
      </c>
      <c r="D771" s="26" t="s">
        <v>23</v>
      </c>
      <c r="E771" s="27" t="str">
        <f>HYPERLINK("https://www.compass.com/building/2190-brigham-st-brooklyn-ny-11229/293535003940342181/","2190 Brigham St")</f>
        <v>2190 Brigham St</v>
      </c>
      <c r="F771" s="25" t="s">
        <v>70</v>
      </c>
      <c r="G771" s="28">
        <v>208000.0</v>
      </c>
      <c r="H771" s="28">
        <v>297.0</v>
      </c>
      <c r="I771" s="28">
        <v>1177.0</v>
      </c>
      <c r="J771" s="29"/>
      <c r="K771" s="25" t="s">
        <v>25</v>
      </c>
      <c r="L771" s="26">
        <v>5.0</v>
      </c>
      <c r="M771" s="26">
        <v>2.0</v>
      </c>
      <c r="N771" s="26">
        <v>1.0</v>
      </c>
      <c r="O771" s="30"/>
      <c r="P771" s="26">
        <v>700.0</v>
      </c>
      <c r="Q771" s="35">
        <v>13.0</v>
      </c>
      <c r="R771" s="32">
        <v>45857.0</v>
      </c>
      <c r="S771" s="32">
        <v>45850.0</v>
      </c>
      <c r="T771" s="29"/>
      <c r="U771" s="33"/>
      <c r="V771" s="1"/>
    </row>
    <row r="772" ht="24.0" customHeight="1">
      <c r="A772" s="1"/>
      <c r="B772" s="24" t="str">
        <f>HYPERLINK("https://www.compass.com/listing/27-20-42nd-road-unit-5a-queens-ny-11101/1837566071050091457/view?agent_id=610d3f3370540700019b0833","27-20 42nd Road, Unit 5A")</f>
        <v>27-20 42nd Road, Unit 5A</v>
      </c>
      <c r="C772" s="25" t="s">
        <v>22</v>
      </c>
      <c r="D772" s="26" t="s">
        <v>23</v>
      </c>
      <c r="E772" s="27" t="str">
        <f>HYPERLINK("https://www.compass.com/building/27-20-42nd-rd-queens-ny-11101/293527346869260501/","27-20 42nd Rd")</f>
        <v>27-20 42nd Rd</v>
      </c>
      <c r="F772" s="25" t="s">
        <v>215</v>
      </c>
      <c r="G772" s="28">
        <v>1220000.0</v>
      </c>
      <c r="H772" s="28">
        <v>1589.0</v>
      </c>
      <c r="I772" s="28">
        <v>1184.0</v>
      </c>
      <c r="J772" s="28">
        <v>6648.0</v>
      </c>
      <c r="K772" s="25" t="s">
        <v>28</v>
      </c>
      <c r="L772" s="26">
        <v>3.0</v>
      </c>
      <c r="M772" s="26">
        <v>2.0</v>
      </c>
      <c r="N772" s="26">
        <v>1.0</v>
      </c>
      <c r="O772" s="30"/>
      <c r="P772" s="26">
        <v>768.0</v>
      </c>
      <c r="Q772" s="35">
        <v>84.0</v>
      </c>
      <c r="R772" s="32">
        <v>45801.0</v>
      </c>
      <c r="S772" s="32">
        <v>45779.0</v>
      </c>
      <c r="T772" s="29"/>
      <c r="U772" s="33"/>
      <c r="V772" s="1"/>
    </row>
    <row r="773" ht="24.0" customHeight="1">
      <c r="A773" s="1"/>
      <c r="B773" s="24" t="str">
        <f>HYPERLINK("https://www.compass.com/listing/30-11-parsons-boulevard-unit-3p-queens-ny-11354/1858266237305525609/view?agent_id=610d3f3370540700019b0833","30-11 Parsons Boulevard, Unit 3P")</f>
        <v>30-11 Parsons Boulevard, Unit 3P</v>
      </c>
      <c r="C773" s="25" t="s">
        <v>22</v>
      </c>
      <c r="D773" s="26" t="s">
        <v>23</v>
      </c>
      <c r="E773" s="27" t="str">
        <f>HYPERLINK("https://www.compass.com/building/30-11-parsons-blvd-queens-ny-11354/293535254566757637/","30-11 Parsons Blvd")</f>
        <v>30-11 Parsons Blvd</v>
      </c>
      <c r="F773" s="25" t="s">
        <v>160</v>
      </c>
      <c r="G773" s="28">
        <v>449000.0</v>
      </c>
      <c r="H773" s="28">
        <v>408.0</v>
      </c>
      <c r="I773" s="28">
        <v>1112.0</v>
      </c>
      <c r="J773" s="29"/>
      <c r="K773" s="25" t="s">
        <v>25</v>
      </c>
      <c r="L773" s="26">
        <v>5.0</v>
      </c>
      <c r="M773" s="26">
        <v>2.0</v>
      </c>
      <c r="N773" s="26">
        <v>1.0</v>
      </c>
      <c r="O773" s="30"/>
      <c r="P773" s="34">
        <v>1100.0</v>
      </c>
      <c r="Q773" s="35">
        <v>48.0</v>
      </c>
      <c r="R773" s="32">
        <v>45816.0</v>
      </c>
      <c r="S773" s="32">
        <v>45815.0</v>
      </c>
      <c r="T773" s="29"/>
      <c r="U773" s="33"/>
      <c r="V773" s="1"/>
    </row>
    <row r="774" ht="24.0" customHeight="1">
      <c r="A774" s="1"/>
      <c r="B774" s="24" t="str">
        <f>HYPERLINK("https://www.compass.com/listing/880-west-181st-street-unit-4c-manhattan-ny-10033/1824694412840325465/view?agent_id=610d3f3370540700019b0833","880 West 181st Street, Unit 4C")</f>
        <v>880 West 181st Street, Unit 4C</v>
      </c>
      <c r="C774" s="25" t="s">
        <v>22</v>
      </c>
      <c r="D774" s="26" t="s">
        <v>23</v>
      </c>
      <c r="E774" s="27" t="str">
        <f>HYPERLINK("https://www.compass.com/building/the-falkland-co-op-manhattan-ny/282013989494327717/","The Falkland Co-op")</f>
        <v>The Falkland Co-op</v>
      </c>
      <c r="F774" s="25" t="s">
        <v>58</v>
      </c>
      <c r="G774" s="28">
        <v>645000.0</v>
      </c>
      <c r="H774" s="29"/>
      <c r="I774" s="28">
        <v>1288.0</v>
      </c>
      <c r="J774" s="28">
        <v>0.0</v>
      </c>
      <c r="K774" s="25" t="s">
        <v>25</v>
      </c>
      <c r="L774" s="26">
        <v>4.0</v>
      </c>
      <c r="M774" s="26">
        <v>2.0</v>
      </c>
      <c r="N774" s="26">
        <v>1.0</v>
      </c>
      <c r="O774" s="26">
        <v>0.0</v>
      </c>
      <c r="P774" s="30"/>
      <c r="Q774" s="35">
        <v>94.0</v>
      </c>
      <c r="R774" s="32">
        <v>45837.0</v>
      </c>
      <c r="S774" s="32">
        <v>45769.0</v>
      </c>
      <c r="T774" s="29"/>
      <c r="U774" s="33"/>
      <c r="V774" s="1"/>
    </row>
    <row r="775" ht="24.0" customHeight="1">
      <c r="A775" s="1"/>
      <c r="B775" s="24" t="str">
        <f>HYPERLINK("https://www.compass.com/listing/105-bennett-avenue-unit-24a-manhattan-ny-10033/1609348481947646529/view?agent_id=610d3f3370540700019b0833","105 Bennett Avenue, Unit 24A")</f>
        <v>105 Bennett Avenue, Unit 24A</v>
      </c>
      <c r="C775" s="25" t="s">
        <v>22</v>
      </c>
      <c r="D775" s="26" t="s">
        <v>23</v>
      </c>
      <c r="E775" s="27" t="str">
        <f>HYPERLINK("https://www.compass.com/building/105-bennett-ave-manhattan-ny-10033/282010034911706389/","105 Bennett Ave")</f>
        <v>105 Bennett Ave</v>
      </c>
      <c r="F775" s="25" t="s">
        <v>58</v>
      </c>
      <c r="G775" s="28">
        <v>539000.0</v>
      </c>
      <c r="H775" s="28">
        <v>722.0</v>
      </c>
      <c r="I775" s="28">
        <v>734.0</v>
      </c>
      <c r="J775" s="28">
        <v>2892.0</v>
      </c>
      <c r="K775" s="25" t="s">
        <v>28</v>
      </c>
      <c r="L775" s="26">
        <v>4.0</v>
      </c>
      <c r="M775" s="26">
        <v>2.0</v>
      </c>
      <c r="N775" s="26">
        <v>1.0</v>
      </c>
      <c r="O775" s="26">
        <v>0.0</v>
      </c>
      <c r="P775" s="26">
        <v>747.0</v>
      </c>
      <c r="Q775" s="35">
        <v>389.0</v>
      </c>
      <c r="R775" s="32">
        <v>45853.0</v>
      </c>
      <c r="S775" s="32">
        <v>45474.0</v>
      </c>
      <c r="T775" s="29"/>
      <c r="U775" s="33"/>
      <c r="V775" s="1"/>
    </row>
    <row r="776" ht="24.0" customHeight="1">
      <c r="A776" s="1"/>
      <c r="B776" s="24" t="str">
        <f>HYPERLINK("https://www.compass.com/listing/38-15-149th-street-unit-4k-queens-ny-11354/1844917035698576409/view?agent_id=610d3f3370540700019b0833","38-15 149th Street, Unit 4K")</f>
        <v>38-15 149th Street, Unit 4K</v>
      </c>
      <c r="C776" s="25" t="s">
        <v>22</v>
      </c>
      <c r="D776" s="26" t="s">
        <v>23</v>
      </c>
      <c r="E776" s="27" t="str">
        <f>HYPERLINK("https://www.compass.com/building/38-15-149th-st-queens-ny-11354/293527290204191573/","38-15 149th St")</f>
        <v>38-15 149th St</v>
      </c>
      <c r="F776" s="25" t="s">
        <v>160</v>
      </c>
      <c r="G776" s="28">
        <v>329000.0</v>
      </c>
      <c r="H776" s="29"/>
      <c r="I776" s="28">
        <v>882.0</v>
      </c>
      <c r="J776" s="28">
        <v>0.0</v>
      </c>
      <c r="K776" s="25" t="s">
        <v>25</v>
      </c>
      <c r="L776" s="26">
        <v>5.0</v>
      </c>
      <c r="M776" s="26">
        <v>2.0</v>
      </c>
      <c r="N776" s="26">
        <v>1.0</v>
      </c>
      <c r="O776" s="30"/>
      <c r="P776" s="26">
        <v>0.0</v>
      </c>
      <c r="Q776" s="35">
        <v>67.0</v>
      </c>
      <c r="R776" s="32">
        <v>45797.0</v>
      </c>
      <c r="S776" s="32">
        <v>45796.0</v>
      </c>
      <c r="T776" s="29"/>
      <c r="U776" s="33"/>
      <c r="V776" s="1"/>
    </row>
    <row r="777" ht="24.0" customHeight="1">
      <c r="A777" s="1"/>
      <c r="B777" s="24" t="str">
        <f>HYPERLINK("https://www.compass.com/listing/3239-barker-avenue-unit-l-j-bronx-ny-10467/1844995510430068825/view?agent_id=610d3f3370540700019b0833","3239 Barker Avenue, Unit L J")</f>
        <v>3239 Barker Avenue, Unit L J</v>
      </c>
      <c r="C777" s="25" t="s">
        <v>22</v>
      </c>
      <c r="D777" s="26" t="s">
        <v>23</v>
      </c>
      <c r="E777" s="27" t="str">
        <f>HYPERLINK("https://www.compass.com/building/3239-barker-ave-bronx-ny-10467/307444425961403845/","3239 Barker Ave")</f>
        <v>3239 Barker Ave</v>
      </c>
      <c r="F777" s="25" t="s">
        <v>213</v>
      </c>
      <c r="G777" s="28">
        <v>200000.0</v>
      </c>
      <c r="H777" s="28">
        <v>190.0</v>
      </c>
      <c r="I777" s="28">
        <v>1593.0</v>
      </c>
      <c r="J777" s="29"/>
      <c r="K777" s="25" t="s">
        <v>25</v>
      </c>
      <c r="L777" s="26">
        <v>4.0</v>
      </c>
      <c r="M777" s="26">
        <v>2.0</v>
      </c>
      <c r="N777" s="26">
        <v>1.0</v>
      </c>
      <c r="O777" s="30"/>
      <c r="P777" s="34">
        <v>1050.0</v>
      </c>
      <c r="Q777" s="35">
        <v>66.0</v>
      </c>
      <c r="R777" s="32">
        <v>45813.0</v>
      </c>
      <c r="S777" s="32">
        <v>45797.0</v>
      </c>
      <c r="T777" s="29"/>
      <c r="U777" s="33"/>
      <c r="V777" s="1"/>
    </row>
    <row r="778" ht="24.0" customHeight="1">
      <c r="A778" s="1"/>
      <c r="B778" s="24" t="str">
        <f>HYPERLINK("https://www.compass.com/listing/106-19-50th-avenue-unit-2f-queens-ny-11368/1856148321705824569/view?agent_id=610d3f3370540700019b0833","106-19 50th Avenue, Unit 2F")</f>
        <v>106-19 50th Avenue, Unit 2F</v>
      </c>
      <c r="C778" s="25" t="s">
        <v>22</v>
      </c>
      <c r="D778" s="26" t="s">
        <v>23</v>
      </c>
      <c r="E778" s="27" t="str">
        <f>HYPERLINK("https://www.compass.com/building/106-19-50th-ave-queens-ny-11368/293530620112420677/","106-19 50th Ave")</f>
        <v>106-19 50th Ave</v>
      </c>
      <c r="F778" s="25" t="s">
        <v>153</v>
      </c>
      <c r="G778" s="28">
        <v>488000.0</v>
      </c>
      <c r="H778" s="28">
        <v>701.0</v>
      </c>
      <c r="I778" s="28">
        <v>367.0</v>
      </c>
      <c r="J778" s="28">
        <v>197.0</v>
      </c>
      <c r="K778" s="25" t="s">
        <v>28</v>
      </c>
      <c r="L778" s="26">
        <v>6.0</v>
      </c>
      <c r="M778" s="26">
        <v>2.0</v>
      </c>
      <c r="N778" s="26">
        <v>1.0</v>
      </c>
      <c r="O778" s="30"/>
      <c r="P778" s="26">
        <v>696.0</v>
      </c>
      <c r="Q778" s="35">
        <v>51.0</v>
      </c>
      <c r="R778" s="32">
        <v>45813.0</v>
      </c>
      <c r="S778" s="32">
        <v>45812.0</v>
      </c>
      <c r="T778" s="29"/>
      <c r="U778" s="33"/>
      <c r="V778" s="1"/>
    </row>
    <row r="779" ht="24.0" customHeight="1">
      <c r="A779" s="1"/>
      <c r="B779" s="24" t="str">
        <f>HYPERLINK("https://www.compass.com/listing/773-eastern-parkway-unit-2a-brooklyn-ny-11213/1779311619607358921/view?agent_id=610d3f3370540700019b0833","773 Eastern Parkway, Unit 2A")</f>
        <v>773 Eastern Parkway, Unit 2A</v>
      </c>
      <c r="C779" s="25" t="s">
        <v>22</v>
      </c>
      <c r="D779" s="26" t="s">
        <v>23</v>
      </c>
      <c r="E779" s="27" t="str">
        <f>HYPERLINK("https://www.compass.com/building/773-eastern-pkwy-brooklyn-ny-11213/293530689108750501/","773 Eastern Pkwy")</f>
        <v>773 Eastern Pkwy</v>
      </c>
      <c r="F779" s="25" t="s">
        <v>113</v>
      </c>
      <c r="G779" s="28">
        <v>349000.0</v>
      </c>
      <c r="H779" s="28">
        <v>465.0</v>
      </c>
      <c r="I779" s="28">
        <v>732.0</v>
      </c>
      <c r="J779" s="28">
        <v>0.0</v>
      </c>
      <c r="K779" s="25" t="s">
        <v>25</v>
      </c>
      <c r="L779" s="26">
        <v>5.0</v>
      </c>
      <c r="M779" s="26">
        <v>2.0</v>
      </c>
      <c r="N779" s="26">
        <v>1.0</v>
      </c>
      <c r="O779" s="30"/>
      <c r="P779" s="26">
        <v>750.0</v>
      </c>
      <c r="Q779" s="35">
        <v>224.0</v>
      </c>
      <c r="R779" s="32">
        <v>45719.0</v>
      </c>
      <c r="S779" s="32">
        <v>45639.0</v>
      </c>
      <c r="T779" s="29"/>
      <c r="U779" s="33"/>
      <c r="V779" s="1"/>
    </row>
    <row r="780" ht="24.0" customHeight="1">
      <c r="A780" s="1"/>
      <c r="B780" s="24" t="str">
        <f>HYPERLINK("https://www.compass.com/listing/50-fort-place-unit-a6b-staten-island-ny-10301/1887987335625838441/view?agent_id=610d3f3370540700019b0833","50 Fort Place, Unit A6B")</f>
        <v>50 Fort Place, Unit A6B</v>
      </c>
      <c r="C780" s="25" t="s">
        <v>22</v>
      </c>
      <c r="D780" s="26" t="s">
        <v>23</v>
      </c>
      <c r="E780" s="27" t="str">
        <f>HYPERLINK("https://www.compass.com/building/50-fort-pl-staten-island-ny-10301/293528381495036149/","50 Fort Pl")</f>
        <v>50 Fort Pl</v>
      </c>
      <c r="F780" s="25" t="s">
        <v>216</v>
      </c>
      <c r="G780" s="28">
        <v>379000.0</v>
      </c>
      <c r="H780" s="28">
        <v>316.0</v>
      </c>
      <c r="I780" s="28">
        <v>965.0</v>
      </c>
      <c r="J780" s="29"/>
      <c r="K780" s="36"/>
      <c r="L780" s="26">
        <v>4.0</v>
      </c>
      <c r="M780" s="26">
        <v>2.0</v>
      </c>
      <c r="N780" s="26">
        <v>1.0</v>
      </c>
      <c r="O780" s="26">
        <v>0.0</v>
      </c>
      <c r="P780" s="34">
        <v>1200.0</v>
      </c>
      <c r="Q780" s="35">
        <v>7.0</v>
      </c>
      <c r="R780" s="32">
        <v>45863.0</v>
      </c>
      <c r="S780" s="32">
        <v>45856.0</v>
      </c>
      <c r="T780" s="29"/>
      <c r="U780" s="33"/>
      <c r="V780" s="1"/>
    </row>
    <row r="781" ht="24.0" customHeight="1">
      <c r="A781" s="1"/>
      <c r="B781" s="24" t="str">
        <f>HYPERLINK("https://www.compass.com/listing/2090-madison-avenue-unit-1d-manhattan-ny-10037/1608823485831167489/view?agent_id=610d3f3370540700019b0833","2090 Madison Avenue, Unit 1D")</f>
        <v>2090 Madison Avenue, Unit 1D</v>
      </c>
      <c r="C781" s="25" t="s">
        <v>22</v>
      </c>
      <c r="D781" s="26" t="s">
        <v>23</v>
      </c>
      <c r="E781" s="27" t="str">
        <f>HYPERLINK("https://www.compass.com/building/2090-madison-ave-manhattan-ny-10037/282027790834872101/","2090 Madison Ave")</f>
        <v>2090 Madison Ave</v>
      </c>
      <c r="F781" s="25" t="s">
        <v>32</v>
      </c>
      <c r="G781" s="28">
        <v>279000.0</v>
      </c>
      <c r="H781" s="29"/>
      <c r="I781" s="28">
        <v>990.0</v>
      </c>
      <c r="J781" s="28">
        <v>0.0</v>
      </c>
      <c r="K781" s="25" t="s">
        <v>25</v>
      </c>
      <c r="L781" s="26">
        <v>5.0</v>
      </c>
      <c r="M781" s="26">
        <v>2.0</v>
      </c>
      <c r="N781" s="26">
        <v>1.0</v>
      </c>
      <c r="O781" s="26">
        <v>0.0</v>
      </c>
      <c r="P781" s="30"/>
      <c r="Q781" s="35">
        <v>364.0</v>
      </c>
      <c r="R781" s="32">
        <v>45812.0</v>
      </c>
      <c r="S781" s="32">
        <v>45471.0</v>
      </c>
      <c r="T781" s="29"/>
      <c r="U781" s="33"/>
      <c r="V781" s="1"/>
    </row>
    <row r="782" ht="24.0" customHeight="1">
      <c r="A782" s="1"/>
      <c r="B782" s="24" t="str">
        <f>HYPERLINK("https://www.compass.com/listing/2555-batchelder-street-unit-3j-brooklyn-ny-11235/1870115852120699433/view?agent_id=610d3f3370540700019b0833","2555 Batchelder Street, Unit 3J")</f>
        <v>2555 Batchelder Street, Unit 3J</v>
      </c>
      <c r="C782" s="25" t="s">
        <v>22</v>
      </c>
      <c r="D782" s="26" t="s">
        <v>23</v>
      </c>
      <c r="E782" s="27" t="str">
        <f>HYPERLINK("https://www.compass.com/building/2555-batchelder-st-brooklyn-ny-11235/293534245987621109/","2555 Batchelder St")</f>
        <v>2555 Batchelder St</v>
      </c>
      <c r="F782" s="25" t="s">
        <v>70</v>
      </c>
      <c r="G782" s="28">
        <v>325000.0</v>
      </c>
      <c r="H782" s="28">
        <v>295.0</v>
      </c>
      <c r="I782" s="28">
        <v>1006.0</v>
      </c>
      <c r="J782" s="28">
        <v>0.0</v>
      </c>
      <c r="K782" s="25" t="s">
        <v>25</v>
      </c>
      <c r="L782" s="26">
        <v>5.0</v>
      </c>
      <c r="M782" s="26">
        <v>2.0</v>
      </c>
      <c r="N782" s="26">
        <v>1.0</v>
      </c>
      <c r="O782" s="30"/>
      <c r="P782" s="34">
        <v>1100.0</v>
      </c>
      <c r="Q782" s="35">
        <v>32.0</v>
      </c>
      <c r="R782" s="32">
        <v>45832.0</v>
      </c>
      <c r="S782" s="32">
        <v>45831.0</v>
      </c>
      <c r="T782" s="29"/>
      <c r="U782" s="33"/>
      <c r="V782" s="1"/>
    </row>
    <row r="783" ht="24.0" customHeight="1">
      <c r="A783" s="1"/>
      <c r="B783" s="24" t="str">
        <f>HYPERLINK("https://www.compass.com/listing/84-10-153rd-avenue-unit-3k-queens-ny-11414/1869836954954840673/view?agent_id=610d3f3370540700019b0833","84-10 153rd Avenue, Unit 3K")</f>
        <v>84-10 153rd Avenue, Unit 3K</v>
      </c>
      <c r="C783" s="25" t="s">
        <v>22</v>
      </c>
      <c r="D783" s="26" t="s">
        <v>23</v>
      </c>
      <c r="E783" s="27" t="str">
        <f>HYPERLINK("https://www.compass.com/building/84-10-153rd-ave-queens-ny-11414/293529084443513669/","84-10 153rd Ave")</f>
        <v>84-10 153rd Ave</v>
      </c>
      <c r="F783" s="25" t="s">
        <v>212</v>
      </c>
      <c r="G783" s="28">
        <v>299000.0</v>
      </c>
      <c r="H783" s="28">
        <v>249.0</v>
      </c>
      <c r="I783" s="28">
        <v>1222.0</v>
      </c>
      <c r="J783" s="29"/>
      <c r="K783" s="25" t="s">
        <v>25</v>
      </c>
      <c r="L783" s="26">
        <v>4.0</v>
      </c>
      <c r="M783" s="26">
        <v>2.0</v>
      </c>
      <c r="N783" s="26">
        <v>1.0</v>
      </c>
      <c r="O783" s="30"/>
      <c r="P783" s="34">
        <v>1200.0</v>
      </c>
      <c r="Q783" s="35">
        <v>32.0</v>
      </c>
      <c r="R783" s="32">
        <v>45838.0</v>
      </c>
      <c r="S783" s="32">
        <v>45831.0</v>
      </c>
      <c r="T783" s="29"/>
      <c r="U783" s="33"/>
      <c r="V783" s="1"/>
    </row>
    <row r="784" ht="24.0" customHeight="1">
      <c r="A784" s="1"/>
      <c r="B784" s="24" t="str">
        <f>HYPERLINK("https://www.compass.com/listing/187-pinehurst-avenue-unit-2g-manhattan-ny-10033/1829102266678963513/view?agent_id=610d3f3370540700019b0833","187 Pinehurst Avenue, Unit 2G")</f>
        <v>187 Pinehurst Avenue, Unit 2G</v>
      </c>
      <c r="C784" s="25" t="s">
        <v>22</v>
      </c>
      <c r="D784" s="26" t="s">
        <v>23</v>
      </c>
      <c r="E784" s="27" t="str">
        <f>HYPERLINK("https://www.compass.com/building/187-pinehurst-ave-manhattan-ny-10033/282010695808188117/","187 Pinehurst Ave")</f>
        <v>187 Pinehurst Ave</v>
      </c>
      <c r="F784" s="25" t="s">
        <v>58</v>
      </c>
      <c r="G784" s="28">
        <v>475000.0</v>
      </c>
      <c r="H784" s="29"/>
      <c r="I784" s="28">
        <v>929.0</v>
      </c>
      <c r="J784" s="28">
        <v>0.0</v>
      </c>
      <c r="K784" s="25" t="s">
        <v>25</v>
      </c>
      <c r="L784" s="26">
        <v>4.0</v>
      </c>
      <c r="M784" s="26">
        <v>2.0</v>
      </c>
      <c r="N784" s="26">
        <v>1.0</v>
      </c>
      <c r="O784" s="26">
        <v>0.0</v>
      </c>
      <c r="P784" s="30"/>
      <c r="Q784" s="35">
        <v>88.0</v>
      </c>
      <c r="R784" s="32">
        <v>45775.0</v>
      </c>
      <c r="S784" s="32">
        <v>45775.0</v>
      </c>
      <c r="T784" s="29"/>
      <c r="U784" s="33"/>
      <c r="V784" s="1"/>
    </row>
    <row r="785" ht="24.0" customHeight="1">
      <c r="A785" s="1"/>
      <c r="B785" s="24" t="str">
        <f>HYPERLINK("https://www.compass.com/listing/46-12-161st-street-unit-2c-queens-ny-11358/1887893006693692457/view?agent_id=610d3f3370540700019b0833","46-12 161st Street, Unit 2C")</f>
        <v>46-12 161st Street, Unit 2C</v>
      </c>
      <c r="C785" s="25" t="s">
        <v>22</v>
      </c>
      <c r="D785" s="26" t="s">
        <v>23</v>
      </c>
      <c r="E785" s="27" t="str">
        <f>HYPERLINK("https://www.compass.com/building/46-12-161st-st-queens-ny-11358/293528040347108245/","46-12 161st St")</f>
        <v>46-12 161st St</v>
      </c>
      <c r="F785" s="25" t="s">
        <v>185</v>
      </c>
      <c r="G785" s="28">
        <v>610000.0</v>
      </c>
      <c r="H785" s="28">
        <v>635.0</v>
      </c>
      <c r="I785" s="28">
        <v>818.0</v>
      </c>
      <c r="J785" s="28">
        <v>3875.0</v>
      </c>
      <c r="K785" s="25" t="s">
        <v>28</v>
      </c>
      <c r="L785" s="26">
        <v>5.0</v>
      </c>
      <c r="M785" s="26">
        <v>2.0</v>
      </c>
      <c r="N785" s="26">
        <v>1.0</v>
      </c>
      <c r="O785" s="26">
        <v>0.0</v>
      </c>
      <c r="P785" s="26">
        <v>960.0</v>
      </c>
      <c r="Q785" s="35">
        <v>7.0</v>
      </c>
      <c r="R785" s="32">
        <v>45861.0</v>
      </c>
      <c r="S785" s="32">
        <v>45855.0</v>
      </c>
      <c r="T785" s="29"/>
      <c r="U785" s="33"/>
      <c r="V785" s="1"/>
    </row>
    <row r="786" ht="24.0" customHeight="1">
      <c r="A786" s="1"/>
      <c r="B786" s="24" t="str">
        <f>HYPERLINK("https://www.compass.com/listing/711-montauk-court-unit-1j-brooklyn-ny-11235/1887108170962248897/view?agent_id=610d3f3370540700019b0833","711 Montauk Court, Unit 1J")</f>
        <v>711 Montauk Court, Unit 1J</v>
      </c>
      <c r="C786" s="25" t="s">
        <v>22</v>
      </c>
      <c r="D786" s="26" t="s">
        <v>23</v>
      </c>
      <c r="E786" s="27" t="str">
        <f>HYPERLINK("https://www.compass.com/building/711-montauk-ct-brooklyn-ny-11235/293531213665268597/","711 Montauk Ct")</f>
        <v>711 Montauk Ct</v>
      </c>
      <c r="F786" s="25" t="s">
        <v>70</v>
      </c>
      <c r="G786" s="28">
        <v>319000.0</v>
      </c>
      <c r="H786" s="28">
        <v>319.0</v>
      </c>
      <c r="I786" s="28">
        <v>993.0</v>
      </c>
      <c r="J786" s="29"/>
      <c r="K786" s="25" t="s">
        <v>25</v>
      </c>
      <c r="L786" s="26">
        <v>4.0</v>
      </c>
      <c r="M786" s="26">
        <v>2.0</v>
      </c>
      <c r="N786" s="26">
        <v>1.0</v>
      </c>
      <c r="O786" s="30"/>
      <c r="P786" s="34">
        <v>1000.0</v>
      </c>
      <c r="Q786" s="35">
        <v>8.0</v>
      </c>
      <c r="R786" s="32">
        <v>45862.0</v>
      </c>
      <c r="S786" s="32">
        <v>45855.0</v>
      </c>
      <c r="T786" s="29"/>
      <c r="U786" s="33"/>
      <c r="V786" s="1"/>
    </row>
    <row r="787" ht="24.0" customHeight="1">
      <c r="A787" s="1"/>
      <c r="B787" s="24" t="str">
        <f>HYPERLINK("https://www.compass.com/listing/224-bradhurst-avenue-unit-20-manhattan-ny-10039/1657479578328885625/view?agent_id=610d3f3370540700019b0833","224 Bradhurst Avenue, Unit 20")</f>
        <v>224 Bradhurst Avenue, Unit 20</v>
      </c>
      <c r="C787" s="25" t="s">
        <v>22</v>
      </c>
      <c r="D787" s="26" t="s">
        <v>23</v>
      </c>
      <c r="E787" s="27" t="str">
        <f>HYPERLINK("https://www.compass.com/building/224-bradhurst-ave-manhattan-ny-10039/282031319678989749/","224 Bradhurst Ave")</f>
        <v>224 Bradhurst Ave</v>
      </c>
      <c r="F787" s="25" t="s">
        <v>32</v>
      </c>
      <c r="G787" s="28">
        <v>194900.0</v>
      </c>
      <c r="H787" s="28">
        <v>320.0</v>
      </c>
      <c r="I787" s="28">
        <v>860.0</v>
      </c>
      <c r="J787" s="29"/>
      <c r="K787" s="25" t="s">
        <v>25</v>
      </c>
      <c r="L787" s="26">
        <v>6.0</v>
      </c>
      <c r="M787" s="26">
        <v>2.0</v>
      </c>
      <c r="N787" s="26">
        <v>1.0</v>
      </c>
      <c r="O787" s="30"/>
      <c r="P787" s="26">
        <v>610.0</v>
      </c>
      <c r="Q787" s="35">
        <v>325.0</v>
      </c>
      <c r="R787" s="32">
        <v>45619.0</v>
      </c>
      <c r="S787" s="32">
        <v>45538.0</v>
      </c>
      <c r="T787" s="29"/>
      <c r="U787" s="33"/>
      <c r="V787" s="1"/>
    </row>
    <row r="788" ht="24.0" customHeight="1">
      <c r="A788" s="1"/>
      <c r="B788" s="24" t="str">
        <f>HYPERLINK("https://www.compass.com/listing/15-william-street-unit-42a-manhattan-ny-10005/1836367704604467281/view?agent_id=610d3f3370540700019b0833","15 William Street, Unit 42A")</f>
        <v>15 William Street, Unit 42A</v>
      </c>
      <c r="C788" s="25" t="s">
        <v>22</v>
      </c>
      <c r="D788" s="26" t="s">
        <v>23</v>
      </c>
      <c r="E788" s="27" t="str">
        <f>HYPERLINK("https://www.compass.com/building/william-beaver-manhattan-ny/294837545552657237/","William Beaver")</f>
        <v>William Beaver</v>
      </c>
      <c r="F788" s="25" t="s">
        <v>80</v>
      </c>
      <c r="G788" s="28">
        <v>1950000.0</v>
      </c>
      <c r="H788" s="28">
        <v>1472.0</v>
      </c>
      <c r="I788" s="28">
        <v>4395.0</v>
      </c>
      <c r="J788" s="28">
        <v>30840.0</v>
      </c>
      <c r="K788" s="25" t="s">
        <v>28</v>
      </c>
      <c r="L788" s="26">
        <v>4.0</v>
      </c>
      <c r="M788" s="26">
        <v>2.0</v>
      </c>
      <c r="N788" s="26">
        <v>1.0</v>
      </c>
      <c r="O788" s="26">
        <v>0.0</v>
      </c>
      <c r="P788" s="34">
        <v>1325.0</v>
      </c>
      <c r="Q788" s="35">
        <v>72.0</v>
      </c>
      <c r="R788" s="32">
        <v>45860.0</v>
      </c>
      <c r="S788" s="32">
        <v>45791.0</v>
      </c>
      <c r="T788" s="29"/>
      <c r="U788" s="33"/>
      <c r="V788" s="1"/>
    </row>
    <row r="789" ht="24.0" customHeight="1">
      <c r="A789" s="1"/>
      <c r="B789" s="24" t="str">
        <f>HYPERLINK("https://www.compass.com/listing/2331-ocean-avenue-unit-6c-brooklyn-ny-11229/1883562743381067145/view?agent_id=610d3f3370540700019b0833","2331 Ocean Avenue, Unit 6C")</f>
        <v>2331 Ocean Avenue, Unit 6C</v>
      </c>
      <c r="C789" s="25" t="s">
        <v>22</v>
      </c>
      <c r="D789" s="26" t="s">
        <v>23</v>
      </c>
      <c r="E789" s="27" t="str">
        <f>HYPERLINK("https://www.compass.com/building/2331-ocean-ave-brooklyn-ny-11229/293533665378532069/","2331 Ocean Ave")</f>
        <v>2331 Ocean Ave</v>
      </c>
      <c r="F789" s="25" t="s">
        <v>152</v>
      </c>
      <c r="G789" s="28">
        <v>329998.0</v>
      </c>
      <c r="H789" s="28">
        <v>330.0</v>
      </c>
      <c r="I789" s="28">
        <v>1002.0</v>
      </c>
      <c r="J789" s="29"/>
      <c r="K789" s="25" t="s">
        <v>25</v>
      </c>
      <c r="L789" s="26">
        <v>4.0</v>
      </c>
      <c r="M789" s="26">
        <v>2.0</v>
      </c>
      <c r="N789" s="26">
        <v>1.0</v>
      </c>
      <c r="O789" s="30"/>
      <c r="P789" s="34">
        <v>1000.0</v>
      </c>
      <c r="Q789" s="35">
        <v>12.0</v>
      </c>
      <c r="R789" s="32">
        <v>45860.0</v>
      </c>
      <c r="S789" s="32">
        <v>45850.0</v>
      </c>
      <c r="T789" s="29"/>
      <c r="U789" s="33"/>
      <c r="V789" s="1"/>
    </row>
    <row r="790" ht="24.0" customHeight="1">
      <c r="A790" s="1"/>
      <c r="B790" s="24" t="str">
        <f>HYPERLINK("https://www.compass.com/listing/65-15-alderton-street-unit-2c-queens-ny-11374/1872558306258010633/view?agent_id=610d3f3370540700019b0833","65-15 Alderton Street, Unit 2C")</f>
        <v>65-15 Alderton Street, Unit 2C</v>
      </c>
      <c r="C790" s="25" t="s">
        <v>22</v>
      </c>
      <c r="D790" s="26" t="s">
        <v>23</v>
      </c>
      <c r="E790" s="27" t="str">
        <f>HYPERLINK("https://www.compass.com/building/65-15-alderton-st-queens-ny-11374/293526690234184389/","65-15 Alderton St")</f>
        <v>65-15 Alderton St</v>
      </c>
      <c r="F790" s="25" t="s">
        <v>166</v>
      </c>
      <c r="G790" s="28">
        <v>390000.0</v>
      </c>
      <c r="H790" s="28">
        <v>433.0</v>
      </c>
      <c r="I790" s="28">
        <v>1173.0</v>
      </c>
      <c r="J790" s="29"/>
      <c r="K790" s="25" t="s">
        <v>25</v>
      </c>
      <c r="L790" s="26">
        <v>4.0</v>
      </c>
      <c r="M790" s="26">
        <v>2.0</v>
      </c>
      <c r="N790" s="26">
        <v>1.0</v>
      </c>
      <c r="O790" s="30"/>
      <c r="P790" s="26">
        <v>900.0</v>
      </c>
      <c r="Q790" s="35">
        <v>28.0</v>
      </c>
      <c r="R790" s="32">
        <v>45836.0</v>
      </c>
      <c r="S790" s="32">
        <v>45835.0</v>
      </c>
      <c r="T790" s="29"/>
      <c r="U790" s="33"/>
      <c r="V790" s="1"/>
    </row>
    <row r="791" ht="24.0" customHeight="1">
      <c r="A791" s="1"/>
      <c r="B791" s="24" t="str">
        <f>HYPERLINK("https://www.compass.com/listing/116-pinehurst-avenue-unit-h14-manhattan-ny-10033/1825405401629627473/view?agent_id=610d3f3370540700019b0833","116 Pinehurst Avenue, Unit H14")</f>
        <v>116 Pinehurst Avenue, Unit H14</v>
      </c>
      <c r="C791" s="25" t="s">
        <v>22</v>
      </c>
      <c r="D791" s="26" t="s">
        <v>23</v>
      </c>
      <c r="E791" s="27" t="str">
        <f t="shared" ref="E791:E792" si="4">HYPERLINK("https://www.compass.com/building/116-pinehurst-ave-manhattan-ny-10033/282010085335629477/","116 Pinehurst Ave")</f>
        <v>116 Pinehurst Ave</v>
      </c>
      <c r="F791" s="25" t="s">
        <v>58</v>
      </c>
      <c r="G791" s="28">
        <v>699000.0</v>
      </c>
      <c r="H791" s="29"/>
      <c r="I791" s="28">
        <v>1874.0</v>
      </c>
      <c r="J791" s="28">
        <v>0.0</v>
      </c>
      <c r="K791" s="25" t="s">
        <v>25</v>
      </c>
      <c r="L791" s="26">
        <v>4.0</v>
      </c>
      <c r="M791" s="26">
        <v>2.0</v>
      </c>
      <c r="N791" s="26">
        <v>1.0</v>
      </c>
      <c r="O791" s="26">
        <v>0.0</v>
      </c>
      <c r="P791" s="30"/>
      <c r="Q791" s="35">
        <v>93.0</v>
      </c>
      <c r="R791" s="32">
        <v>45860.0</v>
      </c>
      <c r="S791" s="32">
        <v>45770.0</v>
      </c>
      <c r="T791" s="29"/>
      <c r="U791" s="33"/>
      <c r="V791" s="1"/>
    </row>
    <row r="792" ht="24.0" customHeight="1">
      <c r="A792" s="1"/>
      <c r="B792" s="24" t="str">
        <f>HYPERLINK("https://www.compass.com/listing/116-pinehurst-avenue-unit-c15-manhattan-ny-10033/1826145190435739329/view?agent_id=610d3f3370540700019b0833","116 Pinehurst Avenue, Unit C15")</f>
        <v>116 Pinehurst Avenue, Unit C15</v>
      </c>
      <c r="C792" s="25" t="s">
        <v>22</v>
      </c>
      <c r="D792" s="26" t="s">
        <v>23</v>
      </c>
      <c r="E792" s="27" t="str">
        <f t="shared" si="4"/>
        <v>116 Pinehurst Ave</v>
      </c>
      <c r="F792" s="25" t="s">
        <v>58</v>
      </c>
      <c r="G792" s="28">
        <v>765000.0</v>
      </c>
      <c r="H792" s="29"/>
      <c r="I792" s="28">
        <v>2011.0</v>
      </c>
      <c r="J792" s="28">
        <v>0.0</v>
      </c>
      <c r="K792" s="25" t="s">
        <v>25</v>
      </c>
      <c r="L792" s="26">
        <v>4.0</v>
      </c>
      <c r="M792" s="26">
        <v>2.0</v>
      </c>
      <c r="N792" s="26">
        <v>1.0</v>
      </c>
      <c r="O792" s="26">
        <v>0.0</v>
      </c>
      <c r="P792" s="30"/>
      <c r="Q792" s="35">
        <v>92.0</v>
      </c>
      <c r="R792" s="32">
        <v>45847.0</v>
      </c>
      <c r="S792" s="32">
        <v>45771.0</v>
      </c>
      <c r="T792" s="29"/>
      <c r="U792" s="33"/>
      <c r="V792" s="1"/>
    </row>
    <row r="793" ht="24.0" customHeight="1">
      <c r="A793" s="1"/>
      <c r="B793" s="24" t="str">
        <f>HYPERLINK("https://www.compass.com/listing/137-west-142nd-street-unit-2d-manhattan-ny-10030/1856902246591319001/view?agent_id=610d3f3370540700019b0833","137 West 142nd Street, Unit 2D")</f>
        <v>137 West 142nd Street, Unit 2D</v>
      </c>
      <c r="C793" s="25" t="s">
        <v>22</v>
      </c>
      <c r="D793" s="26" t="s">
        <v>23</v>
      </c>
      <c r="E793" s="27" t="str">
        <f>HYPERLINK("https://www.compass.com/building/137-w-142nd-st-manhattan-ny-10030/281927211290764421/","137 W 142nd St")</f>
        <v>137 W 142nd St</v>
      </c>
      <c r="F793" s="25" t="s">
        <v>32</v>
      </c>
      <c r="G793" s="28">
        <v>360000.0</v>
      </c>
      <c r="H793" s="28">
        <v>403.0</v>
      </c>
      <c r="I793" s="28">
        <v>1197.0</v>
      </c>
      <c r="J793" s="29"/>
      <c r="K793" s="25" t="s">
        <v>25</v>
      </c>
      <c r="L793" s="26">
        <v>5.0</v>
      </c>
      <c r="M793" s="26">
        <v>2.0</v>
      </c>
      <c r="N793" s="26">
        <v>1.0</v>
      </c>
      <c r="O793" s="30"/>
      <c r="P793" s="26">
        <v>894.0</v>
      </c>
      <c r="Q793" s="35">
        <v>50.0</v>
      </c>
      <c r="R793" s="32">
        <v>45851.0</v>
      </c>
      <c r="S793" s="32">
        <v>45813.0</v>
      </c>
      <c r="T793" s="29"/>
      <c r="U793" s="33"/>
      <c r="V793" s="1"/>
    </row>
    <row r="794" ht="24.0" customHeight="1">
      <c r="A794" s="1"/>
      <c r="B794" s="24" t="str">
        <f>HYPERLINK("https://www.compass.com/listing/62-59-108th-street-unit-4n-queens-ny-11375/1879087024993405193/view?agent_id=610d3f3370540700019b0833","62-59 108th Street, Unit 4N")</f>
        <v>62-59 108th Street, Unit 4N</v>
      </c>
      <c r="C794" s="25" t="s">
        <v>22</v>
      </c>
      <c r="D794" s="26" t="s">
        <v>23</v>
      </c>
      <c r="E794" s="27" t="str">
        <f>HYPERLINK("https://www.compass.com/building/62-59-108th-st-queens-ny-11375/293531400873784277/","62-59 108th St")</f>
        <v>62-59 108th St</v>
      </c>
      <c r="F794" s="25" t="s">
        <v>83</v>
      </c>
      <c r="G794" s="28">
        <v>449000.0</v>
      </c>
      <c r="H794" s="28">
        <v>408.0</v>
      </c>
      <c r="I794" s="28">
        <v>755.0</v>
      </c>
      <c r="J794" s="29"/>
      <c r="K794" s="25" t="s">
        <v>25</v>
      </c>
      <c r="L794" s="26">
        <v>5.0</v>
      </c>
      <c r="M794" s="26">
        <v>2.0</v>
      </c>
      <c r="N794" s="26">
        <v>1.0</v>
      </c>
      <c r="O794" s="30"/>
      <c r="P794" s="34">
        <v>1100.0</v>
      </c>
      <c r="Q794" s="35">
        <v>19.0</v>
      </c>
      <c r="R794" s="32">
        <v>45845.0</v>
      </c>
      <c r="S794" s="32">
        <v>45844.0</v>
      </c>
      <c r="T794" s="29"/>
      <c r="U794" s="33"/>
      <c r="V794" s="1"/>
    </row>
    <row r="795" ht="24.0" customHeight="1">
      <c r="A795" s="1"/>
      <c r="B795" s="24" t="str">
        <f>HYPERLINK("https://www.compass.com/listing/800-grand-concourse-unit-2js-bronx-ny-10451/1882994004222859225/view?agent_id=610d3f3370540700019b0833","800 Grand Concourse, Unit 2JS")</f>
        <v>800 Grand Concourse, Unit 2JS</v>
      </c>
      <c r="C795" s="25" t="s">
        <v>22</v>
      </c>
      <c r="D795" s="26" t="s">
        <v>23</v>
      </c>
      <c r="E795" s="27" t="str">
        <f>HYPERLINK("https://www.compass.com/building/800-grand-concourse-bronx-ny-10451/293534286068403877/","800 Grand Concourse")</f>
        <v>800 Grand Concourse</v>
      </c>
      <c r="F795" s="25" t="s">
        <v>217</v>
      </c>
      <c r="G795" s="28">
        <v>299000.0</v>
      </c>
      <c r="H795" s="28">
        <v>365.0</v>
      </c>
      <c r="I795" s="28">
        <v>1472.0</v>
      </c>
      <c r="J795" s="29"/>
      <c r="K795" s="25" t="s">
        <v>25</v>
      </c>
      <c r="L795" s="26">
        <v>4.0</v>
      </c>
      <c r="M795" s="26">
        <v>2.0</v>
      </c>
      <c r="N795" s="26">
        <v>1.0</v>
      </c>
      <c r="O795" s="30"/>
      <c r="P795" s="26">
        <v>819.0</v>
      </c>
      <c r="Q795" s="35">
        <v>13.0</v>
      </c>
      <c r="R795" s="32">
        <v>45862.0</v>
      </c>
      <c r="S795" s="32">
        <v>45849.0</v>
      </c>
      <c r="T795" s="29"/>
      <c r="U795" s="33"/>
      <c r="V795" s="1"/>
    </row>
    <row r="796" ht="24.0" customHeight="1">
      <c r="A796" s="1"/>
      <c r="B796" s="24" t="str">
        <f>HYPERLINK("https://www.compass.com/listing/215-park-row-unit-7h-manhattan-ny-10038/1647780208195629097/view?agent_id=610d3f3370540700019b0833","215 Park Row, Unit 7H")</f>
        <v>215 Park Row, Unit 7H</v>
      </c>
      <c r="C796" s="25" t="s">
        <v>22</v>
      </c>
      <c r="D796" s="26" t="s">
        <v>23</v>
      </c>
      <c r="E796" s="27" t="str">
        <f>HYPERLINK("https://www.compass.com/building/215-park-row-manhattan-ny-10038/282066515946150821/","215 Park Row")</f>
        <v>215 Park Row</v>
      </c>
      <c r="F796" s="25" t="s">
        <v>109</v>
      </c>
      <c r="G796" s="28">
        <v>925000.0</v>
      </c>
      <c r="H796" s="29"/>
      <c r="I796" s="28">
        <v>1552.0</v>
      </c>
      <c r="J796" s="28">
        <v>0.0</v>
      </c>
      <c r="K796" s="25" t="s">
        <v>25</v>
      </c>
      <c r="L796" s="26">
        <v>4.0</v>
      </c>
      <c r="M796" s="26">
        <v>2.0</v>
      </c>
      <c r="N796" s="26">
        <v>1.0</v>
      </c>
      <c r="O796" s="30"/>
      <c r="P796" s="30"/>
      <c r="Q796" s="35">
        <v>339.0</v>
      </c>
      <c r="R796" s="32">
        <v>45724.0</v>
      </c>
      <c r="S796" s="32">
        <v>45524.0</v>
      </c>
      <c r="T796" s="29"/>
      <c r="U796" s="33"/>
      <c r="V796" s="1"/>
    </row>
    <row r="797" ht="24.0" customHeight="1">
      <c r="A797" s="1"/>
      <c r="B797" s="24" t="str">
        <f>HYPERLINK("https://www.compass.com/listing/140-10-84th-drive-unit-2b-queens-ny-11435/1882699001013544857/view?agent_id=610d3f3370540700019b0833","140-10 84th Drive, Unit 2B")</f>
        <v>140-10 84th Drive, Unit 2B</v>
      </c>
      <c r="C797" s="25" t="s">
        <v>22</v>
      </c>
      <c r="D797" s="26" t="s">
        <v>23</v>
      </c>
      <c r="E797" s="27" t="str">
        <f>HYPERLINK("https://www.compass.com/building/140-10-84th-dr-queens-ny-11435/294843106838881909/","140-10 84th Dr")</f>
        <v>140-10 84th Dr</v>
      </c>
      <c r="F797" s="25" t="s">
        <v>146</v>
      </c>
      <c r="G797" s="28">
        <v>298880.0</v>
      </c>
      <c r="H797" s="28">
        <v>399.0</v>
      </c>
      <c r="I797" s="28">
        <v>663.0</v>
      </c>
      <c r="J797" s="29"/>
      <c r="K797" s="25" t="s">
        <v>25</v>
      </c>
      <c r="L797" s="26">
        <v>3.0</v>
      </c>
      <c r="M797" s="26">
        <v>2.0</v>
      </c>
      <c r="N797" s="26">
        <v>1.0</v>
      </c>
      <c r="O797" s="30"/>
      <c r="P797" s="26">
        <v>750.0</v>
      </c>
      <c r="Q797" s="35">
        <v>14.0</v>
      </c>
      <c r="R797" s="32">
        <v>45862.0</v>
      </c>
      <c r="S797" s="32">
        <v>45849.0</v>
      </c>
      <c r="T797" s="29"/>
      <c r="U797" s="33"/>
      <c r="V797" s="1"/>
    </row>
    <row r="798" ht="24.0" customHeight="1">
      <c r="A798" s="1"/>
      <c r="B798" s="24" t="str">
        <f>HYPERLINK("https://www.compass.com/listing/116-pinehurst-avenue-unit-r21-manhattan-ny-10033/1809715232084309505/view?agent_id=610d3f3370540700019b0833","116 Pinehurst Avenue, Unit R21")</f>
        <v>116 Pinehurst Avenue, Unit R21</v>
      </c>
      <c r="C798" s="25" t="s">
        <v>22</v>
      </c>
      <c r="D798" s="26" t="s">
        <v>23</v>
      </c>
      <c r="E798" s="27" t="str">
        <f>HYPERLINK("https://www.compass.com/building/116-pinehurst-ave-manhattan-ny-10033/282010085335629477/","116 Pinehurst Ave")</f>
        <v>116 Pinehurst Ave</v>
      </c>
      <c r="F798" s="25" t="s">
        <v>58</v>
      </c>
      <c r="G798" s="28">
        <v>665000.0</v>
      </c>
      <c r="H798" s="29"/>
      <c r="I798" s="28">
        <v>1849.0</v>
      </c>
      <c r="J798" s="28">
        <v>0.0</v>
      </c>
      <c r="K798" s="25" t="s">
        <v>25</v>
      </c>
      <c r="L798" s="26">
        <v>4.0</v>
      </c>
      <c r="M798" s="26">
        <v>2.0</v>
      </c>
      <c r="N798" s="26">
        <v>1.0</v>
      </c>
      <c r="O798" s="26">
        <v>0.0</v>
      </c>
      <c r="P798" s="30"/>
      <c r="Q798" s="35">
        <v>115.0</v>
      </c>
      <c r="R798" s="32">
        <v>45847.0</v>
      </c>
      <c r="S798" s="32">
        <v>45748.0</v>
      </c>
      <c r="T798" s="29"/>
      <c r="U798" s="33"/>
      <c r="V798" s="1"/>
    </row>
    <row r="799" ht="24.0" customHeight="1">
      <c r="A799" s="1"/>
      <c r="B799" s="24" t="str">
        <f>HYPERLINK("https://www.compass.com/listing/537-west-133rd-street-unit-four-manhattan-ny-10027/1662581492964275153/view?agent_id=610d3f3370540700019b0833","537 West 133rd Street, Unit FOUR")</f>
        <v>537 West 133rd Street, Unit FOUR</v>
      </c>
      <c r="C799" s="25" t="s">
        <v>22</v>
      </c>
      <c r="D799" s="26" t="s">
        <v>23</v>
      </c>
      <c r="E799" s="27" t="str">
        <f>HYPERLINK("https://www.compass.com/building/537-w-133rd-st-manhattan-ny-10027/281983165797601797/","537 W 133rd St")</f>
        <v>537 W 133rd St</v>
      </c>
      <c r="F799" s="25" t="s">
        <v>50</v>
      </c>
      <c r="G799" s="28">
        <v>330000.0</v>
      </c>
      <c r="H799" s="29"/>
      <c r="I799" s="28">
        <v>585.0</v>
      </c>
      <c r="J799" s="28">
        <v>0.0</v>
      </c>
      <c r="K799" s="25" t="s">
        <v>25</v>
      </c>
      <c r="L799" s="26">
        <v>4.0</v>
      </c>
      <c r="M799" s="26">
        <v>2.0</v>
      </c>
      <c r="N799" s="26">
        <v>1.0</v>
      </c>
      <c r="O799" s="30"/>
      <c r="P799" s="30"/>
      <c r="Q799" s="35">
        <v>317.0</v>
      </c>
      <c r="R799" s="32">
        <v>45545.0</v>
      </c>
      <c r="S799" s="32">
        <v>45545.0</v>
      </c>
      <c r="T799" s="29"/>
      <c r="U799" s="33"/>
      <c r="V799" s="1"/>
    </row>
    <row r="800" ht="24.0" customHeight="1">
      <c r="A800" s="1"/>
      <c r="B800" s="24" t="str">
        <f>HYPERLINK("https://www.compass.com/listing/2229-knapp-street-unit-1h-brooklyn-ny-11229/1859241884475653769/view?agent_id=610d3f3370540700019b0833","2229 Knapp Street, Unit 1H")</f>
        <v>2229 Knapp Street, Unit 1H</v>
      </c>
      <c r="C800" s="25" t="s">
        <v>22</v>
      </c>
      <c r="D800" s="26" t="s">
        <v>23</v>
      </c>
      <c r="E800" s="27" t="str">
        <f>HYPERLINK("https://www.compass.com/building/2229-knapp-st-brooklyn-ny-11229/307443037638279317/","2229 Knapp St")</f>
        <v>2229 Knapp St</v>
      </c>
      <c r="F800" s="25" t="s">
        <v>70</v>
      </c>
      <c r="G800" s="28">
        <v>250000.0</v>
      </c>
      <c r="H800" s="28">
        <v>263.0</v>
      </c>
      <c r="I800" s="28">
        <v>1398.0</v>
      </c>
      <c r="J800" s="28">
        <v>0.0</v>
      </c>
      <c r="K800" s="25" t="s">
        <v>25</v>
      </c>
      <c r="L800" s="26">
        <v>6.0</v>
      </c>
      <c r="M800" s="26">
        <v>2.0</v>
      </c>
      <c r="N800" s="26">
        <v>1.0</v>
      </c>
      <c r="O800" s="30"/>
      <c r="P800" s="26">
        <v>950.0</v>
      </c>
      <c r="Q800" s="35">
        <v>48.0</v>
      </c>
      <c r="R800" s="32">
        <v>45817.0</v>
      </c>
      <c r="S800" s="32">
        <v>45815.0</v>
      </c>
      <c r="T800" s="29"/>
      <c r="U800" s="33"/>
      <c r="V800" s="1"/>
    </row>
    <row r="801" ht="24.0" customHeight="1">
      <c r="A801" s="1"/>
      <c r="B801" s="24" t="str">
        <f>HYPERLINK("https://www.compass.com/listing/26-20-141st-street-unit-2g-queens-ny-11354/1871153339777568841/view?agent_id=610d3f3370540700019b0833","26-20 141st Street, Unit 2G")</f>
        <v>26-20 141st Street, Unit 2G</v>
      </c>
      <c r="C801" s="25" t="s">
        <v>22</v>
      </c>
      <c r="D801" s="26" t="s">
        <v>23</v>
      </c>
      <c r="E801" s="27" t="str">
        <f>HYPERLINK("https://www.compass.com/building/26-20-141st-st-queens-ny-11354/307434034925714101/","26-20 141st St")</f>
        <v>26-20 141st St</v>
      </c>
      <c r="F801" s="25" t="s">
        <v>185</v>
      </c>
      <c r="G801" s="28">
        <v>348000.0</v>
      </c>
      <c r="H801" s="28">
        <v>425.0</v>
      </c>
      <c r="I801" s="28">
        <v>858.0</v>
      </c>
      <c r="J801" s="29"/>
      <c r="K801" s="25" t="s">
        <v>25</v>
      </c>
      <c r="L801" s="26">
        <v>4.0</v>
      </c>
      <c r="M801" s="26">
        <v>2.0</v>
      </c>
      <c r="N801" s="26">
        <v>1.0</v>
      </c>
      <c r="O801" s="30"/>
      <c r="P801" s="26">
        <v>819.0</v>
      </c>
      <c r="Q801" s="35">
        <v>30.0</v>
      </c>
      <c r="R801" s="32">
        <v>45834.0</v>
      </c>
      <c r="S801" s="32">
        <v>45833.0</v>
      </c>
      <c r="T801" s="29"/>
      <c r="U801" s="33"/>
      <c r="V801" s="1"/>
    </row>
    <row r="802" ht="24.0" customHeight="1">
      <c r="A802" s="1"/>
      <c r="B802" s="24" t="str">
        <f>HYPERLINK("https://www.compass.com/listing/581-academy-street-unit-1a-manhattan-ny-10034/1861350313157992329/view?agent_id=610d3f3370540700019b0833","581 Academy Street, Unit 1A")</f>
        <v>581 Academy Street, Unit 1A</v>
      </c>
      <c r="C802" s="25" t="s">
        <v>22</v>
      </c>
      <c r="D802" s="26" t="s">
        <v>23</v>
      </c>
      <c r="E802" s="27" t="str">
        <f>HYPERLINK("https://www.compass.com/building/581-academy-st-manhattan-ny-10034/282060341662220757/","581 Academy St")</f>
        <v>581 Academy St</v>
      </c>
      <c r="F802" s="25" t="s">
        <v>81</v>
      </c>
      <c r="G802" s="28">
        <v>474900.0</v>
      </c>
      <c r="H802" s="29"/>
      <c r="I802" s="28">
        <v>0.0</v>
      </c>
      <c r="J802" s="28">
        <v>0.0</v>
      </c>
      <c r="K802" s="25" t="s">
        <v>28</v>
      </c>
      <c r="L802" s="26">
        <v>4.0</v>
      </c>
      <c r="M802" s="26">
        <v>2.0</v>
      </c>
      <c r="N802" s="26">
        <v>1.0</v>
      </c>
      <c r="O802" s="30"/>
      <c r="P802" s="30"/>
      <c r="Q802" s="35">
        <v>1239.0</v>
      </c>
      <c r="R802" s="32">
        <v>44624.0</v>
      </c>
      <c r="S802" s="32">
        <v>44624.0</v>
      </c>
      <c r="T802" s="29"/>
      <c r="U802" s="33"/>
      <c r="V802" s="1"/>
    </row>
    <row r="803" ht="24.0" customHeight="1">
      <c r="A803" s="1"/>
      <c r="B803" s="24" t="str">
        <f>HYPERLINK("https://www.compass.com/listing/250-cabrini-boulevard-unit-5c-manhattan-ny-10033/1790024248535553321/view?agent_id=610d3f3370540700019b0833","250 Cabrini Boulevard, Unit 5C")</f>
        <v>250 Cabrini Boulevard, Unit 5C</v>
      </c>
      <c r="C803" s="25" t="s">
        <v>22</v>
      </c>
      <c r="D803" s="26" t="s">
        <v>23</v>
      </c>
      <c r="E803" s="27" t="str">
        <f>HYPERLINK("https://www.compass.com/building/250-cabrini-blvd-manhattan-ny-10033/282011187128828293/","250 Cabrini Blvd")</f>
        <v>250 Cabrini Blvd</v>
      </c>
      <c r="F803" s="25" t="s">
        <v>58</v>
      </c>
      <c r="G803" s="28">
        <v>560000.0</v>
      </c>
      <c r="H803" s="29"/>
      <c r="I803" s="28">
        <v>1315.0</v>
      </c>
      <c r="J803" s="28">
        <v>0.0</v>
      </c>
      <c r="K803" s="25" t="s">
        <v>25</v>
      </c>
      <c r="L803" s="26">
        <v>4.0</v>
      </c>
      <c r="M803" s="26">
        <v>2.0</v>
      </c>
      <c r="N803" s="26">
        <v>1.0</v>
      </c>
      <c r="O803" s="26">
        <v>0.0</v>
      </c>
      <c r="P803" s="30"/>
      <c r="Q803" s="35">
        <v>142.0</v>
      </c>
      <c r="R803" s="32">
        <v>45858.0</v>
      </c>
      <c r="S803" s="32">
        <v>45721.0</v>
      </c>
      <c r="T803" s="29"/>
      <c r="U803" s="33"/>
      <c r="V803" s="1"/>
    </row>
    <row r="804" ht="24.0" customHeight="1">
      <c r="A804" s="1"/>
      <c r="B804" s="24" t="str">
        <f>HYPERLINK("https://www.compass.com/listing/208-west-119th-street-unit-1b-manhattan-ny-10026/1736530046774062361/view?agent_id=610d3f3370540700019b0833","208 West 119th Street, Unit 1B")</f>
        <v>208 West 119th Street, Unit 1B</v>
      </c>
      <c r="C804" s="25" t="s">
        <v>22</v>
      </c>
      <c r="D804" s="26" t="s">
        <v>23</v>
      </c>
      <c r="E804" s="27" t="str">
        <f>HYPERLINK("https://www.compass.com/building/208-w-119th-st-manhattan-ny-10026/281975313741735797/","208 W 119th St")</f>
        <v>208 W 119th St</v>
      </c>
      <c r="F804" s="25" t="s">
        <v>45</v>
      </c>
      <c r="G804" s="28">
        <v>625000.0</v>
      </c>
      <c r="H804" s="28">
        <v>708.0</v>
      </c>
      <c r="I804" s="28">
        <v>615.0</v>
      </c>
      <c r="J804" s="28">
        <v>0.0</v>
      </c>
      <c r="K804" s="25" t="s">
        <v>25</v>
      </c>
      <c r="L804" s="26">
        <v>4.0</v>
      </c>
      <c r="M804" s="26">
        <v>2.0</v>
      </c>
      <c r="N804" s="26">
        <v>1.0</v>
      </c>
      <c r="O804" s="30"/>
      <c r="P804" s="26">
        <v>883.0</v>
      </c>
      <c r="Q804" s="35">
        <v>217.0</v>
      </c>
      <c r="R804" s="32">
        <v>45647.0</v>
      </c>
      <c r="S804" s="32">
        <v>45646.0</v>
      </c>
      <c r="T804" s="29"/>
      <c r="U804" s="33"/>
      <c r="V804" s="1"/>
    </row>
    <row r="805" ht="24.0" customHeight="1">
      <c r="A805" s="1"/>
      <c r="B805" s="24" t="str">
        <f>HYPERLINK("https://www.compass.com/listing/140-cabrini-boulevard-unit-37-manhattan-ny-10033/1793498020610653129/view?agent_id=610d3f3370540700019b0833","140 Cabrini Boulevard, Unit 37")</f>
        <v>140 Cabrini Boulevard, Unit 37</v>
      </c>
      <c r="C805" s="25" t="s">
        <v>22</v>
      </c>
      <c r="D805" s="26" t="s">
        <v>23</v>
      </c>
      <c r="E805" s="27" t="str">
        <f>HYPERLINK("https://www.compass.com/building/castle-village-manhattan-ny/294836199700855749/","Castle Village")</f>
        <v>Castle Village</v>
      </c>
      <c r="F805" s="25" t="s">
        <v>58</v>
      </c>
      <c r="G805" s="28">
        <v>559000.0</v>
      </c>
      <c r="H805" s="28">
        <v>699.0</v>
      </c>
      <c r="I805" s="28">
        <v>1900.0</v>
      </c>
      <c r="J805" s="28">
        <v>0.0</v>
      </c>
      <c r="K805" s="25" t="s">
        <v>25</v>
      </c>
      <c r="L805" s="26">
        <v>4.0</v>
      </c>
      <c r="M805" s="26">
        <v>2.0</v>
      </c>
      <c r="N805" s="26">
        <v>1.0</v>
      </c>
      <c r="O805" s="26">
        <v>0.0</v>
      </c>
      <c r="P805" s="26">
        <v>800.0</v>
      </c>
      <c r="Q805" s="35">
        <v>137.0</v>
      </c>
      <c r="R805" s="32">
        <v>45860.0</v>
      </c>
      <c r="S805" s="32">
        <v>45726.0</v>
      </c>
      <c r="T805" s="29"/>
      <c r="U805" s="33"/>
      <c r="V805" s="1"/>
    </row>
    <row r="806" ht="24.0" customHeight="1">
      <c r="A806" s="1"/>
      <c r="B806" s="24" t="str">
        <f>HYPERLINK("https://www.compass.com/listing/1901-madison-avenue-unit-218-manhattan-ny-10035/1792106257262125049/view?agent_id=610d3f3370540700019b0833","1901 Madison Avenue, Unit 218")</f>
        <v>1901 Madison Avenue, Unit 218</v>
      </c>
      <c r="C806" s="25" t="s">
        <v>22</v>
      </c>
      <c r="D806" s="26" t="s">
        <v>23</v>
      </c>
      <c r="E806" s="27" t="str">
        <f>HYPERLINK("https://www.compass.com/building/maple-court-manhattan-ny/292916559570025221/","Maple Court")</f>
        <v>Maple Court</v>
      </c>
      <c r="F806" s="25" t="s">
        <v>45</v>
      </c>
      <c r="G806" s="28">
        <v>385000.0</v>
      </c>
      <c r="H806" s="29"/>
      <c r="I806" s="28">
        <v>1285.0</v>
      </c>
      <c r="J806" s="28">
        <v>0.0</v>
      </c>
      <c r="K806" s="25" t="s">
        <v>25</v>
      </c>
      <c r="L806" s="26">
        <v>4.0</v>
      </c>
      <c r="M806" s="26">
        <v>2.0</v>
      </c>
      <c r="N806" s="26">
        <v>1.0</v>
      </c>
      <c r="O806" s="26">
        <v>0.0</v>
      </c>
      <c r="P806" s="30"/>
      <c r="Q806" s="35">
        <v>99.0</v>
      </c>
      <c r="R806" s="32">
        <v>45813.0</v>
      </c>
      <c r="S806" s="32">
        <v>45764.0</v>
      </c>
      <c r="T806" s="29"/>
      <c r="U806" s="33"/>
      <c r="V806" s="1"/>
    </row>
    <row r="807" ht="24.0" customHeight="1">
      <c r="A807" s="1"/>
      <c r="B807" s="24" t="str">
        <f>HYPERLINK("https://www.compass.com/listing/123-25-82nd-avenue-unit-4k-queens-ny-11415/1861487138627385441/view?agent_id=610d3f3370540700019b0833","123-25 82nd Avenue, Unit 4K")</f>
        <v>123-25 82nd Avenue, Unit 4K</v>
      </c>
      <c r="C807" s="25" t="s">
        <v>22</v>
      </c>
      <c r="D807" s="26" t="s">
        <v>23</v>
      </c>
      <c r="E807" s="27" t="str">
        <f>HYPERLINK("https://www.compass.com/building/123-25-82nd-ave-queens-ny-11415/293529744543104261/","123-25 82nd Ave")</f>
        <v>123-25 82nd Ave</v>
      </c>
      <c r="F807" s="25" t="s">
        <v>91</v>
      </c>
      <c r="G807" s="28">
        <v>395000.0</v>
      </c>
      <c r="H807" s="28">
        <v>516.0</v>
      </c>
      <c r="I807" s="28">
        <v>1153.0</v>
      </c>
      <c r="J807" s="28">
        <v>0.0</v>
      </c>
      <c r="K807" s="25" t="s">
        <v>25</v>
      </c>
      <c r="L807" s="26">
        <v>5.0</v>
      </c>
      <c r="M807" s="26">
        <v>2.0</v>
      </c>
      <c r="N807" s="26">
        <v>1.0</v>
      </c>
      <c r="O807" s="30"/>
      <c r="P807" s="26">
        <v>765.0</v>
      </c>
      <c r="Q807" s="35">
        <v>44.0</v>
      </c>
      <c r="R807" s="32">
        <v>45820.0</v>
      </c>
      <c r="S807" s="32">
        <v>45819.0</v>
      </c>
      <c r="T807" s="29"/>
      <c r="U807" s="33"/>
      <c r="V807" s="1"/>
    </row>
    <row r="808" ht="24.0" customHeight="1">
      <c r="A808" s="1"/>
      <c r="B808" s="24" t="str">
        <f>HYPERLINK("https://www.compass.com/listing/153-25-88th-street-unit-1j-queens-ny-11414/1885756707476442289/view?agent_id=610d3f3370540700019b0833","153-25 88th Street, Unit 1J")</f>
        <v>153-25 88th Street, Unit 1J</v>
      </c>
      <c r="C808" s="25" t="s">
        <v>22</v>
      </c>
      <c r="D808" s="26" t="s">
        <v>23</v>
      </c>
      <c r="E808" s="27" t="str">
        <f>HYPERLINK("https://www.compass.com/building/153-25-88th-st-queens-ny-11414/293528303900376149/","153-25 88th St")</f>
        <v>153-25 88th St</v>
      </c>
      <c r="F808" s="25" t="s">
        <v>212</v>
      </c>
      <c r="G808" s="28">
        <v>229000.0</v>
      </c>
      <c r="H808" s="29"/>
      <c r="I808" s="28">
        <v>1002.0</v>
      </c>
      <c r="J808" s="29"/>
      <c r="K808" s="25" t="s">
        <v>25</v>
      </c>
      <c r="L808" s="26">
        <v>4.0</v>
      </c>
      <c r="M808" s="26">
        <v>2.0</v>
      </c>
      <c r="N808" s="26">
        <v>1.0</v>
      </c>
      <c r="O808" s="30"/>
      <c r="P808" s="30"/>
      <c r="Q808" s="35">
        <v>10.0</v>
      </c>
      <c r="R808" s="32">
        <v>45862.0</v>
      </c>
      <c r="S808" s="32">
        <v>45853.0</v>
      </c>
      <c r="T808" s="29"/>
      <c r="U808" s="33"/>
      <c r="V808" s="1"/>
    </row>
    <row r="809" ht="24.0" customHeight="1">
      <c r="A809" s="1"/>
      <c r="B809" s="24" t="str">
        <f>HYPERLINK("https://www.compass.com/listing/219-36-74th-avenue-unit-323a1-queens-ny-11364/1885764790872992377/view?agent_id=610d3f3370540700019b0833","219-36 74th Avenue, Unit 323A1")</f>
        <v>219-36 74th Avenue, Unit 323A1</v>
      </c>
      <c r="C809" s="25" t="s">
        <v>22</v>
      </c>
      <c r="D809" s="26" t="s">
        <v>23</v>
      </c>
      <c r="E809" s="27" t="str">
        <f>HYPERLINK("https://www.compass.com/building/219-36-74th-ave-queens-ny-11364/307441775253633237/","219-36 74th Ave")</f>
        <v>219-36 74th Ave</v>
      </c>
      <c r="F809" s="25" t="s">
        <v>37</v>
      </c>
      <c r="G809" s="28">
        <v>350000.0</v>
      </c>
      <c r="H809" s="28">
        <v>467.0</v>
      </c>
      <c r="I809" s="28">
        <v>1139.0</v>
      </c>
      <c r="J809" s="29"/>
      <c r="K809" s="25" t="s">
        <v>25</v>
      </c>
      <c r="L809" s="26">
        <v>4.0</v>
      </c>
      <c r="M809" s="26">
        <v>2.0</v>
      </c>
      <c r="N809" s="26">
        <v>1.0</v>
      </c>
      <c r="O809" s="30"/>
      <c r="P809" s="26">
        <v>750.0</v>
      </c>
      <c r="Q809" s="35">
        <v>7.0</v>
      </c>
      <c r="R809" s="32">
        <v>45862.0</v>
      </c>
      <c r="S809" s="32">
        <v>45856.0</v>
      </c>
      <c r="T809" s="29"/>
      <c r="U809" s="33"/>
      <c r="V809" s="1"/>
    </row>
    <row r="810" ht="24.0" customHeight="1">
      <c r="A810" s="1"/>
      <c r="B810" s="24" t="str">
        <f>HYPERLINK("https://www.compass.com/listing/641-5th-avenue-unit-38h-manhattan-ny-10022/1809612333299696689/view?agent_id=610d3f3370540700019b0833","641 5th Avenue, Unit 38H")</f>
        <v>641 5th Avenue, Unit 38H</v>
      </c>
      <c r="C810" s="25" t="s">
        <v>22</v>
      </c>
      <c r="D810" s="26" t="s">
        <v>23</v>
      </c>
      <c r="E810" s="27" t="str">
        <f>HYPERLINK("https://www.compass.com/building/olympic-tower-manhattan-ny/281955540265932741/","Olympic Tower")</f>
        <v>Olympic Tower</v>
      </c>
      <c r="F810" s="25" t="s">
        <v>66</v>
      </c>
      <c r="G810" s="28">
        <v>3950000.0</v>
      </c>
      <c r="H810" s="28">
        <v>2219.0</v>
      </c>
      <c r="I810" s="28">
        <v>7033.0</v>
      </c>
      <c r="J810" s="28">
        <v>36972.0</v>
      </c>
      <c r="K810" s="25" t="s">
        <v>25</v>
      </c>
      <c r="L810" s="26">
        <v>5.0</v>
      </c>
      <c r="M810" s="26">
        <v>2.0</v>
      </c>
      <c r="N810" s="26">
        <v>0.0</v>
      </c>
      <c r="O810" s="30"/>
      <c r="P810" s="34">
        <v>1780.0</v>
      </c>
      <c r="Q810" s="35">
        <v>1325.0</v>
      </c>
      <c r="R810" s="32">
        <v>44552.0</v>
      </c>
      <c r="S810" s="32">
        <v>44538.0</v>
      </c>
      <c r="T810" s="29"/>
      <c r="U810" s="33"/>
      <c r="V810" s="1"/>
    </row>
    <row r="811" ht="24.0" customHeight="1">
      <c r="A811" s="1"/>
      <c r="B811" s="24" t="str">
        <f>HYPERLINK("https://www.compass.com/listing/158-18-cross-island-parkway-unit-67-queens-ny-11357/1887977392483122097/view?agent_id=610d3f3370540700019b0833","158-18 Cross Island Parkway, Unit 67")</f>
        <v>158-18 Cross Island Parkway, Unit 67</v>
      </c>
      <c r="C811" s="25" t="s">
        <v>22</v>
      </c>
      <c r="D811" s="26" t="s">
        <v>23</v>
      </c>
      <c r="E811" s="26" t="s">
        <v>218</v>
      </c>
      <c r="F811" s="25" t="s">
        <v>219</v>
      </c>
      <c r="G811" s="28">
        <v>290000.0</v>
      </c>
      <c r="H811" s="28">
        <v>423.0</v>
      </c>
      <c r="I811" s="28">
        <v>1144.0</v>
      </c>
      <c r="J811" s="29"/>
      <c r="K811" s="25" t="s">
        <v>25</v>
      </c>
      <c r="L811" s="26">
        <v>5.0</v>
      </c>
      <c r="M811" s="26">
        <v>2.0</v>
      </c>
      <c r="N811" s="26">
        <v>1.0</v>
      </c>
      <c r="O811" s="30"/>
      <c r="P811" s="26">
        <v>686.0</v>
      </c>
      <c r="Q811" s="35">
        <v>7.0</v>
      </c>
      <c r="R811" s="32">
        <v>45858.0</v>
      </c>
      <c r="S811" s="32">
        <v>45856.0</v>
      </c>
      <c r="T811" s="29"/>
      <c r="U811" s="33"/>
      <c r="V811" s="1"/>
    </row>
    <row r="812" ht="24.0" customHeight="1">
      <c r="A812" s="1"/>
      <c r="B812" s="24" t="str">
        <f>HYPERLINK("https://www.compass.com/listing/654-east-39th-street-brooklyn-ny-11203/1838168480730290833/view?agent_id=610d3f3370540700019b0833","654 East 39th Street")</f>
        <v>654 East 39th Street</v>
      </c>
      <c r="C812" s="25" t="s">
        <v>22</v>
      </c>
      <c r="D812" s="26" t="s">
        <v>23</v>
      </c>
      <c r="E812" s="27" t="str">
        <f>HYPERLINK("https://www.compass.com/building/654-e-39th-st-brooklyn-ny-11203/293527772549208325/","654 E 39th St")</f>
        <v>654 E 39th St</v>
      </c>
      <c r="F812" s="25" t="s">
        <v>123</v>
      </c>
      <c r="G812" s="28">
        <v>625000.0</v>
      </c>
      <c r="H812" s="28">
        <v>481.0</v>
      </c>
      <c r="I812" s="28">
        <v>412.0</v>
      </c>
      <c r="J812" s="28">
        <v>4948.0</v>
      </c>
      <c r="K812" s="25" t="s">
        <v>36</v>
      </c>
      <c r="L812" s="26">
        <v>5.0</v>
      </c>
      <c r="M812" s="26">
        <v>2.0</v>
      </c>
      <c r="N812" s="30"/>
      <c r="O812" s="30"/>
      <c r="P812" s="34">
        <v>1300.0</v>
      </c>
      <c r="Q812" s="35">
        <v>122.0</v>
      </c>
      <c r="R812" s="32">
        <v>45863.0</v>
      </c>
      <c r="S812" s="32">
        <v>45741.0</v>
      </c>
      <c r="T812" s="29"/>
      <c r="U812" s="33"/>
      <c r="V812" s="1"/>
    </row>
    <row r="813" ht="24.0" customHeight="1">
      <c r="A813" s="1"/>
      <c r="B813" s="24" t="str">
        <f>HYPERLINK("https://www.compass.com/listing/102-21-davenport-court-queens-ny-11414/1885034059799936785/view?agent_id=610d3f3370540700019b0833","102-21 Davenport Court")</f>
        <v>102-21 Davenport Court</v>
      </c>
      <c r="C813" s="25" t="s">
        <v>22</v>
      </c>
      <c r="D813" s="26" t="s">
        <v>23</v>
      </c>
      <c r="E813" s="27" t="str">
        <f>HYPERLINK("https://www.compass.com/building/102-21-davenport-ct-queens-ny-11414/293533328517196837/","102-21 Davenport Ct")</f>
        <v>102-21 Davenport Ct</v>
      </c>
      <c r="F813" s="25" t="s">
        <v>220</v>
      </c>
      <c r="G813" s="28">
        <v>350000.0</v>
      </c>
      <c r="H813" s="28">
        <v>438.0</v>
      </c>
      <c r="I813" s="28">
        <v>210.0</v>
      </c>
      <c r="J813" s="28">
        <v>2515.0</v>
      </c>
      <c r="K813" s="25" t="s">
        <v>97</v>
      </c>
      <c r="L813" s="26">
        <v>5.0</v>
      </c>
      <c r="M813" s="26">
        <v>2.0</v>
      </c>
      <c r="N813" s="26">
        <v>1.0</v>
      </c>
      <c r="O813" s="30"/>
      <c r="P813" s="26">
        <v>800.0</v>
      </c>
      <c r="Q813" s="35">
        <v>11.0</v>
      </c>
      <c r="R813" s="32">
        <v>45862.0</v>
      </c>
      <c r="S813" s="32">
        <v>45852.0</v>
      </c>
      <c r="T813" s="29"/>
      <c r="U813" s="33"/>
      <c r="V813" s="1"/>
    </row>
    <row r="814" ht="24.0" customHeight="1">
      <c r="A814" s="1"/>
      <c r="B814" s="24" t="str">
        <f>HYPERLINK("https://www.compass.com/listing/45-west-110th-street-unit-5d-manhattan-ny-10026/1715170606654642809/view?agent_id=610d3f3370540700019b0833","45 West 110th Street, Unit 5D")</f>
        <v>45 West 110th Street, Unit 5D</v>
      </c>
      <c r="C814" s="25" t="s">
        <v>22</v>
      </c>
      <c r="D814" s="26" t="s">
        <v>23</v>
      </c>
      <c r="E814" s="27" t="str">
        <f>HYPERLINK("https://www.compass.com/building/45-w-110th-st-manhattan-ny-10026/307451943823724677/","45 W 110th St")</f>
        <v>45 W 110th St</v>
      </c>
      <c r="F814" s="25" t="s">
        <v>45</v>
      </c>
      <c r="G814" s="28">
        <v>685000.0</v>
      </c>
      <c r="H814" s="29"/>
      <c r="I814" s="28">
        <v>822.0</v>
      </c>
      <c r="J814" s="28">
        <v>0.0</v>
      </c>
      <c r="K814" s="25" t="s">
        <v>25</v>
      </c>
      <c r="L814" s="26">
        <v>4.0</v>
      </c>
      <c r="M814" s="26">
        <v>2.0</v>
      </c>
      <c r="N814" s="26">
        <v>1.0</v>
      </c>
      <c r="O814" s="30"/>
      <c r="P814" s="30"/>
      <c r="Q814" s="35">
        <v>245.0</v>
      </c>
      <c r="R814" s="32">
        <v>45618.0</v>
      </c>
      <c r="S814" s="32">
        <v>45618.0</v>
      </c>
      <c r="T814" s="29"/>
      <c r="U814" s="33"/>
      <c r="V814" s="1"/>
    </row>
    <row r="815" ht="24.0" customHeight="1">
      <c r="A815" s="1"/>
      <c r="B815" s="24" t="str">
        <f>HYPERLINK("https://www.compass.com/listing/4523-broadway-unit-3b-manhattan-ny-10040/1831191585045697745/view?agent_id=610d3f3370540700019b0833","4523 Broadway, Unit 3B")</f>
        <v>4523 Broadway, Unit 3B</v>
      </c>
      <c r="C815" s="25" t="s">
        <v>22</v>
      </c>
      <c r="D815" s="26" t="s">
        <v>23</v>
      </c>
      <c r="E815" s="27" t="str">
        <f>HYPERLINK("https://www.compass.com/building/fort-tryon-gardens-manhattan-ny/282033744129310277/","Fort Tryon Gardens")</f>
        <v>Fort Tryon Gardens</v>
      </c>
      <c r="F815" s="25" t="s">
        <v>58</v>
      </c>
      <c r="G815" s="28">
        <v>535000.0</v>
      </c>
      <c r="H815" s="28">
        <v>594.0</v>
      </c>
      <c r="I815" s="28">
        <v>1103.0</v>
      </c>
      <c r="J815" s="28">
        <v>0.0</v>
      </c>
      <c r="K815" s="25" t="s">
        <v>25</v>
      </c>
      <c r="L815" s="26">
        <v>4.0</v>
      </c>
      <c r="M815" s="26">
        <v>2.0</v>
      </c>
      <c r="N815" s="26">
        <v>1.0</v>
      </c>
      <c r="O815" s="26">
        <v>0.0</v>
      </c>
      <c r="P815" s="26">
        <v>900.0</v>
      </c>
      <c r="Q815" s="35">
        <v>85.0</v>
      </c>
      <c r="R815" s="32">
        <v>45859.0</v>
      </c>
      <c r="S815" s="32">
        <v>45778.0</v>
      </c>
      <c r="T815" s="29"/>
      <c r="U815" s="33"/>
      <c r="V815" s="1"/>
    </row>
    <row r="816" ht="24.0" customHeight="1">
      <c r="A816" s="1"/>
      <c r="B816" s="24" t="str">
        <f>HYPERLINK("https://www.compass.com/listing/157-57-17th-avenue-unit-6125-queens-ny-11357/1879774233006523385/view?agent_id=610d3f3370540700019b0833","157-57 17th Avenue, Unit 6125")</f>
        <v>157-57 17th Avenue, Unit 6125</v>
      </c>
      <c r="C816" s="25" t="s">
        <v>22</v>
      </c>
      <c r="D816" s="26" t="s">
        <v>23</v>
      </c>
      <c r="E816" s="27" t="str">
        <f>HYPERLINK("https://www.compass.com/building/157-57-17th-ave-queens-ny-11357/381304903170899301/","157-57 17th Ave")</f>
        <v>157-57 17th Ave</v>
      </c>
      <c r="F816" s="25" t="s">
        <v>219</v>
      </c>
      <c r="G816" s="28">
        <v>395000.0</v>
      </c>
      <c r="H816" s="28">
        <v>564.0</v>
      </c>
      <c r="I816" s="28">
        <v>1144.0</v>
      </c>
      <c r="J816" s="29"/>
      <c r="K816" s="25" t="s">
        <v>25</v>
      </c>
      <c r="L816" s="26">
        <v>4.0</v>
      </c>
      <c r="M816" s="26">
        <v>2.0</v>
      </c>
      <c r="N816" s="26">
        <v>1.0</v>
      </c>
      <c r="O816" s="30"/>
      <c r="P816" s="26">
        <v>700.0</v>
      </c>
      <c r="Q816" s="35">
        <v>18.0</v>
      </c>
      <c r="R816" s="32">
        <v>45851.0</v>
      </c>
      <c r="S816" s="32">
        <v>45845.0</v>
      </c>
      <c r="T816" s="29"/>
      <c r="U816" s="33"/>
      <c r="V816" s="1"/>
    </row>
    <row r="817" ht="24.0" customHeight="1">
      <c r="A817" s="1"/>
      <c r="B817" s="24" t="str">
        <f>HYPERLINK("https://www.compass.com/listing/629-kappock-street-unit-2a-bronx-ny-10463/1872483524913256137/view?agent_id=610d3f3370540700019b0833","629 Kappock Street, Unit 2A")</f>
        <v>629 Kappock Street, Unit 2A</v>
      </c>
      <c r="C817" s="25" t="s">
        <v>22</v>
      </c>
      <c r="D817" s="26" t="s">
        <v>23</v>
      </c>
      <c r="E817" s="27" t="str">
        <f>HYPERLINK("https://www.compass.com/building/629-kappock-st-bronx-ny-10463/293527627157798949/","629 Kappock St")</f>
        <v>629 Kappock St</v>
      </c>
      <c r="F817" s="25" t="s">
        <v>89</v>
      </c>
      <c r="G817" s="28">
        <v>299000.0</v>
      </c>
      <c r="H817" s="28">
        <v>299.0</v>
      </c>
      <c r="I817" s="28">
        <v>1208.0</v>
      </c>
      <c r="J817" s="29"/>
      <c r="K817" s="25" t="s">
        <v>25</v>
      </c>
      <c r="L817" s="26">
        <v>4.0</v>
      </c>
      <c r="M817" s="26">
        <v>2.0</v>
      </c>
      <c r="N817" s="26">
        <v>1.0</v>
      </c>
      <c r="O817" s="30"/>
      <c r="P817" s="34">
        <v>1000.0</v>
      </c>
      <c r="Q817" s="35">
        <v>28.0</v>
      </c>
      <c r="R817" s="32">
        <v>45850.0</v>
      </c>
      <c r="S817" s="32">
        <v>45835.0</v>
      </c>
      <c r="T817" s="29"/>
      <c r="U817" s="33"/>
      <c r="V817" s="1"/>
    </row>
    <row r="818" ht="24.0" customHeight="1">
      <c r="A818" s="1"/>
      <c r="B818" s="24" t="str">
        <f>HYPERLINK("https://www.compass.com/listing/98-120-queens-boulevard-unit-5g-queens-ny-11374/1855186414879015273/view?agent_id=610d3f3370540700019b0833","98-120 Queens Boulevard, Unit 5G")</f>
        <v>98-120 Queens Boulevard, Unit 5G</v>
      </c>
      <c r="C818" s="25" t="s">
        <v>22</v>
      </c>
      <c r="D818" s="26" t="s">
        <v>23</v>
      </c>
      <c r="E818" s="27" t="str">
        <f>HYPERLINK("https://www.compass.com/building/98-120-queens-blvd-queens-ny-11374/293417727995942981/","98-120 Queens Blvd")</f>
        <v>98-120 Queens Blvd</v>
      </c>
      <c r="F818" s="25" t="s">
        <v>166</v>
      </c>
      <c r="G818" s="28">
        <v>389000.0</v>
      </c>
      <c r="H818" s="28">
        <v>362.0</v>
      </c>
      <c r="I818" s="28">
        <v>1374.0</v>
      </c>
      <c r="J818" s="29"/>
      <c r="K818" s="25" t="s">
        <v>25</v>
      </c>
      <c r="L818" s="26">
        <v>5.0</v>
      </c>
      <c r="M818" s="26">
        <v>2.0</v>
      </c>
      <c r="N818" s="26">
        <v>1.0</v>
      </c>
      <c r="O818" s="30"/>
      <c r="P818" s="34">
        <v>1074.0</v>
      </c>
      <c r="Q818" s="35">
        <v>52.0</v>
      </c>
      <c r="R818" s="32">
        <v>45816.0</v>
      </c>
      <c r="S818" s="32">
        <v>45811.0</v>
      </c>
      <c r="T818" s="29"/>
      <c r="U818" s="33"/>
      <c r="V818" s="1"/>
    </row>
    <row r="819" ht="24.0" customHeight="1">
      <c r="A819" s="1"/>
      <c r="B819" s="24" t="str">
        <f>HYPERLINK("https://www.compass.com/listing/143-53-barclay-avenue-unit-a9-queens-ny-11355/1888624350570561993/view?agent_id=610d3f3370540700019b0833","143-53 Barclay Avenue, Unit A9")</f>
        <v>143-53 Barclay Avenue, Unit A9</v>
      </c>
      <c r="C819" s="25" t="s">
        <v>22</v>
      </c>
      <c r="D819" s="26" t="s">
        <v>23</v>
      </c>
      <c r="E819" s="27" t="str">
        <f>HYPERLINK("https://www.compass.com/building/143-53-barclay-ave-queens-ny-11355/307446599382666821/","143-53 Barclay Ave")</f>
        <v>143-53 Barclay Ave</v>
      </c>
      <c r="F819" s="25" t="s">
        <v>221</v>
      </c>
      <c r="G819" s="28">
        <v>485000.0</v>
      </c>
      <c r="H819" s="28">
        <v>558.0</v>
      </c>
      <c r="I819" s="28">
        <v>500.0</v>
      </c>
      <c r="J819" s="28">
        <v>3747.0</v>
      </c>
      <c r="K819" s="25" t="s">
        <v>28</v>
      </c>
      <c r="L819" s="26">
        <v>3.0</v>
      </c>
      <c r="M819" s="26">
        <v>2.0</v>
      </c>
      <c r="N819" s="26">
        <v>1.0</v>
      </c>
      <c r="O819" s="30"/>
      <c r="P819" s="26">
        <v>869.0</v>
      </c>
      <c r="Q819" s="35">
        <v>5.0</v>
      </c>
      <c r="R819" s="32">
        <v>45858.0</v>
      </c>
      <c r="S819" s="32">
        <v>45857.0</v>
      </c>
      <c r="T819" s="29"/>
      <c r="U819" s="33"/>
      <c r="V819" s="1"/>
    </row>
    <row r="820" ht="24.0" customHeight="1">
      <c r="A820" s="1"/>
      <c r="B820" s="24" t="str">
        <f>HYPERLINK("https://www.compass.com/listing/140-21-31st-road-unit-3f-queens-ny-11354/1876987421162451225/view?agent_id=610d3f3370540700019b0833","140-21 31st Road, Unit 3F")</f>
        <v>140-21 31st Road, Unit 3F</v>
      </c>
      <c r="C820" s="25" t="s">
        <v>22</v>
      </c>
      <c r="D820" s="26" t="s">
        <v>23</v>
      </c>
      <c r="E820" s="27" t="str">
        <f>HYPERLINK("https://www.compass.com/building/140-21-31st-rd-queens-ny-11354/307452304072501269/","140-21 31st Rd")</f>
        <v>140-21 31st Rd</v>
      </c>
      <c r="F820" s="25" t="s">
        <v>185</v>
      </c>
      <c r="G820" s="28">
        <v>379000.0</v>
      </c>
      <c r="H820" s="28">
        <v>379.0</v>
      </c>
      <c r="I820" s="28">
        <v>1860.0</v>
      </c>
      <c r="J820" s="29"/>
      <c r="K820" s="25" t="s">
        <v>25</v>
      </c>
      <c r="L820" s="26">
        <v>3.0</v>
      </c>
      <c r="M820" s="26">
        <v>2.0</v>
      </c>
      <c r="N820" s="26">
        <v>1.0</v>
      </c>
      <c r="O820" s="30"/>
      <c r="P820" s="34">
        <v>1000.0</v>
      </c>
      <c r="Q820" s="35">
        <v>15.0</v>
      </c>
      <c r="R820" s="32">
        <v>45848.0</v>
      </c>
      <c r="S820" s="32">
        <v>45848.0</v>
      </c>
      <c r="T820" s="29"/>
      <c r="U820" s="33"/>
      <c r="V820" s="1"/>
    </row>
    <row r="821" ht="24.0" customHeight="1">
      <c r="A821" s="1"/>
      <c r="B821" s="24" t="str">
        <f>HYPERLINK("https://www.compass.com/listing/48-25-43rd-street-unit-1j-queens-ny-11377/1860606207982760593/view?agent_id=610d3f3370540700019b0833","48-25 43rd Street, Unit 1J")</f>
        <v>48-25 43rd Street, Unit 1J</v>
      </c>
      <c r="C821" s="25" t="s">
        <v>22</v>
      </c>
      <c r="D821" s="26" t="s">
        <v>23</v>
      </c>
      <c r="E821" s="27" t="str">
        <f>HYPERLINK("https://www.compass.com/building/48-25-43rd-st-queens-ny-11377/307440857934166213/","48-25 43rd St")</f>
        <v>48-25 43rd St</v>
      </c>
      <c r="F821" s="25" t="s">
        <v>88</v>
      </c>
      <c r="G821" s="28">
        <v>459000.0</v>
      </c>
      <c r="H821" s="28">
        <v>540.0</v>
      </c>
      <c r="I821" s="28">
        <v>1164.0</v>
      </c>
      <c r="J821" s="29"/>
      <c r="K821" s="25" t="s">
        <v>25</v>
      </c>
      <c r="L821" s="26">
        <v>4.0</v>
      </c>
      <c r="M821" s="26">
        <v>2.0</v>
      </c>
      <c r="N821" s="26">
        <v>1.0</v>
      </c>
      <c r="O821" s="30"/>
      <c r="P821" s="26">
        <v>850.0</v>
      </c>
      <c r="Q821" s="35">
        <v>45.0</v>
      </c>
      <c r="R821" s="32">
        <v>45837.0</v>
      </c>
      <c r="S821" s="32">
        <v>45818.0</v>
      </c>
      <c r="T821" s="29"/>
      <c r="U821" s="33"/>
      <c r="V821" s="1"/>
    </row>
    <row r="822" ht="24.0" customHeight="1">
      <c r="A822" s="1"/>
      <c r="B822" s="24" t="str">
        <f>HYPERLINK("https://www.compass.com/listing/151-31-88th-street-unit-4h-queens-ny-11414/1854309658525120273/view?agent_id=610d3f3370540700019b0833","151-31 88th Street, Unit 4H")</f>
        <v>151-31 88th Street, Unit 4H</v>
      </c>
      <c r="C822" s="25" t="s">
        <v>22</v>
      </c>
      <c r="D822" s="26" t="s">
        <v>23</v>
      </c>
      <c r="E822" s="27" t="str">
        <f>HYPERLINK("https://www.compass.com/building/151-31-88th-st-queens-ny-11414/307434779716381125/","151-31 88th St")</f>
        <v>151-31 88th St</v>
      </c>
      <c r="F822" s="25" t="s">
        <v>212</v>
      </c>
      <c r="G822" s="28">
        <v>249000.0</v>
      </c>
      <c r="H822" s="29"/>
      <c r="I822" s="28">
        <v>814.0</v>
      </c>
      <c r="J822" s="28">
        <v>0.0</v>
      </c>
      <c r="K822" s="25" t="s">
        <v>25</v>
      </c>
      <c r="L822" s="26">
        <v>5.0</v>
      </c>
      <c r="M822" s="26">
        <v>2.0</v>
      </c>
      <c r="N822" s="26">
        <v>1.0</v>
      </c>
      <c r="O822" s="30"/>
      <c r="P822" s="30"/>
      <c r="Q822" s="35">
        <v>55.0</v>
      </c>
      <c r="R822" s="32">
        <v>45810.0</v>
      </c>
      <c r="S822" s="32">
        <v>45808.0</v>
      </c>
      <c r="T822" s="29"/>
      <c r="U822" s="33"/>
      <c r="V822" s="1"/>
    </row>
    <row r="823" ht="24.0" customHeight="1">
      <c r="A823" s="1"/>
      <c r="B823" s="24" t="str">
        <f>HYPERLINK("https://www.compass.com/listing/50-west-112th-street-unit-7f-manhattan-ny-10026/1725968694949192161/view?agent_id=610d3f3370540700019b0833","50 West 112th Street, Unit 7F")</f>
        <v>50 West 112th Street, Unit 7F</v>
      </c>
      <c r="C823" s="25" t="s">
        <v>22</v>
      </c>
      <c r="D823" s="26" t="s">
        <v>23</v>
      </c>
      <c r="E823" s="27" t="str">
        <f>HYPERLINK("https://www.compass.com/building/50-w-112th-st-manhattan-ny-10026/281977060862291829/","50 W 112th St")</f>
        <v>50 W 112th St</v>
      </c>
      <c r="F823" s="25" t="s">
        <v>45</v>
      </c>
      <c r="G823" s="28">
        <v>365000.0</v>
      </c>
      <c r="H823" s="29"/>
      <c r="I823" s="28">
        <v>835.0</v>
      </c>
      <c r="J823" s="28">
        <v>0.0</v>
      </c>
      <c r="K823" s="25" t="s">
        <v>25</v>
      </c>
      <c r="L823" s="26">
        <v>4.0</v>
      </c>
      <c r="M823" s="26">
        <v>2.0</v>
      </c>
      <c r="N823" s="26">
        <v>1.0</v>
      </c>
      <c r="O823" s="26">
        <v>0.0</v>
      </c>
      <c r="P823" s="30"/>
      <c r="Q823" s="35">
        <v>159.0</v>
      </c>
      <c r="R823" s="32">
        <v>45853.0</v>
      </c>
      <c r="S823" s="32">
        <v>45704.0</v>
      </c>
      <c r="T823" s="29"/>
      <c r="U823" s="33"/>
      <c r="V823" s="1"/>
    </row>
    <row r="824" ht="24.0" customHeight="1">
      <c r="A824" s="1"/>
      <c r="B824" s="24" t="str">
        <f>HYPERLINK("https://www.compass.com/listing/880-boynton-avenue-unit-1k-bronx-ny-10473/1858792927073131081/view?agent_id=610d3f3370540700019b0833","880 Boynton Avenue, Unit 1K")</f>
        <v>880 Boynton Avenue, Unit 1K</v>
      </c>
      <c r="C824" s="25" t="s">
        <v>22</v>
      </c>
      <c r="D824" s="26" t="s">
        <v>23</v>
      </c>
      <c r="E824" s="27" t="str">
        <f>HYPERLINK("https://www.compass.com/building/880-boynton-ave-bronx-ny-10473/293534524933979765/","880 Boynton Ave")</f>
        <v>880 Boynton Ave</v>
      </c>
      <c r="F824" s="25" t="s">
        <v>121</v>
      </c>
      <c r="G824" s="28">
        <v>299000.0</v>
      </c>
      <c r="H824" s="28">
        <v>332.0</v>
      </c>
      <c r="I824" s="28">
        <v>804.0</v>
      </c>
      <c r="J824" s="29"/>
      <c r="K824" s="25" t="s">
        <v>25</v>
      </c>
      <c r="L824" s="26">
        <v>5.0</v>
      </c>
      <c r="M824" s="26">
        <v>2.0</v>
      </c>
      <c r="N824" s="26">
        <v>1.0</v>
      </c>
      <c r="O824" s="30"/>
      <c r="P824" s="26">
        <v>900.0</v>
      </c>
      <c r="Q824" s="35">
        <v>46.0</v>
      </c>
      <c r="R824" s="32">
        <v>45846.0</v>
      </c>
      <c r="S824" s="32">
        <v>45816.0</v>
      </c>
      <c r="T824" s="29"/>
      <c r="U824" s="33"/>
      <c r="V824" s="1"/>
    </row>
    <row r="825" ht="24.0" customHeight="1">
      <c r="A825" s="1"/>
      <c r="B825" s="24" t="str">
        <f>HYPERLINK("https://www.compass.com/listing/1919-madison-avenue-unit-ph604-manhattan-ny-10035/1801885481502875217/view?agent_id=610d3f3370540700019b0833","1919 Madison Avenue, Unit PH604")</f>
        <v>1919 Madison Avenue, Unit PH604</v>
      </c>
      <c r="C825" s="25" t="s">
        <v>22</v>
      </c>
      <c r="D825" s="26" t="s">
        <v>23</v>
      </c>
      <c r="E825" s="27" t="str">
        <f>HYPERLINK("https://www.compass.com/building/1919-madison-ave-manhattan-ny-10035/292914302245940933/","1919 Madison Ave")</f>
        <v>1919 Madison Ave</v>
      </c>
      <c r="F825" s="25" t="s">
        <v>45</v>
      </c>
      <c r="G825" s="28">
        <v>625000.0</v>
      </c>
      <c r="H825" s="28">
        <v>655.0</v>
      </c>
      <c r="I825" s="28">
        <v>1339.0</v>
      </c>
      <c r="J825" s="28">
        <v>0.0</v>
      </c>
      <c r="K825" s="25" t="s">
        <v>25</v>
      </c>
      <c r="L825" s="26">
        <v>3.0</v>
      </c>
      <c r="M825" s="26">
        <v>2.0</v>
      </c>
      <c r="N825" s="26">
        <v>1.0</v>
      </c>
      <c r="O825" s="26">
        <v>0.0</v>
      </c>
      <c r="P825" s="26">
        <v>954.0</v>
      </c>
      <c r="Q825" s="35">
        <v>124.0</v>
      </c>
      <c r="R825" s="32">
        <v>45862.0</v>
      </c>
      <c r="S825" s="32">
        <v>45737.0</v>
      </c>
      <c r="T825" s="29"/>
      <c r="U825" s="33"/>
      <c r="V825" s="1"/>
    </row>
    <row r="826" ht="24.0" customHeight="1">
      <c r="A826" s="1"/>
      <c r="B826" s="24" t="str">
        <f>HYPERLINK("https://www.compass.com/listing/150-40-71st-avenue-unit-6c-queens-ny-11367/1883085837200307321/view?agent_id=610d3f3370540700019b0833","150-40 71st Avenue, Unit 6C")</f>
        <v>150-40 71st Avenue, Unit 6C</v>
      </c>
      <c r="C826" s="25" t="s">
        <v>22</v>
      </c>
      <c r="D826" s="26" t="s">
        <v>23</v>
      </c>
      <c r="E826" s="27" t="str">
        <f>HYPERLINK("https://www.compass.com/building/150-40-71st-ave-queens-ny-11367/294841670532973669/","150-40 71st Ave")</f>
        <v>150-40 71st Ave</v>
      </c>
      <c r="F826" s="25" t="s">
        <v>142</v>
      </c>
      <c r="G826" s="28">
        <v>315000.0</v>
      </c>
      <c r="H826" s="28">
        <v>315.0</v>
      </c>
      <c r="I826" s="28">
        <v>1290.0</v>
      </c>
      <c r="J826" s="29"/>
      <c r="K826" s="25" t="s">
        <v>25</v>
      </c>
      <c r="L826" s="26">
        <v>4.0</v>
      </c>
      <c r="M826" s="26">
        <v>2.0</v>
      </c>
      <c r="N826" s="26">
        <v>1.0</v>
      </c>
      <c r="O826" s="30"/>
      <c r="P826" s="34">
        <v>1000.0</v>
      </c>
      <c r="Q826" s="35">
        <v>14.0</v>
      </c>
      <c r="R826" s="32">
        <v>45862.0</v>
      </c>
      <c r="S826" s="32">
        <v>45849.0</v>
      </c>
      <c r="T826" s="29"/>
      <c r="U826" s="33"/>
      <c r="V826" s="1"/>
    </row>
    <row r="827" ht="24.0" customHeight="1">
      <c r="A827" s="1"/>
      <c r="B827" s="24" t="str">
        <f>HYPERLINK("https://www.compass.com/listing/83-52-talbot-street-unit-2h-queens-ny-11415/1860896795353901441/view?agent_id=610d3f3370540700019b0833","83-52 Talbot Street, Unit 2H")</f>
        <v>83-52 Talbot Street, Unit 2H</v>
      </c>
      <c r="C827" s="25" t="s">
        <v>22</v>
      </c>
      <c r="D827" s="26" t="s">
        <v>23</v>
      </c>
      <c r="E827" s="27" t="str">
        <f>HYPERLINK("https://www.compass.com/building/83-52-talbot-st-queens-ny-11415/293528445860716245/","83-52 Talbot St")</f>
        <v>83-52 Talbot St</v>
      </c>
      <c r="F827" s="25" t="s">
        <v>91</v>
      </c>
      <c r="G827" s="28">
        <v>265000.0</v>
      </c>
      <c r="H827" s="29"/>
      <c r="I827" s="28">
        <v>1278.0</v>
      </c>
      <c r="J827" s="29"/>
      <c r="K827" s="25" t="s">
        <v>25</v>
      </c>
      <c r="L827" s="26">
        <v>4.0</v>
      </c>
      <c r="M827" s="26">
        <v>2.0</v>
      </c>
      <c r="N827" s="26">
        <v>1.0</v>
      </c>
      <c r="O827" s="30"/>
      <c r="P827" s="30"/>
      <c r="Q827" s="35">
        <v>44.0</v>
      </c>
      <c r="R827" s="32">
        <v>45823.0</v>
      </c>
      <c r="S827" s="32">
        <v>45819.0</v>
      </c>
      <c r="T827" s="29"/>
      <c r="U827" s="33"/>
      <c r="V827" s="1"/>
    </row>
    <row r="828" ht="24.0" customHeight="1">
      <c r="A828" s="1"/>
      <c r="B828" s="24" t="str">
        <f>HYPERLINK("https://www.compass.com/listing/225-adams-street-unit-1h-brooklyn-ny-11201/1793710335884518369/view?agent_id=610d3f3370540700019b0833","225 Adams Street, Unit 1H")</f>
        <v>225 Adams Street, Unit 1H</v>
      </c>
      <c r="C828" s="25" t="s">
        <v>22</v>
      </c>
      <c r="D828" s="26" t="s">
        <v>23</v>
      </c>
      <c r="E828" s="27" t="str">
        <f>HYPERLINK("https://www.compass.com/building/concord-village-brooklyn-ny/293422854995773685/","Concord Village")</f>
        <v>Concord Village</v>
      </c>
      <c r="F828" s="25" t="s">
        <v>31</v>
      </c>
      <c r="G828" s="28">
        <v>798000.0</v>
      </c>
      <c r="H828" s="28">
        <v>840.0</v>
      </c>
      <c r="I828" s="28">
        <v>1681.0</v>
      </c>
      <c r="J828" s="29"/>
      <c r="K828" s="25" t="s">
        <v>25</v>
      </c>
      <c r="L828" s="26">
        <v>4.0</v>
      </c>
      <c r="M828" s="26">
        <v>2.0</v>
      </c>
      <c r="N828" s="26">
        <v>1.0</v>
      </c>
      <c r="O828" s="30"/>
      <c r="P828" s="26">
        <v>950.0</v>
      </c>
      <c r="Q828" s="35">
        <v>136.0</v>
      </c>
      <c r="R828" s="32">
        <v>45849.0</v>
      </c>
      <c r="S828" s="32">
        <v>45726.0</v>
      </c>
      <c r="T828" s="29"/>
      <c r="U828" s="33"/>
      <c r="V828" s="1"/>
    </row>
    <row r="829" ht="24.0" customHeight="1">
      <c r="A829" s="1"/>
      <c r="B829" s="24" t="str">
        <f>HYPERLINK("https://www.compass.com/listing/2820-avenue-z-unit-1b-brooklyn-ny-11235/1882812206494471369/view?agent_id=610d3f3370540700019b0833","2820 Avenue Z, Unit 1B")</f>
        <v>2820 Avenue Z, Unit 1B</v>
      </c>
      <c r="C829" s="25" t="s">
        <v>22</v>
      </c>
      <c r="D829" s="26" t="s">
        <v>23</v>
      </c>
      <c r="E829" s="27" t="str">
        <f>HYPERLINK("https://www.compass.com/building/2820-avenue-z-brooklyn-ny-11235/293533724686013029/","2820 Avenue Z")</f>
        <v>2820 Avenue Z</v>
      </c>
      <c r="F829" s="25" t="s">
        <v>70</v>
      </c>
      <c r="G829" s="28">
        <v>599888.0</v>
      </c>
      <c r="H829" s="28">
        <v>857.0</v>
      </c>
      <c r="I829" s="28">
        <v>0.0</v>
      </c>
      <c r="J829" s="29"/>
      <c r="K829" s="25" t="s">
        <v>28</v>
      </c>
      <c r="L829" s="26">
        <v>4.0</v>
      </c>
      <c r="M829" s="26">
        <v>2.0</v>
      </c>
      <c r="N829" s="26">
        <v>1.0</v>
      </c>
      <c r="O829" s="30"/>
      <c r="P829" s="26">
        <v>700.0</v>
      </c>
      <c r="Q829" s="35">
        <v>14.0</v>
      </c>
      <c r="R829" s="32">
        <v>45863.0</v>
      </c>
      <c r="S829" s="32">
        <v>45849.0</v>
      </c>
      <c r="T829" s="29"/>
      <c r="U829" s="33"/>
      <c r="V829" s="1"/>
    </row>
    <row r="830" ht="24.0" customHeight="1">
      <c r="A830" s="1"/>
      <c r="B830" s="24" t="str">
        <f>HYPERLINK("https://www.compass.com/listing/3520-tryon-avenue-unit-603-bronx-ny-10467/1870450466806951433/view?agent_id=610d3f3370540700019b0833","3520 Tryon Avenue, Unit 603")</f>
        <v>3520 Tryon Avenue, Unit 603</v>
      </c>
      <c r="C830" s="25" t="s">
        <v>22</v>
      </c>
      <c r="D830" s="26" t="s">
        <v>23</v>
      </c>
      <c r="E830" s="27" t="str">
        <f>HYPERLINK("https://www.compass.com/building/3520-tryon-ave-bronx-ny-10467/293534662557540069/","3520 Tryon Ave")</f>
        <v>3520 Tryon Ave</v>
      </c>
      <c r="F830" s="25" t="s">
        <v>154</v>
      </c>
      <c r="G830" s="28">
        <v>285000.0</v>
      </c>
      <c r="H830" s="28">
        <v>300.0</v>
      </c>
      <c r="I830" s="28">
        <v>940.0</v>
      </c>
      <c r="J830" s="28">
        <v>0.0</v>
      </c>
      <c r="K830" s="25" t="s">
        <v>25</v>
      </c>
      <c r="L830" s="26">
        <v>4.0</v>
      </c>
      <c r="M830" s="26">
        <v>2.0</v>
      </c>
      <c r="N830" s="26">
        <v>1.0</v>
      </c>
      <c r="O830" s="26">
        <v>0.0</v>
      </c>
      <c r="P830" s="26">
        <v>950.0</v>
      </c>
      <c r="Q830" s="35">
        <v>31.0</v>
      </c>
      <c r="R830" s="32">
        <v>45861.0</v>
      </c>
      <c r="S830" s="32">
        <v>45832.0</v>
      </c>
      <c r="T830" s="29"/>
      <c r="U830" s="33"/>
      <c r="V830" s="1"/>
    </row>
    <row r="831" ht="24.0" customHeight="1">
      <c r="A831" s="1"/>
      <c r="B831" s="24" t="str">
        <f>HYPERLINK("https://www.compass.com/listing/101-west-115th-street-unit-2c-manhattan-ny-10026/1780551037462733129/view?agent_id=610d3f3370540700019b0833","101 West 115th Street, Unit 2C")</f>
        <v>101 West 115th Street, Unit 2C</v>
      </c>
      <c r="C831" s="25" t="s">
        <v>22</v>
      </c>
      <c r="D831" s="26" t="s">
        <v>23</v>
      </c>
      <c r="E831" s="27" t="str">
        <f>HYPERLINK("https://www.compass.com/building/101-w-115th-st-manhattan-ny-10026/307447112220306965/","101 W 115th St")</f>
        <v>101 W 115th St</v>
      </c>
      <c r="F831" s="25" t="s">
        <v>45</v>
      </c>
      <c r="G831" s="28">
        <v>495000.0</v>
      </c>
      <c r="H831" s="28">
        <v>582.0</v>
      </c>
      <c r="I831" s="28">
        <v>563.0</v>
      </c>
      <c r="J831" s="28">
        <v>0.0</v>
      </c>
      <c r="K831" s="25" t="s">
        <v>25</v>
      </c>
      <c r="L831" s="26">
        <v>4.0</v>
      </c>
      <c r="M831" s="26">
        <v>2.0</v>
      </c>
      <c r="N831" s="26">
        <v>1.0</v>
      </c>
      <c r="O831" s="26">
        <v>0.0</v>
      </c>
      <c r="P831" s="26">
        <v>850.0</v>
      </c>
      <c r="Q831" s="35">
        <v>157.0</v>
      </c>
      <c r="R831" s="32">
        <v>45802.0</v>
      </c>
      <c r="S831" s="32">
        <v>45706.0</v>
      </c>
      <c r="T831" s="29"/>
      <c r="U831" s="33"/>
      <c r="V831" s="1"/>
    </row>
    <row r="832" ht="24.0" customHeight="1">
      <c r="A832" s="1"/>
      <c r="B832" s="24" t="str">
        <f>HYPERLINK("https://www.compass.com/listing/7-lake-avenue-brooklyn-ny-11235/1879922017957337153/view?agent_id=610d3f3370540700019b0833","7 Lake Avenue")</f>
        <v>7 Lake Avenue</v>
      </c>
      <c r="C832" s="25" t="s">
        <v>22</v>
      </c>
      <c r="D832" s="26" t="s">
        <v>23</v>
      </c>
      <c r="E832" s="27" t="str">
        <f>HYPERLINK("https://www.compass.com/building/7-lake-ave-brooklyn-ny-11235/293527825103728085/","7 Lake Ave")</f>
        <v>7 Lake Ave</v>
      </c>
      <c r="F832" s="25" t="s">
        <v>70</v>
      </c>
      <c r="G832" s="28">
        <v>488000.0</v>
      </c>
      <c r="H832" s="28">
        <v>697.0</v>
      </c>
      <c r="I832" s="28">
        <v>246.0</v>
      </c>
      <c r="J832" s="28">
        <v>2950.0</v>
      </c>
      <c r="K832" s="25" t="s">
        <v>159</v>
      </c>
      <c r="L832" s="26">
        <v>3.0</v>
      </c>
      <c r="M832" s="26">
        <v>2.0</v>
      </c>
      <c r="N832" s="26">
        <v>1.0</v>
      </c>
      <c r="O832" s="30"/>
      <c r="P832" s="26">
        <v>700.0</v>
      </c>
      <c r="Q832" s="35">
        <v>18.0</v>
      </c>
      <c r="R832" s="32">
        <v>45857.0</v>
      </c>
      <c r="S832" s="32">
        <v>45845.0</v>
      </c>
      <c r="T832" s="29"/>
      <c r="U832" s="33"/>
      <c r="V832" s="1"/>
    </row>
    <row r="833" ht="24.0" customHeight="1">
      <c r="A833" s="1"/>
      <c r="B833" s="24" t="str">
        <f>HYPERLINK("https://www.compass.com/listing/153-54-foch-boulevard-queens-ny-11434/1875630874221114113/view?agent_id=610d3f3370540700019b0833","153-54 Foch Boulevard")</f>
        <v>153-54 Foch Boulevard</v>
      </c>
      <c r="C833" s="25" t="s">
        <v>22</v>
      </c>
      <c r="D833" s="26" t="s">
        <v>23</v>
      </c>
      <c r="E833" s="27" t="str">
        <f>HYPERLINK("https://www.compass.com/building/153-54-foch-blvd-queens-ny-11434/293535256311588997/","153-54 Foch Blvd")</f>
        <v>153-54 Foch Blvd</v>
      </c>
      <c r="F833" s="25" t="s">
        <v>222</v>
      </c>
      <c r="G833" s="28">
        <v>585000.0</v>
      </c>
      <c r="H833" s="28">
        <v>602.0</v>
      </c>
      <c r="I833" s="28">
        <v>417.0</v>
      </c>
      <c r="J833" s="28">
        <v>5000.0</v>
      </c>
      <c r="K833" s="25" t="s">
        <v>97</v>
      </c>
      <c r="L833" s="26">
        <v>6.0</v>
      </c>
      <c r="M833" s="26">
        <v>2.0</v>
      </c>
      <c r="N833" s="26">
        <v>1.0</v>
      </c>
      <c r="O833" s="30"/>
      <c r="P833" s="26">
        <v>972.0</v>
      </c>
      <c r="Q833" s="35">
        <v>24.0</v>
      </c>
      <c r="R833" s="32">
        <v>45840.0</v>
      </c>
      <c r="S833" s="32">
        <v>45839.0</v>
      </c>
      <c r="T833" s="29"/>
      <c r="U833" s="33"/>
      <c r="V833" s="1"/>
    </row>
    <row r="834" ht="24.0" customHeight="1">
      <c r="A834" s="1"/>
      <c r="B834" s="24" t="str">
        <f>HYPERLINK("https://www.compass.com/listing/1867-adam-clayton-powell-jr-boulevard-unit-3e-manhattan-ny-10026/1607194221228722569/view?agent_id=610d3f3370540700019b0833","1867 Adam Clayton Powell Jr Boulevard, Unit 3E")</f>
        <v>1867 Adam Clayton Powell Jr Boulevard, Unit 3E</v>
      </c>
      <c r="C834" s="25" t="s">
        <v>22</v>
      </c>
      <c r="D834" s="26" t="s">
        <v>23</v>
      </c>
      <c r="E834" s="27" t="str">
        <f>HYPERLINK("https://www.compass.com/building/1867-adam-clayton-powell-jr-blvd-manhattan-ny-10026/281975033235072885/","1867 Adam Clayton Powell Jr Blvd")</f>
        <v>1867 Adam Clayton Powell Jr Blvd</v>
      </c>
      <c r="F834" s="25" t="s">
        <v>45</v>
      </c>
      <c r="G834" s="28">
        <v>380000.0</v>
      </c>
      <c r="H834" s="29"/>
      <c r="I834" s="28">
        <v>883.0</v>
      </c>
      <c r="J834" s="28">
        <v>0.0</v>
      </c>
      <c r="K834" s="25" t="s">
        <v>25</v>
      </c>
      <c r="L834" s="26">
        <v>3.0</v>
      </c>
      <c r="M834" s="26">
        <v>2.0</v>
      </c>
      <c r="N834" s="26">
        <v>1.0</v>
      </c>
      <c r="O834" s="30"/>
      <c r="P834" s="30"/>
      <c r="Q834" s="35">
        <v>364.0</v>
      </c>
      <c r="R834" s="32">
        <v>45667.0</v>
      </c>
      <c r="S834" s="32">
        <v>45468.0</v>
      </c>
      <c r="T834" s="29"/>
      <c r="U834" s="33"/>
      <c r="V834" s="1"/>
    </row>
    <row r="835" ht="24.0" customHeight="1">
      <c r="A835" s="1"/>
      <c r="B835" s="24" t="str">
        <f>HYPERLINK("https://www.compass.com/listing/78-07-springfield-boulevard-unit-b-queens-ny-11364/1871386740497114457/view?agent_id=610d3f3370540700019b0833","78-07 Springfield Boulevard, Unit B")</f>
        <v>78-07 Springfield Boulevard, Unit B</v>
      </c>
      <c r="C835" s="25" t="s">
        <v>22</v>
      </c>
      <c r="D835" s="26" t="s">
        <v>23</v>
      </c>
      <c r="E835" s="27" t="str">
        <f>HYPERLINK("https://www.compass.com/building/78-07-springfield-blvd-queens-ny-11364/567520988101182221/","78-07 Springfield Blvd")</f>
        <v>78-07 Springfield Blvd</v>
      </c>
      <c r="F835" s="25" t="s">
        <v>37</v>
      </c>
      <c r="G835" s="28">
        <v>399800.0</v>
      </c>
      <c r="H835" s="28">
        <v>444.0</v>
      </c>
      <c r="I835" s="28">
        <v>1171.0</v>
      </c>
      <c r="J835" s="29"/>
      <c r="K835" s="25" t="s">
        <v>25</v>
      </c>
      <c r="L835" s="26">
        <v>5.0</v>
      </c>
      <c r="M835" s="26">
        <v>2.0</v>
      </c>
      <c r="N835" s="26">
        <v>1.0</v>
      </c>
      <c r="O835" s="26">
        <v>0.0</v>
      </c>
      <c r="P835" s="26">
        <v>900.0</v>
      </c>
      <c r="Q835" s="35">
        <v>30.0</v>
      </c>
      <c r="R835" s="32">
        <v>45834.0</v>
      </c>
      <c r="S835" s="32">
        <v>45833.0</v>
      </c>
      <c r="T835" s="29"/>
      <c r="U835" s="33"/>
      <c r="V835" s="1"/>
    </row>
    <row r="836" ht="24.0" customHeight="1">
      <c r="A836" s="1"/>
      <c r="B836" s="24" t="str">
        <f>HYPERLINK("https://www.compass.com/listing/900-west-190th-street-unit-7f-manhattan-ny-10040/1749921149574563625/view?agent_id=610d3f3370540700019b0833","900 West 190th Street, Unit 7F")</f>
        <v>900 West 190th Street, Unit 7F</v>
      </c>
      <c r="C836" s="25" t="s">
        <v>22</v>
      </c>
      <c r="D836" s="26" t="s">
        <v>23</v>
      </c>
      <c r="E836" s="27" t="str">
        <f>HYPERLINK("https://www.compass.com/building/cabrini-terrace-manhattan-ny/282034716771633221/","Cabrini Terrace")</f>
        <v>Cabrini Terrace</v>
      </c>
      <c r="F836" s="25" t="s">
        <v>58</v>
      </c>
      <c r="G836" s="28">
        <v>790000.0</v>
      </c>
      <c r="H836" s="28">
        <v>832.0</v>
      </c>
      <c r="I836" s="28">
        <v>1156.0</v>
      </c>
      <c r="J836" s="28">
        <v>0.0</v>
      </c>
      <c r="K836" s="25" t="s">
        <v>25</v>
      </c>
      <c r="L836" s="26">
        <v>5.0</v>
      </c>
      <c r="M836" s="26">
        <v>2.0</v>
      </c>
      <c r="N836" s="26">
        <v>1.0</v>
      </c>
      <c r="O836" s="30"/>
      <c r="P836" s="26">
        <v>950.0</v>
      </c>
      <c r="Q836" s="35">
        <v>198.0</v>
      </c>
      <c r="R836" s="32">
        <v>45685.0</v>
      </c>
      <c r="S836" s="32">
        <v>45665.0</v>
      </c>
      <c r="T836" s="29"/>
      <c r="U836" s="33"/>
      <c r="V836" s="1"/>
    </row>
    <row r="837" ht="24.0" customHeight="1">
      <c r="A837" s="1"/>
      <c r="B837" s="24" t="str">
        <f>HYPERLINK("https://www.compass.com/listing/501-west-156th-street-unit-44-manhattan-ny-10032/1851757798396373833/view?agent_id=610d3f3370540700019b0833","501 West 156th Street, Unit 44")</f>
        <v>501 West 156th Street, Unit 44</v>
      </c>
      <c r="C837" s="25" t="s">
        <v>22</v>
      </c>
      <c r="D837" s="26" t="s">
        <v>23</v>
      </c>
      <c r="E837" s="27" t="str">
        <f>HYPERLINK("https://www.compass.com/building/501-w-156th-st-manhattan-ny-10032/282006141163141877/","501 W 156th St")</f>
        <v>501 W 156th St</v>
      </c>
      <c r="F837" s="25" t="s">
        <v>77</v>
      </c>
      <c r="G837" s="28">
        <v>424995.0</v>
      </c>
      <c r="H837" s="28">
        <v>497.0</v>
      </c>
      <c r="I837" s="28">
        <v>1080.0</v>
      </c>
      <c r="J837" s="28">
        <v>0.0</v>
      </c>
      <c r="K837" s="25" t="s">
        <v>25</v>
      </c>
      <c r="L837" s="26">
        <v>4.0</v>
      </c>
      <c r="M837" s="26">
        <v>2.0</v>
      </c>
      <c r="N837" s="26">
        <v>1.0</v>
      </c>
      <c r="O837" s="26">
        <v>0.0</v>
      </c>
      <c r="P837" s="26">
        <v>855.0</v>
      </c>
      <c r="Q837" s="35">
        <v>57.0</v>
      </c>
      <c r="R837" s="32">
        <v>45860.0</v>
      </c>
      <c r="S837" s="32">
        <v>45806.0</v>
      </c>
      <c r="T837" s="29"/>
      <c r="U837" s="33"/>
      <c r="V837" s="1"/>
    </row>
    <row r="838" ht="24.0" customHeight="1">
      <c r="A838" s="1"/>
      <c r="B838" s="24" t="str">
        <f>HYPERLINK("https://www.compass.com/listing/21-16-35th-street-unit-5b-queens-ny-11105/1848087660668324185/view?agent_id=610d3f3370540700019b0833","21-16 35th Street, Unit 5B")</f>
        <v>21-16 35th Street, Unit 5B</v>
      </c>
      <c r="C838" s="25" t="s">
        <v>22</v>
      </c>
      <c r="D838" s="26" t="s">
        <v>23</v>
      </c>
      <c r="E838" s="27" t="str">
        <f>HYPERLINK("https://www.compass.com/building/21-16-35th-st-queens-ny-11105/294838810294617349/","21-16 35th St")</f>
        <v>21-16 35th St</v>
      </c>
      <c r="F838" s="25" t="s">
        <v>68</v>
      </c>
      <c r="G838" s="28">
        <v>349000.0</v>
      </c>
      <c r="H838" s="28">
        <v>465.0</v>
      </c>
      <c r="I838" s="28">
        <v>2417.0</v>
      </c>
      <c r="J838" s="29"/>
      <c r="K838" s="25" t="s">
        <v>25</v>
      </c>
      <c r="L838" s="26">
        <v>4.0</v>
      </c>
      <c r="M838" s="26">
        <v>2.0</v>
      </c>
      <c r="N838" s="26">
        <v>1.0</v>
      </c>
      <c r="O838" s="30"/>
      <c r="P838" s="26">
        <v>750.0</v>
      </c>
      <c r="Q838" s="35">
        <v>62.0</v>
      </c>
      <c r="R838" s="32">
        <v>45816.0</v>
      </c>
      <c r="S838" s="32">
        <v>45801.0</v>
      </c>
      <c r="T838" s="29"/>
      <c r="U838" s="33"/>
      <c r="V838" s="1"/>
    </row>
    <row r="839" ht="24.0" customHeight="1">
      <c r="A839" s="1"/>
      <c r="B839" s="24" t="str">
        <f>HYPERLINK("https://www.compass.com/listing/1226-saint-marks-avenue-unit-4b-brooklyn-ny-11213/1233066272090174721/view?agent_id=610d3f3370540700019b0833","1226 Saint Marks Avenue, Unit 4B")</f>
        <v>1226 Saint Marks Avenue, Unit 4B</v>
      </c>
      <c r="C839" s="25" t="s">
        <v>22</v>
      </c>
      <c r="D839" s="26" t="s">
        <v>23</v>
      </c>
      <c r="E839" s="27" t="str">
        <f>HYPERLINK("https://www.compass.com/building/1226-saint-marks-ave-brooklyn-ny-11213/293534460635275861/","1226 Saint Marks Ave")</f>
        <v>1226 Saint Marks Ave</v>
      </c>
      <c r="F839" s="25" t="s">
        <v>111</v>
      </c>
      <c r="G839" s="28">
        <v>650000.0</v>
      </c>
      <c r="H839" s="28">
        <v>868.0</v>
      </c>
      <c r="I839" s="28">
        <v>904.0</v>
      </c>
      <c r="J839" s="28">
        <v>6768.0</v>
      </c>
      <c r="K839" s="25" t="s">
        <v>28</v>
      </c>
      <c r="L839" s="26">
        <v>5.0</v>
      </c>
      <c r="M839" s="26">
        <v>2.0</v>
      </c>
      <c r="N839" s="26">
        <v>1.0</v>
      </c>
      <c r="O839" s="30"/>
      <c r="P839" s="26">
        <v>749.0</v>
      </c>
      <c r="Q839" s="35">
        <v>338.0</v>
      </c>
      <c r="R839" s="32">
        <v>45526.0</v>
      </c>
      <c r="S839" s="32">
        <v>45525.0</v>
      </c>
      <c r="T839" s="29"/>
      <c r="U839" s="33"/>
      <c r="V839" s="1"/>
    </row>
    <row r="840" ht="24.0" customHeight="1">
      <c r="A840" s="1"/>
      <c r="B840" s="24" t="str">
        <f>HYPERLINK("https://www.compass.com/listing/261-34-langston-avenue-unit-e2-queens-ny-11004/1840811135606422561/view?agent_id=610d3f3370540700019b0833","261-34 Langston Avenue, Unit E2")</f>
        <v>261-34 Langston Avenue, Unit E2</v>
      </c>
      <c r="C840" s="25" t="s">
        <v>22</v>
      </c>
      <c r="D840" s="26" t="s">
        <v>23</v>
      </c>
      <c r="E840" s="27" t="str">
        <f>HYPERLINK("https://www.compass.com/building/261-34-langston-ave-queens-ny-11004/307457722978721301/","261-34 Langston Ave")</f>
        <v>261-34 Langston Ave</v>
      </c>
      <c r="F840" s="25" t="s">
        <v>92</v>
      </c>
      <c r="G840" s="28">
        <v>459900.0</v>
      </c>
      <c r="H840" s="28">
        <v>602.0</v>
      </c>
      <c r="I840" s="28">
        <v>866.0</v>
      </c>
      <c r="J840" s="29"/>
      <c r="K840" s="25" t="s">
        <v>25</v>
      </c>
      <c r="L840" s="26">
        <v>5.0</v>
      </c>
      <c r="M840" s="26">
        <v>2.0</v>
      </c>
      <c r="N840" s="26">
        <v>1.0</v>
      </c>
      <c r="O840" s="30"/>
      <c r="P840" s="26">
        <v>764.0</v>
      </c>
      <c r="Q840" s="35">
        <v>72.0</v>
      </c>
      <c r="R840" s="32">
        <v>45792.0</v>
      </c>
      <c r="S840" s="32">
        <v>45791.0</v>
      </c>
      <c r="T840" s="29"/>
      <c r="U840" s="33"/>
      <c r="V840" s="1"/>
    </row>
    <row r="841" ht="24.0" customHeight="1">
      <c r="A841" s="1"/>
      <c r="B841" s="24" t="str">
        <f>HYPERLINK("https://www.compass.com/listing/102-36-64th-avenue-unit-6b-queens-ny-11375/1799396725919809449/view?agent_id=610d3f3370540700019b0833","102-36 64th Avenue, Unit 6B")</f>
        <v>102-36 64th Avenue, Unit 6B</v>
      </c>
      <c r="C841" s="25" t="s">
        <v>22</v>
      </c>
      <c r="D841" s="26" t="s">
        <v>23</v>
      </c>
      <c r="E841" s="27" t="str">
        <f>HYPERLINK("https://www.compass.com/building/102-36-64th-ave-queens-ny-11375/307446139644911477/","102-36 64th Ave")</f>
        <v>102-36 64th Ave</v>
      </c>
      <c r="F841" s="25" t="s">
        <v>166</v>
      </c>
      <c r="G841" s="28">
        <v>408000.0</v>
      </c>
      <c r="H841" s="28">
        <v>425.0</v>
      </c>
      <c r="I841" s="28">
        <v>1050.0</v>
      </c>
      <c r="J841" s="28">
        <v>0.0</v>
      </c>
      <c r="K841" s="25" t="s">
        <v>25</v>
      </c>
      <c r="L841" s="26">
        <v>5.0</v>
      </c>
      <c r="M841" s="26">
        <v>2.0</v>
      </c>
      <c r="N841" s="26">
        <v>1.0</v>
      </c>
      <c r="O841" s="30"/>
      <c r="P841" s="26">
        <v>960.0</v>
      </c>
      <c r="Q841" s="35">
        <v>130.0</v>
      </c>
      <c r="R841" s="32">
        <v>45734.0</v>
      </c>
      <c r="S841" s="32">
        <v>45733.0</v>
      </c>
      <c r="T841" s="29"/>
      <c r="U841" s="33"/>
      <c r="V841" s="1"/>
    </row>
    <row r="842" ht="24.0" customHeight="1">
      <c r="A842" s="1"/>
      <c r="B842" s="24" t="str">
        <f>HYPERLINK("https://www.compass.com/listing/3-fordham-hill-ovl-unit-10b-bronx-ny-10468/1856552101463332681/view?agent_id=610d3f3370540700019b0833","3 Fordham Hill Ovl, Unit 10B")</f>
        <v>3 Fordham Hill Ovl, Unit 10B</v>
      </c>
      <c r="C842" s="25" t="s">
        <v>22</v>
      </c>
      <c r="D842" s="26" t="s">
        <v>23</v>
      </c>
      <c r="E842" s="27" t="str">
        <f>HYPERLINK("https://www.compass.com/building/3-fordham-hill-oval-bronx-ny-10468/294845138828131909/","3 Fordham Hill Oval")</f>
        <v>3 Fordham Hill Oval</v>
      </c>
      <c r="F842" s="25" t="s">
        <v>126</v>
      </c>
      <c r="G842" s="28">
        <v>239000.0</v>
      </c>
      <c r="H842" s="28">
        <v>245.0</v>
      </c>
      <c r="I842" s="28">
        <v>1570.0</v>
      </c>
      <c r="J842" s="29"/>
      <c r="K842" s="25" t="s">
        <v>25</v>
      </c>
      <c r="L842" s="26">
        <v>4.0</v>
      </c>
      <c r="M842" s="26">
        <v>2.0</v>
      </c>
      <c r="N842" s="26">
        <v>1.0</v>
      </c>
      <c r="O842" s="30"/>
      <c r="P842" s="26">
        <v>975.0</v>
      </c>
      <c r="Q842" s="35">
        <v>50.0</v>
      </c>
      <c r="R842" s="32">
        <v>45841.0</v>
      </c>
      <c r="S842" s="32">
        <v>45813.0</v>
      </c>
      <c r="T842" s="29"/>
      <c r="U842" s="33"/>
      <c r="V842" s="1"/>
    </row>
    <row r="843" ht="24.0" customHeight="1">
      <c r="A843" s="1"/>
      <c r="B843" s="24" t="str">
        <f>HYPERLINK("https://www.compass.com/listing/22401-hillside-avenue-unit-2-queens-ny-11427/1862493129667576265/view?agent_id=610d3f3370540700019b0833","22401 Hillside Avenue, Unit 2")</f>
        <v>22401 Hillside Avenue, Unit 2</v>
      </c>
      <c r="C843" s="25" t="s">
        <v>22</v>
      </c>
      <c r="D843" s="26" t="s">
        <v>23</v>
      </c>
      <c r="E843" s="26" t="s">
        <v>223</v>
      </c>
      <c r="F843" s="25" t="s">
        <v>69</v>
      </c>
      <c r="G843" s="28">
        <v>258000.0</v>
      </c>
      <c r="H843" s="28">
        <v>336.0</v>
      </c>
      <c r="I843" s="28">
        <v>941.0</v>
      </c>
      <c r="J843" s="29"/>
      <c r="K843" s="25" t="s">
        <v>25</v>
      </c>
      <c r="L843" s="26">
        <v>4.0</v>
      </c>
      <c r="M843" s="26">
        <v>2.0</v>
      </c>
      <c r="N843" s="26">
        <v>1.0</v>
      </c>
      <c r="O843" s="30"/>
      <c r="P843" s="26">
        <v>768.0</v>
      </c>
      <c r="Q843" s="35">
        <v>42.0</v>
      </c>
      <c r="R843" s="32">
        <v>45826.0</v>
      </c>
      <c r="S843" s="32">
        <v>45821.0</v>
      </c>
      <c r="T843" s="29"/>
      <c r="U843" s="33"/>
      <c r="V843" s="1"/>
    </row>
    <row r="844" ht="24.0" customHeight="1">
      <c r="A844" s="1"/>
      <c r="B844" s="24" t="str">
        <f>HYPERLINK("https://www.compass.com/listing/223-36-65th-avenue-unit-2a-queens-ny-11364/1855170231349360297/view?agent_id=610d3f3370540700019b0833","223-36 65th Avenue, Unit 2A")</f>
        <v>223-36 65th Avenue, Unit 2A</v>
      </c>
      <c r="C844" s="25" t="s">
        <v>22</v>
      </c>
      <c r="D844" s="26" t="s">
        <v>23</v>
      </c>
      <c r="E844" s="27" t="str">
        <f>HYPERLINK("https://www.compass.com/building/223-36-65th-ave-queens-ny-11364/307460671079638213/","223-36 65th Ave")</f>
        <v>223-36 65th Ave</v>
      </c>
      <c r="F844" s="25" t="s">
        <v>37</v>
      </c>
      <c r="G844" s="28">
        <v>488000.0</v>
      </c>
      <c r="H844" s="28">
        <v>610.0</v>
      </c>
      <c r="I844" s="28">
        <v>1200.0</v>
      </c>
      <c r="J844" s="29"/>
      <c r="K844" s="25" t="s">
        <v>25</v>
      </c>
      <c r="L844" s="26">
        <v>5.0</v>
      </c>
      <c r="M844" s="26">
        <v>2.0</v>
      </c>
      <c r="N844" s="26">
        <v>1.0</v>
      </c>
      <c r="O844" s="30"/>
      <c r="P844" s="26">
        <v>800.0</v>
      </c>
      <c r="Q844" s="35">
        <v>52.0</v>
      </c>
      <c r="R844" s="32">
        <v>45816.0</v>
      </c>
      <c r="S844" s="32">
        <v>45811.0</v>
      </c>
      <c r="T844" s="29"/>
      <c r="U844" s="33"/>
      <c r="V844" s="1"/>
    </row>
    <row r="845" ht="24.0" customHeight="1">
      <c r="A845" s="1"/>
      <c r="B845" s="24" t="str">
        <f>HYPERLINK("https://www.compass.com/listing/215-adams-street-unit-16c-brooklyn-ny-11201/1809610781784578969/view?agent_id=610d3f3370540700019b0833","215 Adams Street, Unit 16C")</f>
        <v>215 Adams Street, Unit 16C</v>
      </c>
      <c r="C845" s="25" t="s">
        <v>22</v>
      </c>
      <c r="D845" s="26" t="s">
        <v>23</v>
      </c>
      <c r="E845" s="27" t="str">
        <f>HYPERLINK("https://www.compass.com/building/concord-village-brooklyn-ny/293426148749155573/","Concord Village")</f>
        <v>Concord Village</v>
      </c>
      <c r="F845" s="25" t="s">
        <v>31</v>
      </c>
      <c r="G845" s="28">
        <v>1149999.0</v>
      </c>
      <c r="H845" s="28">
        <v>1103.0</v>
      </c>
      <c r="I845" s="28">
        <v>1822.0</v>
      </c>
      <c r="J845" s="28">
        <v>0.0</v>
      </c>
      <c r="K845" s="25" t="s">
        <v>25</v>
      </c>
      <c r="L845" s="30"/>
      <c r="M845" s="26">
        <v>2.0</v>
      </c>
      <c r="N845" s="30"/>
      <c r="O845" s="30"/>
      <c r="P845" s="34">
        <v>1043.0</v>
      </c>
      <c r="Q845" s="35">
        <v>1376.0</v>
      </c>
      <c r="R845" s="32">
        <v>44529.0</v>
      </c>
      <c r="S845" s="32">
        <v>44487.0</v>
      </c>
      <c r="T845" s="29"/>
      <c r="U845" s="33"/>
      <c r="V845" s="1"/>
    </row>
    <row r="846" ht="24.0" customHeight="1">
      <c r="A846" s="1"/>
      <c r="B846" s="24" t="str">
        <f>HYPERLINK("https://www.compass.com/listing/37-depew-place-staten-island-ny-10309/1885779001644964393/view?agent_id=610d3f3370540700019b0833","37 Depew Place")</f>
        <v>37 Depew Place</v>
      </c>
      <c r="C846" s="25" t="s">
        <v>22</v>
      </c>
      <c r="D846" s="26" t="s">
        <v>23</v>
      </c>
      <c r="E846" s="27" t="str">
        <f>HYPERLINK("https://www.compass.com/building/37-depew-pl-staten-island-ny-10309/293531703257932629/","37 Depew Pl")</f>
        <v>37 Depew Pl</v>
      </c>
      <c r="F846" s="25" t="s">
        <v>224</v>
      </c>
      <c r="G846" s="28">
        <v>549000.0</v>
      </c>
      <c r="H846" s="28">
        <v>542.0</v>
      </c>
      <c r="I846" s="28">
        <v>467.0</v>
      </c>
      <c r="J846" s="28">
        <v>5600.0</v>
      </c>
      <c r="K846" s="25" t="s">
        <v>97</v>
      </c>
      <c r="L846" s="26">
        <v>5.0</v>
      </c>
      <c r="M846" s="26">
        <v>2.0</v>
      </c>
      <c r="N846" s="26">
        <v>1.0</v>
      </c>
      <c r="O846" s="26">
        <v>0.0</v>
      </c>
      <c r="P846" s="34">
        <v>1012.0</v>
      </c>
      <c r="Q846" s="35">
        <v>10.0</v>
      </c>
      <c r="R846" s="32">
        <v>45857.0</v>
      </c>
      <c r="S846" s="32">
        <v>45852.0</v>
      </c>
      <c r="T846" s="29"/>
      <c r="U846" s="33"/>
      <c r="V846" s="1"/>
    </row>
    <row r="847" ht="24.0" customHeight="1">
      <c r="A847" s="1"/>
      <c r="B847" s="24" t="str">
        <f>HYPERLINK("https://www.compass.com/listing/979-east-108th-street-unit-1b-brooklyn-ny-11236/1881373878636377257/view?agent_id=610d3f3370540700019b0833","979 East 108th Street, Unit 1B")</f>
        <v>979 East 108th Street, Unit 1B</v>
      </c>
      <c r="C847" s="25" t="s">
        <v>22</v>
      </c>
      <c r="D847" s="26" t="s">
        <v>23</v>
      </c>
      <c r="E847" s="27" t="str">
        <f>HYPERLINK("https://www.compass.com/building/979-e-108th-st-brooklyn-ny-11236/307451838613588725/","979 E 108th St")</f>
        <v>979 E 108th St</v>
      </c>
      <c r="F847" s="25" t="s">
        <v>187</v>
      </c>
      <c r="G847" s="28">
        <v>290000.0</v>
      </c>
      <c r="H847" s="28">
        <v>284.0</v>
      </c>
      <c r="I847" s="28">
        <v>973.0</v>
      </c>
      <c r="J847" s="29"/>
      <c r="K847" s="25" t="s">
        <v>25</v>
      </c>
      <c r="L847" s="26">
        <v>4.0</v>
      </c>
      <c r="M847" s="26">
        <v>2.0</v>
      </c>
      <c r="N847" s="26">
        <v>1.0</v>
      </c>
      <c r="O847" s="30"/>
      <c r="P847" s="34">
        <v>1021.0</v>
      </c>
      <c r="Q847" s="35">
        <v>16.0</v>
      </c>
      <c r="R847" s="32">
        <v>45847.0</v>
      </c>
      <c r="S847" s="32">
        <v>45847.0</v>
      </c>
      <c r="T847" s="29"/>
      <c r="U847" s="33"/>
      <c r="V847" s="1"/>
    </row>
    <row r="848" ht="24.0" customHeight="1">
      <c r="A848" s="1"/>
      <c r="B848" s="24" t="str">
        <f>HYPERLINK("https://www.compass.com/listing/152-18-union-turnpike-unit-12t-queens-ny-11367/1884993632891688953/view?agent_id=610d3f3370540700019b0833","152-18 Union Turnpike, Unit 12T")</f>
        <v>152-18 Union Turnpike, Unit 12T</v>
      </c>
      <c r="C848" s="25" t="s">
        <v>22</v>
      </c>
      <c r="D848" s="26" t="s">
        <v>23</v>
      </c>
      <c r="E848" s="27" t="str">
        <f>HYPERLINK("https://www.compass.com/building/152-18-union-tpke-queens-ny-11367/567455964628524973/","152-18 Union Tpke")</f>
        <v>152-18 Union Tpke</v>
      </c>
      <c r="F848" s="25" t="s">
        <v>142</v>
      </c>
      <c r="G848" s="28">
        <v>630000.0</v>
      </c>
      <c r="H848" s="28">
        <v>788.0</v>
      </c>
      <c r="I848" s="28">
        <v>1014.0</v>
      </c>
      <c r="J848" s="28">
        <v>3527.0</v>
      </c>
      <c r="K848" s="25" t="s">
        <v>28</v>
      </c>
      <c r="L848" s="26">
        <v>5.0</v>
      </c>
      <c r="M848" s="26">
        <v>2.0</v>
      </c>
      <c r="N848" s="26">
        <v>1.0</v>
      </c>
      <c r="O848" s="30"/>
      <c r="P848" s="26">
        <v>800.0</v>
      </c>
      <c r="Q848" s="35">
        <v>9.0</v>
      </c>
      <c r="R848" s="32">
        <v>45863.0</v>
      </c>
      <c r="S848" s="32">
        <v>45854.0</v>
      </c>
      <c r="T848" s="29"/>
      <c r="U848" s="33"/>
      <c r="V848" s="1"/>
    </row>
    <row r="849" ht="24.0" customHeight="1">
      <c r="A849" s="1"/>
      <c r="B849" s="24" t="str">
        <f>HYPERLINK("https://www.compass.com/listing/67-12-yellowstone-boulevard-unit-e8-queens-ny-11375/1862201800542742241/view?agent_id=610d3f3370540700019b0833","67-12 Yellowstone Boulevard, Unit E8")</f>
        <v>67-12 Yellowstone Boulevard, Unit E8</v>
      </c>
      <c r="C849" s="25" t="s">
        <v>22</v>
      </c>
      <c r="D849" s="26" t="s">
        <v>23</v>
      </c>
      <c r="E849" s="27" t="str">
        <f>HYPERLINK("https://www.compass.com/building/67-12-yellowstone-blvd-queens-ny-11375/293529676536631813/","67-12 Yellowstone Blvd")</f>
        <v>67-12 Yellowstone Blvd</v>
      </c>
      <c r="F849" s="25" t="s">
        <v>165</v>
      </c>
      <c r="G849" s="28">
        <v>485000.0</v>
      </c>
      <c r="H849" s="28">
        <v>441.0</v>
      </c>
      <c r="I849" s="28">
        <v>1515.0</v>
      </c>
      <c r="J849" s="28">
        <v>0.0</v>
      </c>
      <c r="K849" s="25" t="s">
        <v>25</v>
      </c>
      <c r="L849" s="26">
        <v>6.0</v>
      </c>
      <c r="M849" s="26">
        <v>2.0</v>
      </c>
      <c r="N849" s="26">
        <v>1.0</v>
      </c>
      <c r="O849" s="30"/>
      <c r="P849" s="34">
        <v>1100.0</v>
      </c>
      <c r="Q849" s="35">
        <v>43.0</v>
      </c>
      <c r="R849" s="32">
        <v>45821.0</v>
      </c>
      <c r="S849" s="32">
        <v>45820.0</v>
      </c>
      <c r="T849" s="29"/>
      <c r="U849" s="33"/>
      <c r="V849" s="1"/>
    </row>
    <row r="850" ht="24.0" customHeight="1">
      <c r="A850" s="1"/>
      <c r="B850" s="24" t="str">
        <f>HYPERLINK("https://www.compass.com/listing/551-b-vincent-avenue-bronx-ny-10465/1837092442382615905/view?agent_id=610d3f3370540700019b0833","551 B Vincent Avenue")</f>
        <v>551 B Vincent Avenue</v>
      </c>
      <c r="C850" s="25" t="s">
        <v>22</v>
      </c>
      <c r="D850" s="26" t="s">
        <v>23</v>
      </c>
      <c r="E850" s="27" t="str">
        <f>HYPERLINK("https://www.compass.com/building/551-b-vincent-ave-bronx-ny-10465/293526512244623253/","551 B Vincent Ave")</f>
        <v>551 B Vincent Ave</v>
      </c>
      <c r="F850" s="25" t="s">
        <v>208</v>
      </c>
      <c r="G850" s="28">
        <v>499000.0</v>
      </c>
      <c r="H850" s="28">
        <v>520.0</v>
      </c>
      <c r="I850" s="28">
        <v>303.0</v>
      </c>
      <c r="J850" s="28">
        <v>3636.0</v>
      </c>
      <c r="K850" s="25" t="s">
        <v>97</v>
      </c>
      <c r="L850" s="26">
        <v>4.0</v>
      </c>
      <c r="M850" s="26">
        <v>2.0</v>
      </c>
      <c r="N850" s="26">
        <v>1.0</v>
      </c>
      <c r="O850" s="30"/>
      <c r="P850" s="26">
        <v>960.0</v>
      </c>
      <c r="Q850" s="35">
        <v>78.0</v>
      </c>
      <c r="R850" s="32">
        <v>45786.0</v>
      </c>
      <c r="S850" s="32">
        <v>45785.0</v>
      </c>
      <c r="T850" s="29"/>
      <c r="U850" s="33"/>
      <c r="V850" s="1"/>
    </row>
    <row r="851" ht="24.0" customHeight="1">
      <c r="A851" s="1"/>
      <c r="B851" s="24" t="str">
        <f>HYPERLINK("https://www.compass.com/listing/340-east-mosholu-parkway-south-unit-1a-bronx-ny-10458/1834470778895708753/view?agent_id=610d3f3370540700019b0833","340 East Mosholu Parkway South, Unit 1A")</f>
        <v>340 East Mosholu Parkway South, Unit 1A</v>
      </c>
      <c r="C851" s="25" t="s">
        <v>22</v>
      </c>
      <c r="D851" s="26" t="s">
        <v>23</v>
      </c>
      <c r="E851" s="27" t="str">
        <f>HYPERLINK("https://www.compass.com/building/340-e-mosholu-pkwy-s-bronx-ny-10458/293528252453019733/","340 E Mosholu Pkwy S")</f>
        <v>340 E Mosholu Pkwy S</v>
      </c>
      <c r="F851" s="25" t="s">
        <v>176</v>
      </c>
      <c r="G851" s="28">
        <v>259000.0</v>
      </c>
      <c r="H851" s="28">
        <v>302.0</v>
      </c>
      <c r="I851" s="28">
        <v>987.0</v>
      </c>
      <c r="J851" s="29"/>
      <c r="K851" s="25" t="s">
        <v>25</v>
      </c>
      <c r="L851" s="26">
        <v>4.0</v>
      </c>
      <c r="M851" s="26">
        <v>2.0</v>
      </c>
      <c r="N851" s="26">
        <v>1.0</v>
      </c>
      <c r="O851" s="30"/>
      <c r="P851" s="26">
        <v>858.0</v>
      </c>
      <c r="Q851" s="35">
        <v>81.0</v>
      </c>
      <c r="R851" s="32">
        <v>45791.0</v>
      </c>
      <c r="S851" s="32">
        <v>45782.0</v>
      </c>
      <c r="T851" s="29"/>
      <c r="U851" s="33"/>
      <c r="V851" s="1"/>
    </row>
    <row r="852" ht="24.0" customHeight="1">
      <c r="A852" s="1"/>
      <c r="B852" s="24" t="str">
        <f>HYPERLINK("https://www.compass.com/listing/219-02-75th-avenue-unit-2f-queens-ny-11364/1859655923282442465/view?agent_id=610d3f3370540700019b0833","219-02 75th Avenue, Unit 2F")</f>
        <v>219-02 75th Avenue, Unit 2F</v>
      </c>
      <c r="C852" s="25" t="s">
        <v>22</v>
      </c>
      <c r="D852" s="26" t="s">
        <v>23</v>
      </c>
      <c r="E852" s="27" t="str">
        <f>HYPERLINK("https://www.compass.com/building/219-02-75th-ave-queens-ny-11364/445801511168356045/","219-02 75th Ave")</f>
        <v>219-02 75th Ave</v>
      </c>
      <c r="F852" s="25" t="s">
        <v>37</v>
      </c>
      <c r="G852" s="28">
        <v>323000.0</v>
      </c>
      <c r="H852" s="28">
        <v>404.0</v>
      </c>
      <c r="I852" s="28">
        <v>1425.0</v>
      </c>
      <c r="J852" s="29"/>
      <c r="K852" s="25" t="s">
        <v>25</v>
      </c>
      <c r="L852" s="26">
        <v>5.0</v>
      </c>
      <c r="M852" s="26">
        <v>2.0</v>
      </c>
      <c r="N852" s="26">
        <v>1.0</v>
      </c>
      <c r="O852" s="30"/>
      <c r="P852" s="26">
        <v>800.0</v>
      </c>
      <c r="Q852" s="35">
        <v>46.0</v>
      </c>
      <c r="R852" s="32">
        <v>45818.0</v>
      </c>
      <c r="S852" s="32">
        <v>45817.0</v>
      </c>
      <c r="T852" s="29"/>
      <c r="U852" s="33"/>
      <c r="V852" s="1"/>
    </row>
    <row r="853" ht="24.0" customHeight="1">
      <c r="A853" s="1"/>
      <c r="B853" s="24" t="str">
        <f>HYPERLINK("https://www.compass.com/listing/4489-broadway-unit-5e-manhattan-ny-10040/1809639953566749033/view?agent_id=610d3f3370540700019b0833","4489 Broadway, Unit 5E")</f>
        <v>4489 Broadway, Unit 5E</v>
      </c>
      <c r="C853" s="25" t="s">
        <v>22</v>
      </c>
      <c r="D853" s="26" t="s">
        <v>23</v>
      </c>
      <c r="E853" s="27" t="str">
        <f>HYPERLINK("https://www.compass.com/building/fort-tyron-gardens-manhattan-ny/282061318490459173/","Fort Tyron Gardens")</f>
        <v>Fort Tyron Gardens</v>
      </c>
      <c r="F853" s="25" t="s">
        <v>58</v>
      </c>
      <c r="G853" s="28">
        <v>515000.0</v>
      </c>
      <c r="H853" s="29"/>
      <c r="I853" s="28">
        <v>1202.0</v>
      </c>
      <c r="J853" s="28">
        <v>0.0</v>
      </c>
      <c r="K853" s="25" t="s">
        <v>25</v>
      </c>
      <c r="L853" s="26">
        <v>3.0</v>
      </c>
      <c r="M853" s="26">
        <v>2.0</v>
      </c>
      <c r="N853" s="26">
        <v>1.0</v>
      </c>
      <c r="O853" s="26">
        <v>0.0</v>
      </c>
      <c r="P853" s="30"/>
      <c r="Q853" s="35">
        <v>113.0</v>
      </c>
      <c r="R853" s="32">
        <v>45862.0</v>
      </c>
      <c r="S853" s="32">
        <v>45748.0</v>
      </c>
      <c r="T853" s="29"/>
      <c r="U853" s="33"/>
      <c r="V853" s="1"/>
    </row>
    <row r="854" ht="24.0" customHeight="1">
      <c r="A854" s="1"/>
      <c r="B854" s="24" t="str">
        <f>HYPERLINK("https://www.compass.com/listing/306-gold-street-unit-3c-brooklyn-ny-11201/1802186822179704993/view?agent_id=610d3f3370540700019b0833","306 Gold Street, Unit 3C")</f>
        <v>306 Gold Street, Unit 3C</v>
      </c>
      <c r="C854" s="25" t="s">
        <v>22</v>
      </c>
      <c r="D854" s="26" t="s">
        <v>23</v>
      </c>
      <c r="E854" s="27" t="str">
        <f>HYPERLINK("https://www.compass.com/building/oro-building-brooklyn-ny/282510682337925237/","Oro Building")</f>
        <v>Oro Building</v>
      </c>
      <c r="F854" s="25" t="s">
        <v>31</v>
      </c>
      <c r="G854" s="28">
        <v>1200000.0</v>
      </c>
      <c r="H854" s="28">
        <v>1286.0</v>
      </c>
      <c r="I854" s="28">
        <v>1838.0</v>
      </c>
      <c r="J854" s="28">
        <v>11340.0</v>
      </c>
      <c r="K854" s="25" t="s">
        <v>28</v>
      </c>
      <c r="L854" s="26">
        <v>4.0</v>
      </c>
      <c r="M854" s="26">
        <v>2.0</v>
      </c>
      <c r="N854" s="30"/>
      <c r="O854" s="30"/>
      <c r="P854" s="26">
        <v>933.0</v>
      </c>
      <c r="Q854" s="35">
        <v>116.0</v>
      </c>
      <c r="R854" s="32">
        <v>45855.0</v>
      </c>
      <c r="S854" s="32">
        <v>45747.0</v>
      </c>
      <c r="T854" s="29"/>
      <c r="U854" s="33"/>
      <c r="V854" s="1"/>
    </row>
    <row r="855" ht="24.0" customHeight="1">
      <c r="A855" s="1"/>
      <c r="B855" s="24" t="str">
        <f>HYPERLINK("https://www.compass.com/listing/5900-arlington-avenue-unit-10h-bronx-ny-10471/1857526076037106649/view?agent_id=610d3f3370540700019b0833","5900 Arlington Avenue, Unit 10H")</f>
        <v>5900 Arlington Avenue, Unit 10H</v>
      </c>
      <c r="C855" s="25" t="s">
        <v>22</v>
      </c>
      <c r="D855" s="26" t="s">
        <v>23</v>
      </c>
      <c r="E855" s="27" t="str">
        <f>HYPERLINK("https://www.compass.com/building/skyview-on-the-hudson-bronx-ny/293535671430276277/","Skyview On The Hudson")</f>
        <v>Skyview On The Hudson</v>
      </c>
      <c r="F855" s="25" t="s">
        <v>75</v>
      </c>
      <c r="G855" s="28">
        <v>375000.0</v>
      </c>
      <c r="H855" s="29"/>
      <c r="I855" s="28">
        <v>1286.0</v>
      </c>
      <c r="J855" s="28">
        <v>0.0</v>
      </c>
      <c r="K855" s="25" t="s">
        <v>25</v>
      </c>
      <c r="L855" s="26">
        <v>4.0</v>
      </c>
      <c r="M855" s="26">
        <v>2.0</v>
      </c>
      <c r="N855" s="26">
        <v>1.0</v>
      </c>
      <c r="O855" s="26">
        <v>0.0</v>
      </c>
      <c r="P855" s="30"/>
      <c r="Q855" s="35">
        <v>49.0</v>
      </c>
      <c r="R855" s="32">
        <v>45862.0</v>
      </c>
      <c r="S855" s="32">
        <v>45814.0</v>
      </c>
      <c r="T855" s="29"/>
      <c r="U855" s="33"/>
      <c r="V855" s="1"/>
    </row>
    <row r="856" ht="24.0" customHeight="1">
      <c r="A856" s="1"/>
      <c r="B856" s="24" t="str">
        <f>HYPERLINK("https://www.compass.com/listing/4523-broadway-unit-3b-manhattan-ny-10040/1764603613566186817/view?agent_id=610d3f3370540700019b0833","4523 Broadway, Unit 3B")</f>
        <v>4523 Broadway, Unit 3B</v>
      </c>
      <c r="C856" s="25" t="s">
        <v>22</v>
      </c>
      <c r="D856" s="26" t="s">
        <v>23</v>
      </c>
      <c r="E856" s="27" t="str">
        <f>HYPERLINK("https://www.compass.com/building/fort-tryon-gardens-manhattan-ny/282033744129310277/","Fort Tryon Gardens")</f>
        <v>Fort Tryon Gardens</v>
      </c>
      <c r="F856" s="25" t="s">
        <v>58</v>
      </c>
      <c r="G856" s="28">
        <v>549000.0</v>
      </c>
      <c r="H856" s="28">
        <v>610.0</v>
      </c>
      <c r="I856" s="28">
        <v>1103.0</v>
      </c>
      <c r="J856" s="28">
        <v>0.0</v>
      </c>
      <c r="K856" s="25" t="s">
        <v>25</v>
      </c>
      <c r="L856" s="26">
        <v>4.0</v>
      </c>
      <c r="M856" s="26">
        <v>2.0</v>
      </c>
      <c r="N856" s="26">
        <v>1.0</v>
      </c>
      <c r="O856" s="26">
        <v>0.0</v>
      </c>
      <c r="P856" s="26">
        <v>900.0</v>
      </c>
      <c r="Q856" s="35">
        <v>177.0</v>
      </c>
      <c r="R856" s="32">
        <v>45856.0</v>
      </c>
      <c r="S856" s="32">
        <v>45686.0</v>
      </c>
      <c r="T856" s="29"/>
      <c r="U856" s="33"/>
      <c r="V856" s="1"/>
    </row>
    <row r="857" ht="24.0" customHeight="1">
      <c r="A857" s="1"/>
      <c r="B857" s="24" t="str">
        <f>HYPERLINK("https://www.compass.com/listing/31-19-29th-street-unit-5a-queens-ny-11106/1781759210757187817/view?agent_id=610d3f3370540700019b0833","31-19 29th Street, Unit 5A")</f>
        <v>31-19 29th Street, Unit 5A</v>
      </c>
      <c r="C857" s="25" t="s">
        <v>22</v>
      </c>
      <c r="D857" s="26" t="s">
        <v>23</v>
      </c>
      <c r="E857" s="27" t="str">
        <f>HYPERLINK("https://www.compass.com/building/31-19-29th-st-queens-ny-11106/293534106275297957/","31-19 29th St")</f>
        <v>31-19 29th St</v>
      </c>
      <c r="F857" s="25" t="s">
        <v>68</v>
      </c>
      <c r="G857" s="28">
        <v>1190000.0</v>
      </c>
      <c r="H857" s="28">
        <v>1413.0</v>
      </c>
      <c r="I857" s="28">
        <v>1676.0</v>
      </c>
      <c r="J857" s="28">
        <v>13308.0</v>
      </c>
      <c r="K857" s="25" t="s">
        <v>28</v>
      </c>
      <c r="L857" s="26">
        <v>5.0</v>
      </c>
      <c r="M857" s="26">
        <v>2.0</v>
      </c>
      <c r="N857" s="26">
        <v>1.0</v>
      </c>
      <c r="O857" s="30"/>
      <c r="P857" s="26">
        <v>842.0</v>
      </c>
      <c r="Q857" s="35">
        <v>154.0</v>
      </c>
      <c r="R857" s="32">
        <v>45710.0</v>
      </c>
      <c r="S857" s="32">
        <v>45709.0</v>
      </c>
      <c r="T857" s="29"/>
      <c r="U857" s="33"/>
      <c r="V857" s="1"/>
    </row>
    <row r="858" ht="24.0" customHeight="1">
      <c r="A858" s="1"/>
      <c r="B858" s="24" t="str">
        <f>HYPERLINK("https://www.compass.com/listing/2652-cropsey-avenue-unit-15c-brooklyn-ny-11214/1884936909393097449/view?agent_id=610d3f3370540700019b0833","2652 Cropsey Avenue, Unit 15C")</f>
        <v>2652 Cropsey Avenue, Unit 15C</v>
      </c>
      <c r="C858" s="25" t="s">
        <v>22</v>
      </c>
      <c r="D858" s="26" t="s">
        <v>23</v>
      </c>
      <c r="E858" s="27" t="str">
        <f>HYPERLINK("https://www.compass.com/building/2652-cropsey-ave-brooklyn-ny-11214/307458309459955621/","2652 Cropsey Ave")</f>
        <v>2652 Cropsey Ave</v>
      </c>
      <c r="F858" s="25" t="s">
        <v>173</v>
      </c>
      <c r="G858" s="28">
        <v>445000.0</v>
      </c>
      <c r="H858" s="28">
        <v>445.0</v>
      </c>
      <c r="I858" s="28">
        <v>1084.0</v>
      </c>
      <c r="J858" s="29"/>
      <c r="K858" s="25" t="s">
        <v>25</v>
      </c>
      <c r="L858" s="26">
        <v>5.0</v>
      </c>
      <c r="M858" s="26">
        <v>2.0</v>
      </c>
      <c r="N858" s="26">
        <v>1.0</v>
      </c>
      <c r="O858" s="30"/>
      <c r="P858" s="34">
        <v>1000.0</v>
      </c>
      <c r="Q858" s="35">
        <v>11.0</v>
      </c>
      <c r="R858" s="32">
        <v>45853.0</v>
      </c>
      <c r="S858" s="32">
        <v>45852.0</v>
      </c>
      <c r="T858" s="29"/>
      <c r="U858" s="33"/>
      <c r="V858" s="1"/>
    </row>
    <row r="859" ht="24.0" customHeight="1">
      <c r="A859" s="1"/>
      <c r="B859" s="24" t="str">
        <f>HYPERLINK("https://www.compass.com/listing/210-15-23rd-avenue-unit-2f-queens-ny-11360/1869387771101270905/view?agent_id=610d3f3370540700019b0833","210-15 23rd Avenue, Unit 2F")</f>
        <v>210-15 23rd Avenue, Unit 2F</v>
      </c>
      <c r="C859" s="25" t="s">
        <v>22</v>
      </c>
      <c r="D859" s="26" t="s">
        <v>23</v>
      </c>
      <c r="E859" s="27" t="str">
        <f>HYPERLINK("https://www.compass.com/building/210-15-23rd-ave-queens-ny-11360/307433873495339093/","210-15 23rd Ave")</f>
        <v>210-15 23rd Ave</v>
      </c>
      <c r="F859" s="25" t="s">
        <v>79</v>
      </c>
      <c r="G859" s="28">
        <v>338000.0</v>
      </c>
      <c r="H859" s="28">
        <v>322.0</v>
      </c>
      <c r="I859" s="28">
        <v>1517.0</v>
      </c>
      <c r="J859" s="28">
        <v>0.0</v>
      </c>
      <c r="K859" s="25" t="s">
        <v>25</v>
      </c>
      <c r="L859" s="26">
        <v>5.0</v>
      </c>
      <c r="M859" s="26">
        <v>2.0</v>
      </c>
      <c r="N859" s="26">
        <v>1.0</v>
      </c>
      <c r="O859" s="30"/>
      <c r="P859" s="34">
        <v>1050.0</v>
      </c>
      <c r="Q859" s="35">
        <v>34.0</v>
      </c>
      <c r="R859" s="32">
        <v>45831.0</v>
      </c>
      <c r="S859" s="32">
        <v>45829.0</v>
      </c>
      <c r="T859" s="29"/>
      <c r="U859" s="33"/>
      <c r="V859" s="1"/>
    </row>
    <row r="860" ht="24.0" customHeight="1">
      <c r="A860" s="1"/>
      <c r="B860" s="24" t="str">
        <f>HYPERLINK("https://www.compass.com/listing/62-64-saunders-street-unit-4s-queens-ny-11374/1800102030269928449/view?agent_id=610d3f3370540700019b0833","62-64 Saunders Street, Unit 4S")</f>
        <v>62-64 Saunders Street, Unit 4S</v>
      </c>
      <c r="C860" s="25" t="s">
        <v>22</v>
      </c>
      <c r="D860" s="26" t="s">
        <v>23</v>
      </c>
      <c r="E860" s="27" t="str">
        <f>HYPERLINK("https://www.compass.com/building/62-64-saunders-st-queens-ny-11374/293526673456960469/","62-64 Saunders St")</f>
        <v>62-64 Saunders St</v>
      </c>
      <c r="F860" s="25" t="s">
        <v>166</v>
      </c>
      <c r="G860" s="28">
        <v>349000.0</v>
      </c>
      <c r="H860" s="28">
        <v>367.0</v>
      </c>
      <c r="I860" s="28">
        <v>1000.0</v>
      </c>
      <c r="J860" s="28">
        <v>0.0</v>
      </c>
      <c r="K860" s="25" t="s">
        <v>25</v>
      </c>
      <c r="L860" s="26">
        <v>5.0</v>
      </c>
      <c r="M860" s="26">
        <v>2.0</v>
      </c>
      <c r="N860" s="26">
        <v>1.0</v>
      </c>
      <c r="O860" s="30"/>
      <c r="P860" s="26">
        <v>950.0</v>
      </c>
      <c r="Q860" s="35">
        <v>128.0</v>
      </c>
      <c r="R860" s="32">
        <v>45735.0</v>
      </c>
      <c r="S860" s="32">
        <v>45735.0</v>
      </c>
      <c r="T860" s="29"/>
      <c r="U860" s="33"/>
      <c r="V860" s="1"/>
    </row>
    <row r="861" ht="24.0" customHeight="1">
      <c r="A861" s="1"/>
      <c r="B861" s="24" t="str">
        <f>HYPERLINK("https://www.compass.com/listing/1818-newkirk-avenue-unit-dd4-brooklyn-ny-11226/1883553868024254217/view?agent_id=610d3f3370540700019b0833","1818 Newkirk Avenue, Unit DD4")</f>
        <v>1818 Newkirk Avenue, Unit DD4</v>
      </c>
      <c r="C861" s="25" t="s">
        <v>22</v>
      </c>
      <c r="D861" s="26" t="s">
        <v>23</v>
      </c>
      <c r="E861" s="27" t="str">
        <f>HYPERLINK("https://www.compass.com/building/1818-newkirk-ave-brooklyn-ny-11226/307459854574467029/","1818 Newkirk Ave")</f>
        <v>1818 Newkirk Ave</v>
      </c>
      <c r="F861" s="25" t="s">
        <v>172</v>
      </c>
      <c r="G861" s="28">
        <v>595500.0</v>
      </c>
      <c r="H861" s="28">
        <v>615.0</v>
      </c>
      <c r="I861" s="28">
        <v>1043.0</v>
      </c>
      <c r="J861" s="28">
        <v>0.0</v>
      </c>
      <c r="K861" s="25" t="s">
        <v>28</v>
      </c>
      <c r="L861" s="26">
        <v>5.0</v>
      </c>
      <c r="M861" s="26">
        <v>2.0</v>
      </c>
      <c r="N861" s="26">
        <v>1.0</v>
      </c>
      <c r="O861" s="26">
        <v>0.0</v>
      </c>
      <c r="P861" s="26">
        <v>969.0</v>
      </c>
      <c r="Q861" s="35">
        <v>119.0</v>
      </c>
      <c r="R861" s="32">
        <v>45863.0</v>
      </c>
      <c r="S861" s="32">
        <v>45744.0</v>
      </c>
      <c r="T861" s="29"/>
      <c r="U861" s="33"/>
      <c r="V861" s="1"/>
    </row>
    <row r="862" ht="24.0" customHeight="1">
      <c r="A862" s="1"/>
      <c r="B862" s="24" t="str">
        <f>HYPERLINK("https://www.compass.com/listing/1-wall-street-unit-1301-manhattan-ny-10005/1861040110401114697/view?agent_id=610d3f3370540700019b0833","1 Wall Street, Unit 1301")</f>
        <v>1 Wall Street, Unit 1301</v>
      </c>
      <c r="C862" s="25" t="s">
        <v>22</v>
      </c>
      <c r="D862" s="26" t="s">
        <v>23</v>
      </c>
      <c r="E862" s="27" t="str">
        <f>HYPERLINK("https://www.compass.com/building/one-wall-street-manhattan-ny/567583262056767885/","One Wall Street")</f>
        <v>One Wall Street</v>
      </c>
      <c r="F862" s="25" t="s">
        <v>80</v>
      </c>
      <c r="G862" s="28">
        <v>1075000.0</v>
      </c>
      <c r="H862" s="28">
        <v>1050.0</v>
      </c>
      <c r="I862" s="28">
        <v>3076.0</v>
      </c>
      <c r="J862" s="28">
        <v>16908.0</v>
      </c>
      <c r="K862" s="25" t="s">
        <v>28</v>
      </c>
      <c r="L862" s="26">
        <v>6.0</v>
      </c>
      <c r="M862" s="26">
        <v>2.0</v>
      </c>
      <c r="N862" s="30"/>
      <c r="O862" s="30"/>
      <c r="P862" s="34">
        <v>1024.0</v>
      </c>
      <c r="Q862" s="35">
        <v>1395.0</v>
      </c>
      <c r="R862" s="32">
        <v>44468.0</v>
      </c>
      <c r="S862" s="32">
        <v>44468.0</v>
      </c>
      <c r="T862" s="29"/>
      <c r="U862" s="33"/>
      <c r="V862" s="1"/>
    </row>
    <row r="863" ht="24.0" customHeight="1">
      <c r="A863" s="1"/>
      <c r="B863" s="24" t="str">
        <f>HYPERLINK("https://www.compass.com/listing/8889-bay-16th-street-unit-1d-brooklyn-ny-11214/1882458343845831457/view?agent_id=610d3f3370540700019b0833","8889 Bay 16th Street, Unit 1D")</f>
        <v>8889 Bay 16th Street, Unit 1D</v>
      </c>
      <c r="C863" s="25" t="s">
        <v>22</v>
      </c>
      <c r="D863" s="26" t="s">
        <v>23</v>
      </c>
      <c r="E863" s="27" t="str">
        <f>HYPERLINK("https://www.compass.com/building/8889-bay-16th-st-brooklyn-ny-11214/307440338008145365/","8889 Bay 16th St")</f>
        <v>8889 Bay 16th St</v>
      </c>
      <c r="F863" s="25" t="s">
        <v>214</v>
      </c>
      <c r="G863" s="28">
        <v>419000.0</v>
      </c>
      <c r="H863" s="29"/>
      <c r="I863" s="28">
        <v>891.0</v>
      </c>
      <c r="J863" s="28">
        <v>0.0</v>
      </c>
      <c r="K863" s="25" t="s">
        <v>25</v>
      </c>
      <c r="L863" s="26">
        <v>4.0</v>
      </c>
      <c r="M863" s="26">
        <v>2.0</v>
      </c>
      <c r="N863" s="26">
        <v>1.0</v>
      </c>
      <c r="O863" s="30"/>
      <c r="P863" s="26">
        <v>0.0</v>
      </c>
      <c r="Q863" s="35">
        <v>15.0</v>
      </c>
      <c r="R863" s="32">
        <v>45849.0</v>
      </c>
      <c r="S863" s="32">
        <v>45848.0</v>
      </c>
      <c r="T863" s="29"/>
      <c r="U863" s="33"/>
      <c r="V863" s="1"/>
    </row>
    <row r="864" ht="24.0" customHeight="1">
      <c r="A864" s="1"/>
      <c r="B864" s="24" t="str">
        <f>HYPERLINK("https://www.compass.com/listing/4489-broadway-unit-2e-manhattan-ny-10040/1760265912997775745/view?agent_id=610d3f3370540700019b0833","4489 Broadway, Unit 2E")</f>
        <v>4489 Broadway, Unit 2E</v>
      </c>
      <c r="C864" s="25" t="s">
        <v>22</v>
      </c>
      <c r="D864" s="26" t="s">
        <v>23</v>
      </c>
      <c r="E864" s="27" t="str">
        <f>HYPERLINK("https://www.compass.com/building/fort-tyron-gardens-manhattan-ny/282061318490459173/","Fort Tyron Gardens")</f>
        <v>Fort Tyron Gardens</v>
      </c>
      <c r="F864" s="25" t="s">
        <v>58</v>
      </c>
      <c r="G864" s="28">
        <v>477000.0</v>
      </c>
      <c r="H864" s="28">
        <v>596.0</v>
      </c>
      <c r="I864" s="28">
        <v>1276.0</v>
      </c>
      <c r="J864" s="29"/>
      <c r="K864" s="25" t="s">
        <v>25</v>
      </c>
      <c r="L864" s="26">
        <v>4.0</v>
      </c>
      <c r="M864" s="26">
        <v>2.0</v>
      </c>
      <c r="N864" s="26">
        <v>1.0</v>
      </c>
      <c r="O864" s="30"/>
      <c r="P864" s="26">
        <v>800.0</v>
      </c>
      <c r="Q864" s="35">
        <v>178.0</v>
      </c>
      <c r="R864" s="32">
        <v>45861.0</v>
      </c>
      <c r="S864" s="32">
        <v>45685.0</v>
      </c>
      <c r="T864" s="29"/>
      <c r="U864" s="33"/>
      <c r="V864" s="1"/>
    </row>
    <row r="865" ht="24.0" customHeight="1">
      <c r="A865" s="1"/>
      <c r="B865" s="24" t="str">
        <f>HYPERLINK("https://www.compass.com/listing/2611-frederick-douglass-boulevard-unit-5d-manhattan-ny-10030/1850214990879843385/view?agent_id=610d3f3370540700019b0833","2611 Frederick Douglass Boulevard, Unit 5D")</f>
        <v>2611 Frederick Douglass Boulevard, Unit 5D</v>
      </c>
      <c r="C865" s="25" t="s">
        <v>22</v>
      </c>
      <c r="D865" s="26" t="s">
        <v>23</v>
      </c>
      <c r="E865" s="27" t="str">
        <f>HYPERLINK("https://www.compass.com/building/2611-frederick-douglass-blvd-manhattan-ny-10030/389275100859054453/","2611 Frederick Douglass Blvd")</f>
        <v>2611 Frederick Douglass Blvd</v>
      </c>
      <c r="F865" s="25" t="s">
        <v>32</v>
      </c>
      <c r="G865" s="28">
        <v>710000.0</v>
      </c>
      <c r="H865" s="28">
        <v>710.0</v>
      </c>
      <c r="I865" s="28">
        <v>182.0</v>
      </c>
      <c r="J865" s="28">
        <v>2185.0</v>
      </c>
      <c r="K865" s="25" t="s">
        <v>28</v>
      </c>
      <c r="L865" s="26">
        <v>4.0</v>
      </c>
      <c r="M865" s="26">
        <v>2.0</v>
      </c>
      <c r="N865" s="26">
        <v>1.0</v>
      </c>
      <c r="O865" s="30"/>
      <c r="P865" s="34">
        <v>1000.0</v>
      </c>
      <c r="Q865" s="35">
        <v>59.0</v>
      </c>
      <c r="R865" s="32">
        <v>45858.0</v>
      </c>
      <c r="S865" s="32">
        <v>45804.0</v>
      </c>
      <c r="T865" s="29"/>
      <c r="U865" s="33"/>
      <c r="V865" s="1"/>
    </row>
    <row r="866" ht="24.0" customHeight="1">
      <c r="A866" s="1"/>
      <c r="B866" s="24" t="str">
        <f>HYPERLINK("https://www.compass.com/listing/60-58-251st-street-unit-2-queens-ny-11362/1879863224955862577/view?agent_id=610d3f3370540700019b0833","60-58 251st Street, Unit 2")</f>
        <v>60-58 251st Street, Unit 2</v>
      </c>
      <c r="C866" s="25" t="s">
        <v>22</v>
      </c>
      <c r="D866" s="26" t="s">
        <v>23</v>
      </c>
      <c r="E866" s="27" t="str">
        <f>HYPERLINK("https://www.compass.com/building/60-58-251st-st-queens-ny-11362/307437080736851157/","60-58 251st St")</f>
        <v>60-58 251st St</v>
      </c>
      <c r="F866" s="25" t="s">
        <v>158</v>
      </c>
      <c r="G866" s="28">
        <v>399000.0</v>
      </c>
      <c r="H866" s="28">
        <v>416.0</v>
      </c>
      <c r="I866" s="28">
        <v>1070.0</v>
      </c>
      <c r="J866" s="29"/>
      <c r="K866" s="25" t="s">
        <v>25</v>
      </c>
      <c r="L866" s="26">
        <v>5.0</v>
      </c>
      <c r="M866" s="26">
        <v>2.0</v>
      </c>
      <c r="N866" s="26">
        <v>1.0</v>
      </c>
      <c r="O866" s="30"/>
      <c r="P866" s="26">
        <v>960.0</v>
      </c>
      <c r="Q866" s="35">
        <v>18.0</v>
      </c>
      <c r="R866" s="32">
        <v>45862.0</v>
      </c>
      <c r="S866" s="32">
        <v>45845.0</v>
      </c>
      <c r="T866" s="29"/>
      <c r="U866" s="33"/>
      <c r="V866" s="1"/>
    </row>
    <row r="867" ht="24.0" customHeight="1">
      <c r="A867" s="1"/>
      <c r="B867" s="24" t="str">
        <f>HYPERLINK("https://www.compass.com/listing/54-bay-29th-street-unit-a6-brooklyn-ny-11214/1855715852053464937/view?agent_id=610d3f3370540700019b0833","54 Bay 29th Street, Unit A6")</f>
        <v>54 Bay 29th Street, Unit A6</v>
      </c>
      <c r="C867" s="25" t="s">
        <v>22</v>
      </c>
      <c r="D867" s="26" t="s">
        <v>23</v>
      </c>
      <c r="E867" s="27" t="str">
        <f>HYPERLINK("https://www.compass.com/building/54-bay-29th-st-brooklyn-ny-11214/307431885437073045/","54 Bay 29th St")</f>
        <v>54 Bay 29th St</v>
      </c>
      <c r="F867" s="25" t="s">
        <v>214</v>
      </c>
      <c r="G867" s="28">
        <v>349000.0</v>
      </c>
      <c r="H867" s="28">
        <v>349.0</v>
      </c>
      <c r="I867" s="28">
        <v>983.0</v>
      </c>
      <c r="J867" s="28">
        <v>0.0</v>
      </c>
      <c r="K867" s="25" t="s">
        <v>25</v>
      </c>
      <c r="L867" s="26">
        <v>4.0</v>
      </c>
      <c r="M867" s="26">
        <v>2.0</v>
      </c>
      <c r="N867" s="26">
        <v>1.0</v>
      </c>
      <c r="O867" s="30"/>
      <c r="P867" s="34">
        <v>1000.0</v>
      </c>
      <c r="Q867" s="35">
        <v>52.0</v>
      </c>
      <c r="R867" s="32">
        <v>45812.0</v>
      </c>
      <c r="S867" s="32">
        <v>45811.0</v>
      </c>
      <c r="T867" s="29"/>
      <c r="U867" s="33"/>
      <c r="V867" s="1"/>
    </row>
    <row r="868" ht="24.0" customHeight="1">
      <c r="A868" s="1"/>
      <c r="B868" s="24" t="str">
        <f>HYPERLINK("https://www.compass.com/listing/20-west-street-unit-18f-manhattan-ny-10004/1869917847627139633/view?agent_id=610d3f3370540700019b0833","20 West Street, Unit 18F")</f>
        <v>20 West Street, Unit 18F</v>
      </c>
      <c r="C868" s="25" t="s">
        <v>22</v>
      </c>
      <c r="D868" s="26" t="s">
        <v>23</v>
      </c>
      <c r="E868" s="27" t="str">
        <f>HYPERLINK("https://www.compass.com/building/downtown-athletic-club-building-manhattan-ny/281895518366345781/","Downtown Athletic Club Building")</f>
        <v>Downtown Athletic Club Building</v>
      </c>
      <c r="F868" s="25" t="s">
        <v>80</v>
      </c>
      <c r="G868" s="28">
        <v>1150000.0</v>
      </c>
      <c r="H868" s="28">
        <v>944.0</v>
      </c>
      <c r="I868" s="28">
        <v>3181.0</v>
      </c>
      <c r="J868" s="28">
        <v>18024.0</v>
      </c>
      <c r="K868" s="25" t="s">
        <v>28</v>
      </c>
      <c r="L868" s="26">
        <v>3.0</v>
      </c>
      <c r="M868" s="26">
        <v>2.0</v>
      </c>
      <c r="N868" s="26">
        <v>1.0</v>
      </c>
      <c r="O868" s="26">
        <v>0.0</v>
      </c>
      <c r="P868" s="34">
        <v>1218.0</v>
      </c>
      <c r="Q868" s="35">
        <v>32.0</v>
      </c>
      <c r="R868" s="32">
        <v>45854.0</v>
      </c>
      <c r="S868" s="32">
        <v>45831.0</v>
      </c>
      <c r="T868" s="29"/>
      <c r="U868" s="33"/>
      <c r="V868" s="1"/>
    </row>
    <row r="869" ht="24.0" customHeight="1">
      <c r="A869" s="1"/>
      <c r="B869" s="24" t="str">
        <f>HYPERLINK("https://www.compass.com/listing/800-brook-avenue-unit-13b-bronx-ny-10455/1869298679261167017/view?agent_id=610d3f3370540700019b0833","800 Brook Avenue, Unit 13B")</f>
        <v>800 Brook Avenue, Unit 13B</v>
      </c>
      <c r="C869" s="25" t="s">
        <v>22</v>
      </c>
      <c r="D869" s="26" t="s">
        <v>23</v>
      </c>
      <c r="E869" s="27" t="str">
        <f>HYPERLINK("https://www.compass.com/building/800-brook-ave-bronx-ny-10455/319530206737843765/","800 Brook Ave")</f>
        <v>800 Brook Ave</v>
      </c>
      <c r="F869" s="25" t="s">
        <v>225</v>
      </c>
      <c r="G869" s="28">
        <v>389999.0</v>
      </c>
      <c r="H869" s="28">
        <v>435.0</v>
      </c>
      <c r="I869" s="28">
        <v>706.0</v>
      </c>
      <c r="J869" s="28">
        <v>1276.0</v>
      </c>
      <c r="K869" s="25" t="s">
        <v>28</v>
      </c>
      <c r="L869" s="26">
        <v>5.0</v>
      </c>
      <c r="M869" s="26">
        <v>2.0</v>
      </c>
      <c r="N869" s="26">
        <v>1.0</v>
      </c>
      <c r="O869" s="30"/>
      <c r="P869" s="26">
        <v>896.0</v>
      </c>
      <c r="Q869" s="35">
        <v>33.0</v>
      </c>
      <c r="R869" s="32">
        <v>45850.0</v>
      </c>
      <c r="S869" s="32">
        <v>45830.0</v>
      </c>
      <c r="T869" s="29"/>
      <c r="U869" s="33"/>
      <c r="V869" s="1"/>
    </row>
    <row r="870" ht="24.0" customHeight="1">
      <c r="A870" s="1"/>
      <c r="B870" s="24" t="str">
        <f>HYPERLINK("https://www.compass.com/listing/1-fordham-hill-ovl-unit-12c-bronx-ny-10468/1872012158686441529/view?agent_id=610d3f3370540700019b0833","1 Fordham Hill Ovl, Unit 12C")</f>
        <v>1 Fordham Hill Ovl, Unit 12C</v>
      </c>
      <c r="C870" s="25" t="s">
        <v>22</v>
      </c>
      <c r="D870" s="26" t="s">
        <v>23</v>
      </c>
      <c r="E870" s="27" t="str">
        <f>HYPERLINK("https://www.compass.com/building/1-fordham-hill-oval-bronx-ny-10468/293531184783279333/","1 Fordham Hill Oval")</f>
        <v>1 Fordham Hill Oval</v>
      </c>
      <c r="F870" s="25" t="s">
        <v>126</v>
      </c>
      <c r="G870" s="28">
        <v>250000.0</v>
      </c>
      <c r="H870" s="28">
        <v>263.0</v>
      </c>
      <c r="I870" s="28">
        <v>1631.0</v>
      </c>
      <c r="J870" s="28">
        <v>0.0</v>
      </c>
      <c r="K870" s="25" t="s">
        <v>25</v>
      </c>
      <c r="L870" s="26">
        <v>4.0</v>
      </c>
      <c r="M870" s="26">
        <v>2.0</v>
      </c>
      <c r="N870" s="26">
        <v>1.0</v>
      </c>
      <c r="O870" s="26">
        <v>0.0</v>
      </c>
      <c r="P870" s="26">
        <v>950.0</v>
      </c>
      <c r="Q870" s="35">
        <v>29.0</v>
      </c>
      <c r="R870" s="32">
        <v>45844.0</v>
      </c>
      <c r="S870" s="32">
        <v>45834.0</v>
      </c>
      <c r="T870" s="29"/>
      <c r="U870" s="33"/>
      <c r="V870" s="1"/>
    </row>
    <row r="871" ht="24.0" customHeight="1">
      <c r="A871" s="1"/>
      <c r="B871" s="24" t="str">
        <f>HYPERLINK("https://www.compass.com/listing/5800-arlington-avenue-unit-15w-bronx-ny-10471/1857194841691299753/view?agent_id=610d3f3370540700019b0833","5800 Arlington Avenue, Unit 15W")</f>
        <v>5800 Arlington Avenue, Unit 15W</v>
      </c>
      <c r="C871" s="25" t="s">
        <v>22</v>
      </c>
      <c r="D871" s="26" t="s">
        <v>23</v>
      </c>
      <c r="E871" s="27" t="str">
        <f>HYPERLINK("https://www.compass.com/building/skyview-on-the-hudson-bronx-ny/293417855687381093/","Skyview on the Hudson")</f>
        <v>Skyview on the Hudson</v>
      </c>
      <c r="F871" s="25" t="s">
        <v>75</v>
      </c>
      <c r="G871" s="28">
        <v>515000.0</v>
      </c>
      <c r="H871" s="28">
        <v>499.0</v>
      </c>
      <c r="I871" s="28">
        <v>1488.0</v>
      </c>
      <c r="J871" s="28">
        <v>0.0</v>
      </c>
      <c r="K871" s="25" t="s">
        <v>25</v>
      </c>
      <c r="L871" s="26">
        <v>4.0</v>
      </c>
      <c r="M871" s="26">
        <v>2.0</v>
      </c>
      <c r="N871" s="26">
        <v>1.0</v>
      </c>
      <c r="O871" s="26">
        <v>0.0</v>
      </c>
      <c r="P871" s="34">
        <v>1032.0</v>
      </c>
      <c r="Q871" s="35">
        <v>50.0</v>
      </c>
      <c r="R871" s="32">
        <v>45862.0</v>
      </c>
      <c r="S871" s="32">
        <v>45813.0</v>
      </c>
      <c r="T871" s="29"/>
      <c r="U871" s="33"/>
      <c r="V871" s="1"/>
    </row>
    <row r="872" ht="24.0" customHeight="1">
      <c r="A872" s="1"/>
      <c r="B872" s="24" t="str">
        <f>HYPERLINK("https://www.compass.com/listing/102-18-64th-avenue-unit-2x-queens-ny-11375/1815899366428346873/view?agent_id=610d3f3370540700019b0833","102-18 64th Avenue, Unit 2X")</f>
        <v>102-18 64th Avenue, Unit 2X</v>
      </c>
      <c r="C872" s="25" t="s">
        <v>22</v>
      </c>
      <c r="D872" s="26" t="s">
        <v>23</v>
      </c>
      <c r="E872" s="27" t="str">
        <f>HYPERLINK("https://www.compass.com/building/102-18-64th-ave-queens-ny-11375/307445087587619717/","102-18 64th Ave")</f>
        <v>102-18 64th Ave</v>
      </c>
      <c r="F872" s="25" t="s">
        <v>166</v>
      </c>
      <c r="G872" s="28">
        <v>468000.0</v>
      </c>
      <c r="H872" s="28">
        <v>468.0</v>
      </c>
      <c r="I872" s="28">
        <v>1050.0</v>
      </c>
      <c r="J872" s="28">
        <v>0.0</v>
      </c>
      <c r="K872" s="25" t="s">
        <v>25</v>
      </c>
      <c r="L872" s="26">
        <v>6.0</v>
      </c>
      <c r="M872" s="26">
        <v>2.0</v>
      </c>
      <c r="N872" s="26">
        <v>1.0</v>
      </c>
      <c r="O872" s="30"/>
      <c r="P872" s="34">
        <v>1000.0</v>
      </c>
      <c r="Q872" s="35">
        <v>107.0</v>
      </c>
      <c r="R872" s="32">
        <v>45757.0</v>
      </c>
      <c r="S872" s="32">
        <v>45756.0</v>
      </c>
      <c r="T872" s="29"/>
      <c r="U872" s="33"/>
      <c r="V872" s="1"/>
    </row>
    <row r="873" ht="24.0" customHeight="1">
      <c r="A873" s="1"/>
      <c r="B873" s="24" t="str">
        <f>HYPERLINK("https://www.compass.com/listing/apt-a-2-22-constitution-place-unit-167-queens-ny-11356/1882846561795533337/view?agent_id=610d3f3370540700019b0833","Apt A 2-22 Constitution Place, Unit 167")</f>
        <v>Apt A 2-22 Constitution Place, Unit 167</v>
      </c>
      <c r="C873" s="25" t="s">
        <v>22</v>
      </c>
      <c r="D873" s="26" t="s">
        <v>23</v>
      </c>
      <c r="E873" s="26" t="s">
        <v>226</v>
      </c>
      <c r="F873" s="25" t="s">
        <v>227</v>
      </c>
      <c r="G873" s="28">
        <v>749000.0</v>
      </c>
      <c r="H873" s="28">
        <v>783.0</v>
      </c>
      <c r="I873" s="28">
        <v>216.0</v>
      </c>
      <c r="J873" s="28">
        <v>155.0</v>
      </c>
      <c r="K873" s="25" t="s">
        <v>28</v>
      </c>
      <c r="L873" s="26">
        <v>4.0</v>
      </c>
      <c r="M873" s="26">
        <v>2.0</v>
      </c>
      <c r="N873" s="26">
        <v>1.0</v>
      </c>
      <c r="O873" s="30"/>
      <c r="P873" s="26">
        <v>956.0</v>
      </c>
      <c r="Q873" s="35">
        <v>14.0</v>
      </c>
      <c r="R873" s="32">
        <v>45858.0</v>
      </c>
      <c r="S873" s="32">
        <v>45849.0</v>
      </c>
      <c r="T873" s="29"/>
      <c r="U873" s="33"/>
      <c r="V873" s="1"/>
    </row>
    <row r="874" ht="24.0" customHeight="1">
      <c r="A874" s="1"/>
      <c r="B874" s="24" t="str">
        <f>HYPERLINK("https://www.compass.com/listing/84-31-van-wyck-expressway-unit-5f-queens-ny-11435/1879788378900552681/view?agent_id=610d3f3370540700019b0833","84-31 Van Wyck Expressway, Unit 5F")</f>
        <v>84-31 Van Wyck Expressway, Unit 5F</v>
      </c>
      <c r="C874" s="25" t="s">
        <v>22</v>
      </c>
      <c r="D874" s="26" t="s">
        <v>23</v>
      </c>
      <c r="E874" s="27" t="str">
        <f>HYPERLINK("https://www.compass.com/building/84-31-van-wyck-expy-queens-ny-11435/294839024682017349/","84-31 Van Wyck Expy")</f>
        <v>84-31 Van Wyck Expy</v>
      </c>
      <c r="F874" s="25" t="s">
        <v>146</v>
      </c>
      <c r="G874" s="28">
        <v>349000.0</v>
      </c>
      <c r="H874" s="28">
        <v>388.0</v>
      </c>
      <c r="I874" s="28">
        <v>1111.0</v>
      </c>
      <c r="J874" s="29"/>
      <c r="K874" s="25" t="s">
        <v>25</v>
      </c>
      <c r="L874" s="26">
        <v>5.0</v>
      </c>
      <c r="M874" s="26">
        <v>2.0</v>
      </c>
      <c r="N874" s="26">
        <v>1.0</v>
      </c>
      <c r="O874" s="30"/>
      <c r="P874" s="26">
        <v>900.0</v>
      </c>
      <c r="Q874" s="35">
        <v>18.0</v>
      </c>
      <c r="R874" s="32">
        <v>45857.0</v>
      </c>
      <c r="S874" s="32">
        <v>45845.0</v>
      </c>
      <c r="T874" s="29"/>
      <c r="U874" s="33"/>
      <c r="V874" s="1"/>
    </row>
    <row r="875" ht="24.0" customHeight="1">
      <c r="A875" s="1"/>
      <c r="B875" s="24" t="str">
        <f>HYPERLINK("https://www.compass.com/listing/29-49-137th-street-unit-6g-queens-ny-11354/1885591388002680761/view?agent_id=610d3f3370540700019b0833","29-49 137th Street, Unit 6G")</f>
        <v>29-49 137th Street, Unit 6G</v>
      </c>
      <c r="C875" s="25" t="s">
        <v>22</v>
      </c>
      <c r="D875" s="26" t="s">
        <v>23</v>
      </c>
      <c r="E875" s="27" t="str">
        <f>HYPERLINK("https://www.compass.com/building/29-49-137th-st-queens-ny-11354/294848730603474725/","29-49 137th St")</f>
        <v>29-49 137th St</v>
      </c>
      <c r="F875" s="25" t="s">
        <v>185</v>
      </c>
      <c r="G875" s="28">
        <v>420000.0</v>
      </c>
      <c r="H875" s="28">
        <v>420.0</v>
      </c>
      <c r="I875" s="28">
        <v>1011.0</v>
      </c>
      <c r="J875" s="29"/>
      <c r="K875" s="25" t="s">
        <v>25</v>
      </c>
      <c r="L875" s="26">
        <v>5.0</v>
      </c>
      <c r="M875" s="26">
        <v>2.0</v>
      </c>
      <c r="N875" s="26">
        <v>1.0</v>
      </c>
      <c r="O875" s="30"/>
      <c r="P875" s="34">
        <v>1000.0</v>
      </c>
      <c r="Q875" s="35">
        <v>10.0</v>
      </c>
      <c r="R875" s="32">
        <v>45862.0</v>
      </c>
      <c r="S875" s="32">
        <v>45853.0</v>
      </c>
      <c r="T875" s="29"/>
      <c r="U875" s="33"/>
      <c r="V875" s="1"/>
    </row>
    <row r="876" ht="24.0" customHeight="1">
      <c r="A876" s="1"/>
      <c r="B876" s="24" t="str">
        <f>HYPERLINK("https://www.compass.com/listing/1655-flatbush-avenue-unit-b1812-brooklyn-ny-11210/1866764279977561265/view?agent_id=610d3f3370540700019b0833","1655 Flatbush Avenue, Unit B1812")</f>
        <v>1655 Flatbush Avenue, Unit B1812</v>
      </c>
      <c r="C876" s="25" t="s">
        <v>22</v>
      </c>
      <c r="D876" s="26" t="s">
        <v>23</v>
      </c>
      <c r="E876" s="27" t="str">
        <f>HYPERLINK("https://www.compass.com/building/philip-howard-apartments-brooklyn-ny/293416486054242853/","Philip Howard Apartments")</f>
        <v>Philip Howard Apartments</v>
      </c>
      <c r="F876" s="25" t="s">
        <v>123</v>
      </c>
      <c r="G876" s="28">
        <v>599000.0</v>
      </c>
      <c r="H876" s="28">
        <v>511.0</v>
      </c>
      <c r="I876" s="28">
        <v>1126.0</v>
      </c>
      <c r="J876" s="28">
        <v>0.0</v>
      </c>
      <c r="K876" s="25" t="s">
        <v>25</v>
      </c>
      <c r="L876" s="26">
        <v>5.0</v>
      </c>
      <c r="M876" s="26">
        <v>2.0</v>
      </c>
      <c r="N876" s="26">
        <v>1.0</v>
      </c>
      <c r="O876" s="26">
        <v>0.0</v>
      </c>
      <c r="P876" s="34">
        <v>1173.0</v>
      </c>
      <c r="Q876" s="35">
        <v>36.0</v>
      </c>
      <c r="R876" s="32">
        <v>45863.0</v>
      </c>
      <c r="S876" s="32">
        <v>45827.0</v>
      </c>
      <c r="T876" s="29"/>
      <c r="U876" s="33"/>
      <c r="V876" s="1"/>
    </row>
    <row r="877" ht="24.0" customHeight="1">
      <c r="A877" s="1"/>
      <c r="B877" s="24" t="str">
        <f>HYPERLINK("https://www.compass.com/listing/27-10-parsons-boulevard-unit-2e-queens-ny-11354/1874439663531631457/view?agent_id=610d3f3370540700019b0833","27-10 Parsons Boulevard, Unit 2E")</f>
        <v>27-10 Parsons Boulevard, Unit 2E</v>
      </c>
      <c r="C877" s="25" t="s">
        <v>22</v>
      </c>
      <c r="D877" s="26" t="s">
        <v>23</v>
      </c>
      <c r="E877" s="27" t="str">
        <f>HYPERLINK("https://www.compass.com/building/27-10-parsons-blvd-queens-ny-11354/294838642505804501/","27-10 Parsons Blvd")</f>
        <v>27-10 Parsons Blvd</v>
      </c>
      <c r="F877" s="25" t="s">
        <v>185</v>
      </c>
      <c r="G877" s="28">
        <v>355000.0</v>
      </c>
      <c r="H877" s="29"/>
      <c r="I877" s="28">
        <v>1090.0</v>
      </c>
      <c r="J877" s="28">
        <v>0.0</v>
      </c>
      <c r="K877" s="25" t="s">
        <v>25</v>
      </c>
      <c r="L877" s="26">
        <v>5.0</v>
      </c>
      <c r="M877" s="26">
        <v>2.0</v>
      </c>
      <c r="N877" s="26">
        <v>1.0</v>
      </c>
      <c r="O877" s="30"/>
      <c r="P877" s="30"/>
      <c r="Q877" s="35">
        <v>27.0</v>
      </c>
      <c r="R877" s="32">
        <v>45838.0</v>
      </c>
      <c r="S877" s="32">
        <v>45836.0</v>
      </c>
      <c r="T877" s="29"/>
      <c r="U877" s="33"/>
      <c r="V877" s="1"/>
    </row>
    <row r="878" ht="24.0" customHeight="1">
      <c r="A878" s="1"/>
      <c r="B878" s="24" t="str">
        <f>HYPERLINK("https://www.compass.com/listing/2330-voorhies-avenue-unit-6o-brooklyn-ny-11235/1865070331839672025/view?agent_id=610d3f3370540700019b0833","2330 Voorhies Avenue, Unit 6O")</f>
        <v>2330 Voorhies Avenue, Unit 6O</v>
      </c>
      <c r="C878" s="25" t="s">
        <v>22</v>
      </c>
      <c r="D878" s="26" t="s">
        <v>23</v>
      </c>
      <c r="E878" s="27" t="str">
        <f>HYPERLINK("https://www.compass.com/building/2330-voorhies-ave-brooklyn-ny-11235/293535144793385989/","2330 Voorhies Ave")</f>
        <v>2330 Voorhies Ave</v>
      </c>
      <c r="F878" s="25" t="s">
        <v>70</v>
      </c>
      <c r="G878" s="28">
        <v>395000.0</v>
      </c>
      <c r="H878" s="28">
        <v>439.0</v>
      </c>
      <c r="I878" s="28">
        <v>785.0</v>
      </c>
      <c r="J878" s="28">
        <v>0.0</v>
      </c>
      <c r="K878" s="25" t="s">
        <v>25</v>
      </c>
      <c r="L878" s="26">
        <v>5.0</v>
      </c>
      <c r="M878" s="26">
        <v>2.0</v>
      </c>
      <c r="N878" s="26">
        <v>1.0</v>
      </c>
      <c r="O878" s="30"/>
      <c r="P878" s="26">
        <v>900.0</v>
      </c>
      <c r="Q878" s="35">
        <v>39.0</v>
      </c>
      <c r="R878" s="32">
        <v>45825.0</v>
      </c>
      <c r="S878" s="32">
        <v>45824.0</v>
      </c>
      <c r="T878" s="29"/>
      <c r="U878" s="33"/>
      <c r="V878" s="1"/>
    </row>
    <row r="879" ht="24.0" customHeight="1">
      <c r="A879" s="1"/>
      <c r="B879" s="24" t="str">
        <f>HYPERLINK("https://www.compass.com/listing/26-20-141st-street-unit-1e-queens-ny-11354/1849391250964443129/view?agent_id=610d3f3370540700019b0833","26-20 141st Street, Unit 1E")</f>
        <v>26-20 141st Street, Unit 1E</v>
      </c>
      <c r="C879" s="25" t="s">
        <v>22</v>
      </c>
      <c r="D879" s="26" t="s">
        <v>23</v>
      </c>
      <c r="E879" s="27" t="str">
        <f>HYPERLINK("https://www.compass.com/building/26-20-141st-st-queens-ny-11354/307434034925714101/","26-20 141st St")</f>
        <v>26-20 141st St</v>
      </c>
      <c r="F879" s="25" t="s">
        <v>185</v>
      </c>
      <c r="G879" s="28">
        <v>340000.0</v>
      </c>
      <c r="H879" s="28">
        <v>358.0</v>
      </c>
      <c r="I879" s="28">
        <v>908.0</v>
      </c>
      <c r="J879" s="29"/>
      <c r="K879" s="25" t="s">
        <v>25</v>
      </c>
      <c r="L879" s="26">
        <v>5.0</v>
      </c>
      <c r="M879" s="26">
        <v>2.0</v>
      </c>
      <c r="N879" s="26">
        <v>1.0</v>
      </c>
      <c r="O879" s="30"/>
      <c r="P879" s="26">
        <v>950.0</v>
      </c>
      <c r="Q879" s="35">
        <v>60.0</v>
      </c>
      <c r="R879" s="32">
        <v>45812.0</v>
      </c>
      <c r="S879" s="32">
        <v>45803.0</v>
      </c>
      <c r="T879" s="29"/>
      <c r="U879" s="33"/>
      <c r="V879" s="1"/>
    </row>
    <row r="880" ht="24.0" customHeight="1">
      <c r="A880" s="1"/>
      <c r="B880" s="24" t="str">
        <f>HYPERLINK("https://www.compass.com/listing/118-east-55th-street-brooklyn-ny-11203/1799679527877817665/view?agent_id=610d3f3370540700019b0833","118 East 55th Street")</f>
        <v>118 East 55th Street</v>
      </c>
      <c r="C880" s="25" t="s">
        <v>22</v>
      </c>
      <c r="D880" s="26" t="s">
        <v>23</v>
      </c>
      <c r="E880" s="27" t="str">
        <f>HYPERLINK("https://www.compass.com/building/118-e-55th-st-brooklyn-ny-11203/293531310016731813/","118 E 55th St")</f>
        <v>118 E 55th St</v>
      </c>
      <c r="F880" s="25" t="s">
        <v>123</v>
      </c>
      <c r="G880" s="28">
        <v>1300000.0</v>
      </c>
      <c r="H880" s="28">
        <v>319.0</v>
      </c>
      <c r="I880" s="28">
        <v>596.0</v>
      </c>
      <c r="J880" s="28">
        <v>7156.0</v>
      </c>
      <c r="K880" s="25" t="s">
        <v>125</v>
      </c>
      <c r="L880" s="26">
        <v>6.0</v>
      </c>
      <c r="M880" s="26">
        <v>2.0</v>
      </c>
      <c r="N880" s="26">
        <v>1.0</v>
      </c>
      <c r="O880" s="26">
        <v>0.0</v>
      </c>
      <c r="P880" s="34">
        <v>4080.0</v>
      </c>
      <c r="Q880" s="35">
        <v>41.0</v>
      </c>
      <c r="R880" s="32">
        <v>45862.0</v>
      </c>
      <c r="S880" s="32">
        <v>45734.0</v>
      </c>
      <c r="T880" s="29"/>
      <c r="U880" s="33"/>
      <c r="V880" s="1"/>
    </row>
    <row r="881" ht="24.0" customHeight="1">
      <c r="A881" s="1"/>
      <c r="B881" s="24" t="str">
        <f>HYPERLINK("https://www.compass.com/listing/1480-thieriot-avenue-unit-6o-bronx-ny-10460/1865396370088776297/view?agent_id=610d3f3370540700019b0833","1480 Thieriot Avenue, Unit 6O")</f>
        <v>1480 Thieriot Avenue, Unit 6O</v>
      </c>
      <c r="C881" s="25" t="s">
        <v>22</v>
      </c>
      <c r="D881" s="26" t="s">
        <v>23</v>
      </c>
      <c r="E881" s="27" t="str">
        <f>HYPERLINK("https://www.compass.com/building/1480-thieriot-ave-bronx-ny-10460/307442462926563989/","1480 Thieriot Ave")</f>
        <v>1480 Thieriot Ave</v>
      </c>
      <c r="F881" s="25" t="s">
        <v>228</v>
      </c>
      <c r="G881" s="28">
        <v>175000.0</v>
      </c>
      <c r="H881" s="28">
        <v>194.0</v>
      </c>
      <c r="I881" s="28">
        <v>1009.0</v>
      </c>
      <c r="J881" s="29"/>
      <c r="K881" s="25" t="s">
        <v>25</v>
      </c>
      <c r="L881" s="26">
        <v>5.0</v>
      </c>
      <c r="M881" s="26">
        <v>2.0</v>
      </c>
      <c r="N881" s="26">
        <v>1.0</v>
      </c>
      <c r="O881" s="30"/>
      <c r="P881" s="26">
        <v>900.0</v>
      </c>
      <c r="Q881" s="35">
        <v>38.0</v>
      </c>
      <c r="R881" s="32">
        <v>45855.0</v>
      </c>
      <c r="S881" s="32">
        <v>45825.0</v>
      </c>
      <c r="T881" s="29"/>
      <c r="U881" s="33"/>
      <c r="V881" s="1"/>
    </row>
    <row r="882" ht="24.0" customHeight="1">
      <c r="A882" s="1"/>
      <c r="B882" s="24" t="str">
        <f>HYPERLINK("https://www.compass.com/listing/102-30-66th-road-unit-4a-queens-ny-11375/1862160883848596313/view?agent_id=610d3f3370540700019b0833","102-30 66th Road, Unit 4A")</f>
        <v>102-30 66th Road, Unit 4A</v>
      </c>
      <c r="C882" s="25" t="s">
        <v>22</v>
      </c>
      <c r="D882" s="26" t="s">
        <v>23</v>
      </c>
      <c r="E882" s="27" t="str">
        <f>HYPERLINK("https://www.compass.com/building/birchwood-towers-queens-ny/307447536440610389/","Birchwood Towers")</f>
        <v>Birchwood Towers</v>
      </c>
      <c r="F882" s="25" t="s">
        <v>229</v>
      </c>
      <c r="G882" s="28">
        <v>415000.0</v>
      </c>
      <c r="H882" s="28">
        <v>506.0</v>
      </c>
      <c r="I882" s="28">
        <v>1033.0</v>
      </c>
      <c r="J882" s="29"/>
      <c r="K882" s="25" t="s">
        <v>25</v>
      </c>
      <c r="L882" s="26">
        <v>4.0</v>
      </c>
      <c r="M882" s="26">
        <v>2.0</v>
      </c>
      <c r="N882" s="26">
        <v>1.0</v>
      </c>
      <c r="O882" s="30"/>
      <c r="P882" s="26">
        <v>820.0</v>
      </c>
      <c r="Q882" s="35">
        <v>12.0</v>
      </c>
      <c r="R882" s="32">
        <v>45863.0</v>
      </c>
      <c r="S882" s="32">
        <v>45851.0</v>
      </c>
      <c r="T882" s="29"/>
      <c r="U882" s="33"/>
      <c r="V882" s="1"/>
    </row>
    <row r="883" ht="24.0" customHeight="1">
      <c r="A883" s="1"/>
      <c r="B883" s="24" t="str">
        <f>HYPERLINK("https://www.compass.com/listing/67-38-108th-street-unit-a47-queens-ny-11375/1851393268985955361/view?agent_id=610d3f3370540700019b0833","67-38 108th Street, Unit A47")</f>
        <v>67-38 108th Street, Unit A47</v>
      </c>
      <c r="C883" s="25" t="s">
        <v>22</v>
      </c>
      <c r="D883" s="26" t="s">
        <v>23</v>
      </c>
      <c r="E883" s="27" t="str">
        <f>HYPERLINK("https://www.compass.com/building/67-38-108th-st-queens-ny-11375/293530282873597669/","67-38 108th St")</f>
        <v>67-38 108th St</v>
      </c>
      <c r="F883" s="25" t="s">
        <v>83</v>
      </c>
      <c r="G883" s="28">
        <v>525000.0</v>
      </c>
      <c r="H883" s="28">
        <v>525.0</v>
      </c>
      <c r="I883" s="28">
        <v>1432.0</v>
      </c>
      <c r="J883" s="29"/>
      <c r="K883" s="25" t="s">
        <v>25</v>
      </c>
      <c r="L883" s="26">
        <v>5.0</v>
      </c>
      <c r="M883" s="26">
        <v>2.0</v>
      </c>
      <c r="N883" s="26">
        <v>1.0</v>
      </c>
      <c r="O883" s="30"/>
      <c r="P883" s="34">
        <v>1000.0</v>
      </c>
      <c r="Q883" s="35">
        <v>57.0</v>
      </c>
      <c r="R883" s="32">
        <v>45812.0</v>
      </c>
      <c r="S883" s="32">
        <v>45806.0</v>
      </c>
      <c r="T883" s="29"/>
      <c r="U883" s="33"/>
      <c r="V883" s="1"/>
    </row>
    <row r="884" ht="24.0" customHeight="1">
      <c r="A884" s="1"/>
      <c r="B884" s="24" t="str">
        <f>HYPERLINK("https://www.compass.com/listing/3400-snyder-avenue-unit-2r-brooklyn-ny-11203/1688752522553464105/view?agent_id=610d3f3370540700019b0833","3400 Snyder Avenue, Unit 2R")</f>
        <v>3400 Snyder Avenue, Unit 2R</v>
      </c>
      <c r="C884" s="25" t="s">
        <v>22</v>
      </c>
      <c r="D884" s="26" t="s">
        <v>23</v>
      </c>
      <c r="E884" s="27" t="str">
        <f>HYPERLINK("https://www.compass.com/building/3400-snyder-ave-brooklyn-ny-11203/293417800934915205/","3400 Snyder Ave")</f>
        <v>3400 Snyder Ave</v>
      </c>
      <c r="F884" s="25" t="s">
        <v>123</v>
      </c>
      <c r="G884" s="28">
        <v>289000.0</v>
      </c>
      <c r="H884" s="28">
        <v>386.0</v>
      </c>
      <c r="I884" s="28">
        <v>936.0</v>
      </c>
      <c r="J884" s="29"/>
      <c r="K884" s="36"/>
      <c r="L884" s="26">
        <v>4.0</v>
      </c>
      <c r="M884" s="26">
        <v>2.0</v>
      </c>
      <c r="N884" s="26">
        <v>1.0</v>
      </c>
      <c r="O884" s="26">
        <v>0.0</v>
      </c>
      <c r="P884" s="26">
        <v>748.0</v>
      </c>
      <c r="Q884" s="35">
        <v>282.0</v>
      </c>
      <c r="R884" s="32">
        <v>45827.0</v>
      </c>
      <c r="S884" s="32">
        <v>45581.0</v>
      </c>
      <c r="T884" s="29"/>
      <c r="U884" s="33"/>
      <c r="V884" s="1"/>
    </row>
    <row r="885" ht="24.0" customHeight="1">
      <c r="A885" s="1"/>
      <c r="B885" s="24" t="str">
        <f>HYPERLINK("https://www.compass.com/listing/112-24-northern-boulevard-unit-2c-queens-ny-11368/1834137381471690801/view?agent_id=610d3f3370540700019b0833","112-24 Northern Boulevard, Unit 2C")</f>
        <v>112-24 Northern Boulevard, Unit 2C</v>
      </c>
      <c r="C885" s="25" t="s">
        <v>22</v>
      </c>
      <c r="D885" s="26" t="s">
        <v>23</v>
      </c>
      <c r="E885" s="27" t="str">
        <f>HYPERLINK("https://www.compass.com/building/112-24-northern-blvd-queens-ny-11368/319536542258904741/","112-24 Northern Blvd")</f>
        <v>112-24 Northern Blvd</v>
      </c>
      <c r="F885" s="25" t="s">
        <v>230</v>
      </c>
      <c r="G885" s="28">
        <v>279000.0</v>
      </c>
      <c r="H885" s="28">
        <v>310.0</v>
      </c>
      <c r="I885" s="28">
        <v>1420.0</v>
      </c>
      <c r="J885" s="29"/>
      <c r="K885" s="25" t="s">
        <v>25</v>
      </c>
      <c r="L885" s="26">
        <v>5.0</v>
      </c>
      <c r="M885" s="26">
        <v>2.0</v>
      </c>
      <c r="N885" s="26">
        <v>1.0</v>
      </c>
      <c r="O885" s="30"/>
      <c r="P885" s="26">
        <v>900.0</v>
      </c>
      <c r="Q885" s="35">
        <v>81.0</v>
      </c>
      <c r="R885" s="32">
        <v>45791.0</v>
      </c>
      <c r="S885" s="32">
        <v>45782.0</v>
      </c>
      <c r="T885" s="29"/>
      <c r="U885" s="33"/>
      <c r="V885" s="1"/>
    </row>
    <row r="886" ht="24.0" customHeight="1">
      <c r="A886" s="1"/>
      <c r="B886" s="24" t="str">
        <f>HYPERLINK("https://www.compass.com/listing/2615-homecrest-avenue-unit-1d-brooklyn-ny-11235/1882816255432692145/view?agent_id=610d3f3370540700019b0833","2615 Homecrest Avenue, Unit 1D")</f>
        <v>2615 Homecrest Avenue, Unit 1D</v>
      </c>
      <c r="C886" s="25" t="s">
        <v>22</v>
      </c>
      <c r="D886" s="26" t="s">
        <v>23</v>
      </c>
      <c r="E886" s="27" t="str">
        <f>HYPERLINK("https://www.compass.com/building/2615-homecrest-ave-brooklyn-ny-11235/307457765794261637/","2615 Homecrest Ave")</f>
        <v>2615 Homecrest Ave</v>
      </c>
      <c r="F886" s="25" t="s">
        <v>70</v>
      </c>
      <c r="G886" s="28">
        <v>399000.0</v>
      </c>
      <c r="H886" s="28">
        <v>460.0</v>
      </c>
      <c r="I886" s="28">
        <v>782.0</v>
      </c>
      <c r="J886" s="29"/>
      <c r="K886" s="25" t="s">
        <v>25</v>
      </c>
      <c r="L886" s="26">
        <v>5.0</v>
      </c>
      <c r="M886" s="26">
        <v>2.0</v>
      </c>
      <c r="N886" s="26">
        <v>1.0</v>
      </c>
      <c r="O886" s="30"/>
      <c r="P886" s="26">
        <v>867.0</v>
      </c>
      <c r="Q886" s="35">
        <v>13.0</v>
      </c>
      <c r="R886" s="32">
        <v>45862.0</v>
      </c>
      <c r="S886" s="32">
        <v>45850.0</v>
      </c>
      <c r="T886" s="29"/>
      <c r="U886" s="33"/>
      <c r="V886" s="1"/>
    </row>
    <row r="887" ht="24.0" customHeight="1">
      <c r="A887" s="1"/>
      <c r="B887" s="24" t="str">
        <f>HYPERLINK("https://www.compass.com/listing/175-willoughby-street-unit-1a-brooklyn-ny-11201/1607874998342714505/view?agent_id=610d3f3370540700019b0833","175 Willoughby Street, Unit 1A")</f>
        <v>175 Willoughby Street, Unit 1A</v>
      </c>
      <c r="C887" s="25" t="s">
        <v>22</v>
      </c>
      <c r="D887" s="26" t="s">
        <v>23</v>
      </c>
      <c r="E887" s="27" t="str">
        <f>HYPERLINK("https://www.compass.com/building/university-towers-brooklyn-ny/282504632482220549/","University Towers ")</f>
        <v>University Towers </v>
      </c>
      <c r="F887" s="25" t="s">
        <v>31</v>
      </c>
      <c r="G887" s="28">
        <v>769000.0</v>
      </c>
      <c r="H887" s="29"/>
      <c r="I887" s="28">
        <v>1450.0</v>
      </c>
      <c r="J887" s="28">
        <v>0.0</v>
      </c>
      <c r="K887" s="25" t="s">
        <v>25</v>
      </c>
      <c r="L887" s="26">
        <v>4.0</v>
      </c>
      <c r="M887" s="26">
        <v>2.0</v>
      </c>
      <c r="N887" s="26">
        <v>1.0</v>
      </c>
      <c r="O887" s="30"/>
      <c r="P887" s="30"/>
      <c r="Q887" s="35">
        <v>394.0</v>
      </c>
      <c r="R887" s="32">
        <v>45647.0</v>
      </c>
      <c r="S887" s="32">
        <v>45469.0</v>
      </c>
      <c r="T887" s="29"/>
      <c r="U887" s="33"/>
      <c r="V887" s="1"/>
    </row>
    <row r="888" ht="24.0" customHeight="1">
      <c r="A888" s="1"/>
      <c r="B888" s="24" t="str">
        <f>HYPERLINK("https://www.compass.com/listing/625-lenox-road-brooklyn-ny-11203/1764966121967681473/view?agent_id=610d3f3370540700019b0833","625 Lenox Road")</f>
        <v>625 Lenox Road</v>
      </c>
      <c r="C888" s="25" t="s">
        <v>22</v>
      </c>
      <c r="D888" s="26" t="s">
        <v>23</v>
      </c>
      <c r="E888" s="27" t="str">
        <f>HYPERLINK("https://www.compass.com/building/625-lenox-rd-brooklyn-ny-11203/293527527056500037/","625 Lenox Rd")</f>
        <v>625 Lenox Rd</v>
      </c>
      <c r="F888" s="25" t="s">
        <v>123</v>
      </c>
      <c r="G888" s="28">
        <v>620000.0</v>
      </c>
      <c r="H888" s="28">
        <v>412.0</v>
      </c>
      <c r="I888" s="28">
        <v>422.0</v>
      </c>
      <c r="J888" s="28">
        <v>5058.0</v>
      </c>
      <c r="K888" s="25" t="s">
        <v>97</v>
      </c>
      <c r="L888" s="26">
        <v>1.0</v>
      </c>
      <c r="M888" s="26">
        <v>2.0</v>
      </c>
      <c r="N888" s="26">
        <v>1.0</v>
      </c>
      <c r="O888" s="30"/>
      <c r="P888" s="34">
        <v>1505.0</v>
      </c>
      <c r="Q888" s="35">
        <v>180.0</v>
      </c>
      <c r="R888" s="32">
        <v>45862.0</v>
      </c>
      <c r="S888" s="32">
        <v>45683.0</v>
      </c>
      <c r="T888" s="29"/>
      <c r="U888" s="33"/>
      <c r="V888" s="1"/>
    </row>
    <row r="889" ht="24.0" customHeight="1">
      <c r="A889" s="1"/>
      <c r="B889" s="24" t="str">
        <f>HYPERLINK("https://www.compass.com/listing/161-west-133rd-street-manhattan-ny-10030/1848573967190966521/view?agent_id=610d3f3370540700019b0833","161 West 133rd Street")</f>
        <v>161 West 133rd Street</v>
      </c>
      <c r="C889" s="25" t="s">
        <v>22</v>
      </c>
      <c r="D889" s="26" t="s">
        <v>23</v>
      </c>
      <c r="E889" s="27" t="str">
        <f>HYPERLINK("https://www.compass.com/building/161-w-133rd-st-manhattan-ny-10030/281993103102036229/","161 W 133rd St")</f>
        <v>161 W 133rd St</v>
      </c>
      <c r="F889" s="25" t="s">
        <v>32</v>
      </c>
      <c r="G889" s="28">
        <v>600000.0</v>
      </c>
      <c r="H889" s="28">
        <v>676.0</v>
      </c>
      <c r="I889" s="28">
        <v>700.0</v>
      </c>
      <c r="J889" s="28">
        <v>8400.0</v>
      </c>
      <c r="K889" s="25" t="s">
        <v>28</v>
      </c>
      <c r="L889" s="26">
        <v>5.0</v>
      </c>
      <c r="M889" s="26">
        <v>2.0</v>
      </c>
      <c r="N889" s="26">
        <v>1.0</v>
      </c>
      <c r="O889" s="30"/>
      <c r="P889" s="26">
        <v>887.0</v>
      </c>
      <c r="Q889" s="35">
        <v>60.0</v>
      </c>
      <c r="R889" s="32">
        <v>45860.0</v>
      </c>
      <c r="S889" s="32">
        <v>45802.0</v>
      </c>
      <c r="T889" s="29"/>
      <c r="U889" s="33"/>
      <c r="V889" s="1"/>
    </row>
    <row r="890" ht="24.0" customHeight="1">
      <c r="A890" s="1"/>
      <c r="B890" s="24" t="str">
        <f>HYPERLINK("https://www.compass.com/listing/26-avenue-p-unit-7c-brooklyn-ny-11204/1882121448624234945/view?agent_id=610d3f3370540700019b0833","26 Avenue P, Unit 7C")</f>
        <v>26 Avenue P, Unit 7C</v>
      </c>
      <c r="C890" s="25" t="s">
        <v>22</v>
      </c>
      <c r="D890" s="26" t="s">
        <v>23</v>
      </c>
      <c r="E890" s="27" t="str">
        <f>HYPERLINK("https://www.compass.com/building/26-avenue-p-brooklyn-ny-11204/567702970227662837/","26 Avenue P")</f>
        <v>26 Avenue P</v>
      </c>
      <c r="F890" s="25" t="s">
        <v>173</v>
      </c>
      <c r="G890" s="28">
        <v>650000.0</v>
      </c>
      <c r="H890" s="28">
        <v>918.0</v>
      </c>
      <c r="I890" s="28">
        <v>0.0</v>
      </c>
      <c r="J890" s="29"/>
      <c r="K890" s="25" t="s">
        <v>28</v>
      </c>
      <c r="L890" s="26">
        <v>5.0</v>
      </c>
      <c r="M890" s="26">
        <v>2.0</v>
      </c>
      <c r="N890" s="26">
        <v>1.0</v>
      </c>
      <c r="O890" s="30"/>
      <c r="P890" s="26">
        <v>708.0</v>
      </c>
      <c r="Q890" s="35">
        <v>15.0</v>
      </c>
      <c r="R890" s="32">
        <v>45863.0</v>
      </c>
      <c r="S890" s="32">
        <v>45848.0</v>
      </c>
      <c r="T890" s="29"/>
      <c r="U890" s="33"/>
      <c r="V890" s="1"/>
    </row>
    <row r="891" ht="24.0" customHeight="1">
      <c r="A891" s="1"/>
      <c r="B891" s="24" t="str">
        <f>HYPERLINK("https://www.compass.com/listing/1270-5th-avenue-unit-9g-manhattan-ny-10029/1809650132107039689/view?agent_id=610d3f3370540700019b0833","1270 5th Avenue, Unit 9G")</f>
        <v>1270 5th Avenue, Unit 9G</v>
      </c>
      <c r="C891" s="25" t="s">
        <v>22</v>
      </c>
      <c r="D891" s="26" t="s">
        <v>23</v>
      </c>
      <c r="E891" s="27" t="str">
        <f>HYPERLINK("https://www.compass.com/building/1270-5th-ave-manhattan-ny-10029/281988419003983989/","1270 5th Ave")</f>
        <v>1270 5th Ave</v>
      </c>
      <c r="F891" s="25" t="s">
        <v>231</v>
      </c>
      <c r="G891" s="28">
        <v>795000.0</v>
      </c>
      <c r="H891" s="28">
        <v>970.0</v>
      </c>
      <c r="I891" s="28">
        <v>1570.0</v>
      </c>
      <c r="J891" s="28">
        <v>0.0</v>
      </c>
      <c r="K891" s="25" t="s">
        <v>25</v>
      </c>
      <c r="L891" s="26">
        <v>4.0</v>
      </c>
      <c r="M891" s="26">
        <v>2.0</v>
      </c>
      <c r="N891" s="26">
        <v>1.0</v>
      </c>
      <c r="O891" s="26">
        <v>0.0</v>
      </c>
      <c r="P891" s="26">
        <v>820.0</v>
      </c>
      <c r="Q891" s="35">
        <v>115.0</v>
      </c>
      <c r="R891" s="32">
        <v>45858.0</v>
      </c>
      <c r="S891" s="32">
        <v>45748.0</v>
      </c>
      <c r="T891" s="29"/>
      <c r="U891" s="33"/>
      <c r="V891" s="1"/>
    </row>
    <row r="892" ht="24.0" customHeight="1">
      <c r="A892" s="1"/>
      <c r="B892" s="24" t="str">
        <f>HYPERLINK("https://www.compass.com/listing/246-34-57th-drive-unit-1-queens-ny-11362/1793353946360403593/view?agent_id=610d3f3370540700019b0833","246-34 57th Drive, Unit 1")</f>
        <v>246-34 57th Drive, Unit 1</v>
      </c>
      <c r="C892" s="25" t="s">
        <v>22</v>
      </c>
      <c r="D892" s="26" t="s">
        <v>23</v>
      </c>
      <c r="E892" s="27" t="str">
        <f>HYPERLINK("https://www.compass.com/building/246-34-57th-dr-queens-ny-11362/307456767692628997/","246-34 57th Dr")</f>
        <v>246-34 57th Dr</v>
      </c>
      <c r="F892" s="25" t="s">
        <v>145</v>
      </c>
      <c r="G892" s="28">
        <v>419000.0</v>
      </c>
      <c r="H892" s="29"/>
      <c r="I892" s="28">
        <v>1296.0</v>
      </c>
      <c r="J892" s="28">
        <v>0.0</v>
      </c>
      <c r="K892" s="25" t="s">
        <v>25</v>
      </c>
      <c r="L892" s="26">
        <v>5.0</v>
      </c>
      <c r="M892" s="26">
        <v>2.0</v>
      </c>
      <c r="N892" s="26">
        <v>1.0</v>
      </c>
      <c r="O892" s="30"/>
      <c r="P892" s="30"/>
      <c r="Q892" s="35">
        <v>139.0</v>
      </c>
      <c r="R892" s="32">
        <v>45726.0</v>
      </c>
      <c r="S892" s="32">
        <v>45724.0</v>
      </c>
      <c r="T892" s="29"/>
      <c r="U892" s="33"/>
      <c r="V892" s="1"/>
    </row>
    <row r="893" ht="24.0" customHeight="1">
      <c r="A893" s="1"/>
      <c r="B893" s="24" t="str">
        <f>HYPERLINK("https://www.compass.com/listing/730-fort-washington-avenue-unit-3c-manhattan-ny-10040/1791420943580988201/view?agent_id=610d3f3370540700019b0833","730 Fort Washington Avenue, Unit 3C")</f>
        <v>730 Fort Washington Avenue, Unit 3C</v>
      </c>
      <c r="C893" s="25" t="s">
        <v>22</v>
      </c>
      <c r="D893" s="26" t="s">
        <v>23</v>
      </c>
      <c r="E893" s="27" t="str">
        <f>HYPERLINK("https://www.compass.com/building/730-fort-washington-ave-manhattan-ny-10040/294838392164302725/","730 Fort Washington Ave")</f>
        <v>730 Fort Washington Ave</v>
      </c>
      <c r="F893" s="25" t="s">
        <v>58</v>
      </c>
      <c r="G893" s="28">
        <v>569000.0</v>
      </c>
      <c r="H893" s="29"/>
      <c r="I893" s="28">
        <v>1461.0</v>
      </c>
      <c r="J893" s="28">
        <v>0.0</v>
      </c>
      <c r="K893" s="25" t="s">
        <v>25</v>
      </c>
      <c r="L893" s="26">
        <v>4.0</v>
      </c>
      <c r="M893" s="26">
        <v>2.0</v>
      </c>
      <c r="N893" s="26">
        <v>1.0</v>
      </c>
      <c r="O893" s="26">
        <v>0.0</v>
      </c>
      <c r="P893" s="30"/>
      <c r="Q893" s="35">
        <v>140.0</v>
      </c>
      <c r="R893" s="32">
        <v>45858.0</v>
      </c>
      <c r="S893" s="32">
        <v>45723.0</v>
      </c>
      <c r="T893" s="29"/>
      <c r="U893" s="33"/>
      <c r="V893" s="1"/>
    </row>
    <row r="894" ht="24.0" customHeight="1">
      <c r="A894" s="1"/>
      <c r="B894" s="24" t="str">
        <f>HYPERLINK("https://www.compass.com/listing/67-01-bell-boulevard-queens-ny-11364/1820274533215279521/view?agent_id=610d3f3370540700019b0833","67-01 Bell Boulevard")</f>
        <v>67-01 Bell Boulevard</v>
      </c>
      <c r="C894" s="25" t="s">
        <v>22</v>
      </c>
      <c r="D894" s="26" t="s">
        <v>23</v>
      </c>
      <c r="E894" s="27" t="str">
        <f>HYPERLINK("https://www.compass.com/building/67-01-bell-blvd-queens-ny-11364/293532506701964373/","67-01 Bell Blvd")</f>
        <v>67-01 Bell Blvd</v>
      </c>
      <c r="F894" s="25" t="s">
        <v>37</v>
      </c>
      <c r="G894" s="28">
        <v>445000.0</v>
      </c>
      <c r="H894" s="28">
        <v>498.0</v>
      </c>
      <c r="I894" s="28">
        <v>1062.0</v>
      </c>
      <c r="J894" s="28">
        <v>0.0</v>
      </c>
      <c r="K894" s="25" t="s">
        <v>156</v>
      </c>
      <c r="L894" s="26">
        <v>5.0</v>
      </c>
      <c r="M894" s="26">
        <v>2.0</v>
      </c>
      <c r="N894" s="26">
        <v>1.0</v>
      </c>
      <c r="O894" s="30"/>
      <c r="P894" s="26">
        <v>893.0</v>
      </c>
      <c r="Q894" s="35">
        <v>100.0</v>
      </c>
      <c r="R894" s="32">
        <v>45764.0</v>
      </c>
      <c r="S894" s="32">
        <v>45763.0</v>
      </c>
      <c r="T894" s="29"/>
      <c r="U894" s="33"/>
      <c r="V894" s="1"/>
    </row>
    <row r="895" ht="24.0" customHeight="1">
      <c r="A895" s="1"/>
      <c r="B895" s="24" t="str">
        <f>HYPERLINK("https://www.compass.com/listing/5639-netherland-avenue-unit-1g-bronx-ny-10471/1832759930422362345/view?agent_id=610d3f3370540700019b0833","5639 Netherland Avenue, Unit 1G")</f>
        <v>5639 Netherland Avenue, Unit 1G</v>
      </c>
      <c r="C895" s="25" t="s">
        <v>22</v>
      </c>
      <c r="D895" s="26" t="s">
        <v>23</v>
      </c>
      <c r="E895" s="27" t="str">
        <f>HYPERLINK("https://www.compass.com/building/netherland-gardens-bronx-ny/294841713231121077/","Netherland Gardens")</f>
        <v>Netherland Gardens</v>
      </c>
      <c r="F895" s="25" t="s">
        <v>75</v>
      </c>
      <c r="G895" s="28">
        <v>284477.0</v>
      </c>
      <c r="H895" s="29"/>
      <c r="I895" s="28">
        <v>1308.0</v>
      </c>
      <c r="J895" s="28">
        <v>0.0</v>
      </c>
      <c r="K895" s="25" t="s">
        <v>25</v>
      </c>
      <c r="L895" s="26">
        <v>5.0</v>
      </c>
      <c r="M895" s="26">
        <v>2.0</v>
      </c>
      <c r="N895" s="26">
        <v>1.0</v>
      </c>
      <c r="O895" s="30"/>
      <c r="P895" s="26">
        <v>0.0</v>
      </c>
      <c r="Q895" s="35">
        <v>84.0</v>
      </c>
      <c r="R895" s="32">
        <v>45801.0</v>
      </c>
      <c r="S895" s="32">
        <v>45779.0</v>
      </c>
      <c r="T895" s="29"/>
      <c r="U895" s="33"/>
      <c r="V895" s="1"/>
    </row>
    <row r="896" ht="24.0" customHeight="1">
      <c r="A896" s="1"/>
      <c r="B896" s="24" t="str">
        <f>HYPERLINK("https://www.compass.com/listing/123-east-102nd-street-unit-6b-manhattan-ny-10029/1797402510318903849/view?agent_id=610d3f3370540700019b0833","123 East 102nd Street, Unit 6B")</f>
        <v>123 East 102nd Street, Unit 6B</v>
      </c>
      <c r="C896" s="25" t="s">
        <v>22</v>
      </c>
      <c r="D896" s="26" t="s">
        <v>23</v>
      </c>
      <c r="E896" s="27" t="str">
        <f>HYPERLINK("https://www.compass.com/building/123-e-102nd-st-manhattan-ny-10029/281988325286455269/","123 E 102nd St")</f>
        <v>123 E 102nd St</v>
      </c>
      <c r="F896" s="25" t="s">
        <v>133</v>
      </c>
      <c r="G896" s="28">
        <v>449000.0</v>
      </c>
      <c r="H896" s="28">
        <v>641.0</v>
      </c>
      <c r="I896" s="28">
        <v>578.0</v>
      </c>
      <c r="J896" s="28">
        <v>0.0</v>
      </c>
      <c r="K896" s="25" t="s">
        <v>25</v>
      </c>
      <c r="L896" s="26">
        <v>4.0</v>
      </c>
      <c r="M896" s="26">
        <v>2.0</v>
      </c>
      <c r="N896" s="26">
        <v>1.0</v>
      </c>
      <c r="O896" s="30"/>
      <c r="P896" s="26">
        <v>700.0</v>
      </c>
      <c r="Q896" s="35">
        <v>131.0</v>
      </c>
      <c r="R896" s="32">
        <v>45801.0</v>
      </c>
      <c r="S896" s="32">
        <v>45731.0</v>
      </c>
      <c r="T896" s="29"/>
      <c r="U896" s="33"/>
      <c r="V896" s="1"/>
    </row>
    <row r="897" ht="24.0" customHeight="1">
      <c r="A897" s="1"/>
      <c r="B897" s="24" t="str">
        <f>HYPERLINK("https://www.compass.com/listing/64-41-springfield-boulevard-unit-b-queens-ny-11364/1880675594179407265/view?agent_id=610d3f3370540700019b0833","64-41 Springfield Boulevard, Unit B")</f>
        <v>64-41 Springfield Boulevard, Unit B</v>
      </c>
      <c r="C897" s="25" t="s">
        <v>22</v>
      </c>
      <c r="D897" s="26" t="s">
        <v>23</v>
      </c>
      <c r="E897" s="27" t="str">
        <f>HYPERLINK("https://www.compass.com/building/64-41-springfield-blvd-queens-ny-11364/567465645551856925/","64-41 Springfield Blvd")</f>
        <v>64-41 Springfield Blvd</v>
      </c>
      <c r="F897" s="25" t="s">
        <v>37</v>
      </c>
      <c r="G897" s="28">
        <v>359000.0</v>
      </c>
      <c r="H897" s="28">
        <v>513.0</v>
      </c>
      <c r="I897" s="28">
        <v>1290.0</v>
      </c>
      <c r="J897" s="29"/>
      <c r="K897" s="25" t="s">
        <v>25</v>
      </c>
      <c r="L897" s="26">
        <v>4.0</v>
      </c>
      <c r="M897" s="26">
        <v>2.0</v>
      </c>
      <c r="N897" s="26">
        <v>1.0</v>
      </c>
      <c r="O897" s="30"/>
      <c r="P897" s="26">
        <v>700.0</v>
      </c>
      <c r="Q897" s="35">
        <v>17.0</v>
      </c>
      <c r="R897" s="32">
        <v>45851.0</v>
      </c>
      <c r="S897" s="32">
        <v>45846.0</v>
      </c>
      <c r="T897" s="29"/>
      <c r="U897" s="33"/>
      <c r="V897" s="1"/>
    </row>
    <row r="898" ht="24.0" customHeight="1">
      <c r="A898" s="1"/>
      <c r="B898" s="24" t="str">
        <f>HYPERLINK("https://www.compass.com/listing/161-west-133rd-street-unit-3b-manhattan-ny-10030/1848561303572125257/view?agent_id=610d3f3370540700019b0833","161 West 133rd Street, Unit 3B")</f>
        <v>161 West 133rd Street, Unit 3B</v>
      </c>
      <c r="C898" s="25" t="s">
        <v>22</v>
      </c>
      <c r="D898" s="26" t="s">
        <v>23</v>
      </c>
      <c r="E898" s="27" t="str">
        <f>HYPERLINK("https://www.compass.com/building/161-w-133rd-st-manhattan-ny-10030/281993103102036229/","161 W 133rd St")</f>
        <v>161 W 133rd St</v>
      </c>
      <c r="F898" s="25" t="s">
        <v>32</v>
      </c>
      <c r="G898" s="28">
        <v>600000.0</v>
      </c>
      <c r="H898" s="28">
        <v>676.0</v>
      </c>
      <c r="I898" s="28">
        <v>1695.0</v>
      </c>
      <c r="J898" s="28">
        <v>8400.0</v>
      </c>
      <c r="K898" s="25" t="s">
        <v>28</v>
      </c>
      <c r="L898" s="26">
        <v>5.0</v>
      </c>
      <c r="M898" s="26">
        <v>2.0</v>
      </c>
      <c r="N898" s="26">
        <v>1.0</v>
      </c>
      <c r="O898" s="26">
        <v>0.0</v>
      </c>
      <c r="P898" s="26">
        <v>887.0</v>
      </c>
      <c r="Q898" s="35">
        <v>61.0</v>
      </c>
      <c r="R898" s="32">
        <v>45860.0</v>
      </c>
      <c r="S898" s="32">
        <v>45802.0</v>
      </c>
      <c r="T898" s="29"/>
      <c r="U898" s="33"/>
      <c r="V898" s="1"/>
    </row>
    <row r="899" ht="24.0" customHeight="1">
      <c r="A899" s="1"/>
      <c r="B899" s="24" t="str">
        <f>HYPERLINK("https://www.compass.com/listing/109-seaman-avenue-unit-5e-manhattan-ny-10034/1803441277445576057/view?agent_id=610d3f3370540700019b0833","109 Seaman Avenue, Unit 5E")</f>
        <v>109 Seaman Avenue, Unit 5E</v>
      </c>
      <c r="C899" s="25" t="s">
        <v>22</v>
      </c>
      <c r="D899" s="26" t="s">
        <v>23</v>
      </c>
      <c r="E899" s="27" t="str">
        <f>HYPERLINK("https://www.compass.com/building/109-seaman-ave-manhattan-ny-10034/282014130364223781/","109 Seaman Ave")</f>
        <v>109 Seaman Ave</v>
      </c>
      <c r="F899" s="25" t="s">
        <v>81</v>
      </c>
      <c r="G899" s="28">
        <v>600000.0</v>
      </c>
      <c r="H899" s="28">
        <v>561.0</v>
      </c>
      <c r="I899" s="28">
        <v>1164.0</v>
      </c>
      <c r="J899" s="28">
        <v>0.0</v>
      </c>
      <c r="K899" s="25" t="s">
        <v>25</v>
      </c>
      <c r="L899" s="26">
        <v>5.0</v>
      </c>
      <c r="M899" s="26">
        <v>2.0</v>
      </c>
      <c r="N899" s="26">
        <v>1.0</v>
      </c>
      <c r="O899" s="30"/>
      <c r="P899" s="34">
        <v>1070.0</v>
      </c>
      <c r="Q899" s="35">
        <v>124.0</v>
      </c>
      <c r="R899" s="32">
        <v>45740.0</v>
      </c>
      <c r="S899" s="32">
        <v>45739.0</v>
      </c>
      <c r="T899" s="29"/>
      <c r="U899" s="33"/>
      <c r="V899" s="1"/>
    </row>
    <row r="900" ht="24.0" customHeight="1">
      <c r="A900" s="1"/>
      <c r="B900" s="24" t="str">
        <f>HYPERLINK("https://www.compass.com/listing/1885-lexington-avenue-unit-5d-manhattan-ny-10035/1850208126817244585/view?agent_id=610d3f3370540700019b0833","1885 Lexington Avenue, Unit 5D")</f>
        <v>1885 Lexington Avenue, Unit 5D</v>
      </c>
      <c r="C900" s="25" t="s">
        <v>22</v>
      </c>
      <c r="D900" s="26" t="s">
        <v>23</v>
      </c>
      <c r="E900" s="27" t="str">
        <f>HYPERLINK("https://www.compass.com/building/lancaster-lexington-manhattan-ny/282017824111596149/","Lancaster Lexington")</f>
        <v>Lancaster Lexington</v>
      </c>
      <c r="F900" s="25" t="s">
        <v>133</v>
      </c>
      <c r="G900" s="28">
        <v>526500.0</v>
      </c>
      <c r="H900" s="28">
        <v>529.0</v>
      </c>
      <c r="I900" s="28">
        <v>1272.0</v>
      </c>
      <c r="J900" s="28">
        <v>0.0</v>
      </c>
      <c r="K900" s="25" t="s">
        <v>25</v>
      </c>
      <c r="L900" s="26">
        <v>5.0</v>
      </c>
      <c r="M900" s="26">
        <v>2.0</v>
      </c>
      <c r="N900" s="26">
        <v>1.0</v>
      </c>
      <c r="O900" s="26">
        <v>0.0</v>
      </c>
      <c r="P900" s="26">
        <v>996.0</v>
      </c>
      <c r="Q900" s="35">
        <v>59.0</v>
      </c>
      <c r="R900" s="32">
        <v>45858.0</v>
      </c>
      <c r="S900" s="32">
        <v>45804.0</v>
      </c>
      <c r="T900" s="29"/>
      <c r="U900" s="33"/>
      <c r="V900" s="1"/>
    </row>
    <row r="901" ht="24.0" customHeight="1">
      <c r="A901" s="1"/>
      <c r="B901" s="24" t="str">
        <f>HYPERLINK("https://www.compass.com/listing/1075-grand-concourse-unit-1n-bronx-ny-10452/1874720283256352929/view?agent_id=610d3f3370540700019b0833","1075 Grand Concourse, Unit 1N")</f>
        <v>1075 Grand Concourse, Unit 1N</v>
      </c>
      <c r="C901" s="25" t="s">
        <v>22</v>
      </c>
      <c r="D901" s="26" t="s">
        <v>23</v>
      </c>
      <c r="E901" s="27" t="str">
        <f>HYPERLINK("https://www.compass.com/building/1075-grand-concourse-bronx-ny-10452/293534087845519605/","1075 Grand Concourse")</f>
        <v>1075 Grand Concourse</v>
      </c>
      <c r="F901" s="25" t="s">
        <v>232</v>
      </c>
      <c r="G901" s="28">
        <v>225000.0</v>
      </c>
      <c r="H901" s="28">
        <v>188.0</v>
      </c>
      <c r="I901" s="28">
        <v>1311.0</v>
      </c>
      <c r="J901" s="29"/>
      <c r="K901" s="25" t="s">
        <v>25</v>
      </c>
      <c r="L901" s="26">
        <v>6.0</v>
      </c>
      <c r="M901" s="26">
        <v>2.0</v>
      </c>
      <c r="N901" s="26">
        <v>1.0</v>
      </c>
      <c r="O901" s="30"/>
      <c r="P901" s="34">
        <v>1200.0</v>
      </c>
      <c r="Q901" s="35">
        <v>25.0</v>
      </c>
      <c r="R901" s="32">
        <v>45839.0</v>
      </c>
      <c r="S901" s="32">
        <v>45838.0</v>
      </c>
      <c r="T901" s="29"/>
      <c r="U901" s="33"/>
      <c r="V901" s="1"/>
    </row>
    <row r="902" ht="24.0" customHeight="1">
      <c r="A902" s="1"/>
      <c r="B902" s="24" t="str">
        <f>HYPERLINK("https://www.compass.com/listing/5700-arlington-avenue-unit-6w-bronx-ny-10471/1847721529596463657/view?agent_id=610d3f3370540700019b0833","5700 Arlington Avenue, Unit 6W")</f>
        <v>5700 Arlington Avenue, Unit 6W</v>
      </c>
      <c r="C902" s="25" t="s">
        <v>22</v>
      </c>
      <c r="D902" s="26" t="s">
        <v>23</v>
      </c>
      <c r="E902" s="27" t="str">
        <f>HYPERLINK("https://www.compass.com/building/skyview-on-the-hudson-bronx-ny/293529087136258053/","Skyview on the Hudson ")</f>
        <v>Skyview on the Hudson </v>
      </c>
      <c r="F902" s="25" t="s">
        <v>75</v>
      </c>
      <c r="G902" s="28">
        <v>460000.0</v>
      </c>
      <c r="H902" s="28">
        <v>447.0</v>
      </c>
      <c r="I902" s="28">
        <v>1384.0</v>
      </c>
      <c r="J902" s="28">
        <v>0.0</v>
      </c>
      <c r="K902" s="25" t="s">
        <v>25</v>
      </c>
      <c r="L902" s="26">
        <v>4.0</v>
      </c>
      <c r="M902" s="26">
        <v>2.0</v>
      </c>
      <c r="N902" s="26">
        <v>1.0</v>
      </c>
      <c r="O902" s="26">
        <v>0.0</v>
      </c>
      <c r="P902" s="34">
        <v>1030.0</v>
      </c>
      <c r="Q902" s="35">
        <v>57.0</v>
      </c>
      <c r="R902" s="32">
        <v>45851.0</v>
      </c>
      <c r="S902" s="32">
        <v>45806.0</v>
      </c>
      <c r="T902" s="29"/>
      <c r="U902" s="33"/>
      <c r="V902" s="1"/>
    </row>
    <row r="903" ht="24.0" customHeight="1">
      <c r="A903" s="1"/>
      <c r="B903" s="24" t="str">
        <f>HYPERLINK("https://www.compass.com/listing/46-06-88th-street-unit-5b-queens-ny-11373/1886497991140791361/view?agent_id=610d3f3370540700019b0833","46-06 88th Street, Unit 5B")</f>
        <v>46-06 88th Street, Unit 5B</v>
      </c>
      <c r="C903" s="25" t="s">
        <v>22</v>
      </c>
      <c r="D903" s="26" t="s">
        <v>23</v>
      </c>
      <c r="E903" s="27" t="str">
        <f>HYPERLINK("https://www.compass.com/building/46-06-88th-st-queens-ny-11373/293531496579456677/","46-06 88th St")</f>
        <v>46-06 88th St</v>
      </c>
      <c r="F903" s="25" t="s">
        <v>151</v>
      </c>
      <c r="G903" s="28">
        <v>598000.0</v>
      </c>
      <c r="H903" s="28">
        <v>816.0</v>
      </c>
      <c r="I903" s="28">
        <v>319.0</v>
      </c>
      <c r="J903" s="28">
        <v>68.0</v>
      </c>
      <c r="K903" s="25" t="s">
        <v>28</v>
      </c>
      <c r="L903" s="26">
        <v>4.0</v>
      </c>
      <c r="M903" s="26">
        <v>2.0</v>
      </c>
      <c r="N903" s="26">
        <v>1.0</v>
      </c>
      <c r="O903" s="30"/>
      <c r="P903" s="26">
        <v>733.0</v>
      </c>
      <c r="Q903" s="35">
        <v>8.0</v>
      </c>
      <c r="R903" s="32">
        <v>45858.0</v>
      </c>
      <c r="S903" s="32">
        <v>45854.0</v>
      </c>
      <c r="T903" s="29"/>
      <c r="U903" s="33"/>
      <c r="V903" s="1"/>
    </row>
    <row r="904" ht="24.0" customHeight="1">
      <c r="A904" s="1"/>
      <c r="B904" s="24" t="str">
        <f>HYPERLINK("https://www.compass.com/listing/353-east-104th-street-unit-6a-manhattan-ny-10029/1839345703768537417/view?agent_id=610d3f3370540700019b0833","353 East 104th Street, Unit 6A")</f>
        <v>353 East 104th Street, Unit 6A</v>
      </c>
      <c r="C904" s="25" t="s">
        <v>22</v>
      </c>
      <c r="D904" s="26" t="s">
        <v>23</v>
      </c>
      <c r="E904" s="27" t="str">
        <f>HYPERLINK("https://www.compass.com/building/observatory-place-manhattan-ny/292897061366516677/","Observatory Place")</f>
        <v>Observatory Place</v>
      </c>
      <c r="F904" s="25" t="s">
        <v>133</v>
      </c>
      <c r="G904" s="28">
        <v>675000.0</v>
      </c>
      <c r="H904" s="28">
        <v>823.0</v>
      </c>
      <c r="I904" s="28">
        <v>2093.0</v>
      </c>
      <c r="J904" s="28">
        <v>11502.0</v>
      </c>
      <c r="K904" s="25" t="s">
        <v>28</v>
      </c>
      <c r="L904" s="26">
        <v>4.0</v>
      </c>
      <c r="M904" s="26">
        <v>2.0</v>
      </c>
      <c r="N904" s="26">
        <v>1.0</v>
      </c>
      <c r="O904" s="26">
        <v>0.0</v>
      </c>
      <c r="P904" s="26">
        <v>820.0</v>
      </c>
      <c r="Q904" s="35">
        <v>74.0</v>
      </c>
      <c r="R904" s="32">
        <v>45858.0</v>
      </c>
      <c r="S904" s="32">
        <v>45789.0</v>
      </c>
      <c r="T904" s="29"/>
      <c r="U904" s="33"/>
      <c r="V904" s="1"/>
    </row>
    <row r="905" ht="24.0" customHeight="1">
      <c r="A905" s="1"/>
      <c r="B905" s="24" t="str">
        <f>HYPERLINK("https://www.compass.com/listing/800-5th-avenue-unit-4a-brooklyn-ny-11232/1809550847130142705/view?agent_id=610d3f3370540700019b0833","800 5th Avenue, Unit 4A")</f>
        <v>800 5th Avenue, Unit 4A</v>
      </c>
      <c r="C905" s="25" t="s">
        <v>22</v>
      </c>
      <c r="D905" s="26" t="s">
        <v>23</v>
      </c>
      <c r="E905" s="27" t="str">
        <f>HYPERLINK("https://www.compass.com/building/800-5th-ave-brooklyn-ny-11232/293528977522400101/","800 5th Ave")</f>
        <v>800 5th Ave</v>
      </c>
      <c r="F905" s="25" t="s">
        <v>155</v>
      </c>
      <c r="G905" s="28">
        <v>628000.0</v>
      </c>
      <c r="H905" s="28">
        <v>926.0</v>
      </c>
      <c r="I905" s="28">
        <v>638.0</v>
      </c>
      <c r="J905" s="28">
        <v>5681.0</v>
      </c>
      <c r="K905" s="25" t="s">
        <v>28</v>
      </c>
      <c r="L905" s="26">
        <v>4.0</v>
      </c>
      <c r="M905" s="26">
        <v>2.0</v>
      </c>
      <c r="N905" s="26">
        <v>0.0</v>
      </c>
      <c r="O905" s="30"/>
      <c r="P905" s="26">
        <v>678.0</v>
      </c>
      <c r="Q905" s="35">
        <v>115.0</v>
      </c>
      <c r="R905" s="32">
        <v>45838.0</v>
      </c>
      <c r="S905" s="32">
        <v>45748.0</v>
      </c>
      <c r="T905" s="29"/>
      <c r="U905" s="33"/>
      <c r="V905" s="1"/>
    </row>
    <row r="906" ht="24.0" customHeight="1">
      <c r="A906" s="1"/>
      <c r="B906" s="24" t="str">
        <f>HYPERLINK("https://www.compass.com/listing/160-central-park-south-unit-1714-manhattan-ny-10019/1595582146313947137/view?agent_id=610d3f3370540700019b0833","160 Central Park South, Unit 1714")</f>
        <v>160 Central Park South, Unit 1714</v>
      </c>
      <c r="C906" s="25" t="s">
        <v>22</v>
      </c>
      <c r="D906" s="26" t="s">
        <v>23</v>
      </c>
      <c r="E906" s="27" t="str">
        <f>HYPERLINK("https://www.compass.com/building/essex-house-manhattan-ny/281944082752794229/","Essex House")</f>
        <v>Essex House</v>
      </c>
      <c r="F906" s="25" t="s">
        <v>138</v>
      </c>
      <c r="G906" s="28">
        <v>2280000.0</v>
      </c>
      <c r="H906" s="28">
        <v>1790.0</v>
      </c>
      <c r="I906" s="28">
        <v>6648.0</v>
      </c>
      <c r="J906" s="28">
        <v>27936.0</v>
      </c>
      <c r="K906" s="25" t="s">
        <v>28</v>
      </c>
      <c r="L906" s="26">
        <v>5.0</v>
      </c>
      <c r="M906" s="26">
        <v>2.0</v>
      </c>
      <c r="N906" s="30"/>
      <c r="O906" s="30"/>
      <c r="P906" s="34">
        <v>1274.0</v>
      </c>
      <c r="Q906" s="35">
        <v>393.0</v>
      </c>
      <c r="R906" s="32">
        <v>45521.0</v>
      </c>
      <c r="S906" s="32">
        <v>45452.0</v>
      </c>
      <c r="T906" s="29"/>
      <c r="U906" s="33"/>
      <c r="V906" s="1"/>
    </row>
    <row r="907" ht="24.0" customHeight="1">
      <c r="A907" s="1"/>
      <c r="B907" s="24" t="str">
        <f>HYPERLINK("https://www.compass.com/listing/42-31-colden-street-unit-f6-queens-ny-11355/1860233337054895449/view?agent_id=610d3f3370540700019b0833","42-31 Colden Street, Unit F6")</f>
        <v>42-31 Colden Street, Unit F6</v>
      </c>
      <c r="C907" s="25" t="s">
        <v>22</v>
      </c>
      <c r="D907" s="26" t="s">
        <v>23</v>
      </c>
      <c r="E907" s="27" t="str">
        <f>HYPERLINK("https://www.compass.com/building/42-31-colden-st-queens-ny-11355/293526640699433669/","42-31 Colden St")</f>
        <v>42-31 Colden St</v>
      </c>
      <c r="F907" s="25" t="s">
        <v>185</v>
      </c>
      <c r="G907" s="28">
        <v>695000.0</v>
      </c>
      <c r="H907" s="28">
        <v>799.0</v>
      </c>
      <c r="I907" s="28">
        <v>1014.0</v>
      </c>
      <c r="J907" s="28">
        <v>5309.0</v>
      </c>
      <c r="K907" s="25" t="s">
        <v>28</v>
      </c>
      <c r="L907" s="26">
        <v>4.0</v>
      </c>
      <c r="M907" s="26">
        <v>2.0</v>
      </c>
      <c r="N907" s="26">
        <v>1.0</v>
      </c>
      <c r="O907" s="30"/>
      <c r="P907" s="26">
        <v>870.0</v>
      </c>
      <c r="Q907" s="35">
        <v>45.0</v>
      </c>
      <c r="R907" s="32">
        <v>45819.0</v>
      </c>
      <c r="S907" s="32">
        <v>45818.0</v>
      </c>
      <c r="T907" s="29"/>
      <c r="U907" s="33"/>
      <c r="V907" s="1"/>
    </row>
    <row r="908" ht="24.0" customHeight="1">
      <c r="A908" s="1"/>
      <c r="B908" s="24" t="str">
        <f>HYPERLINK("https://www.compass.com/listing/145-lincoln-avenue-unit-6x-staten-island-ny-10306/1884964835899013297/view?agent_id=610d3f3370540700019b0833","145 Lincoln Avenue, Unit 6X")</f>
        <v>145 Lincoln Avenue, Unit 6X</v>
      </c>
      <c r="C908" s="25" t="s">
        <v>22</v>
      </c>
      <c r="D908" s="26" t="s">
        <v>23</v>
      </c>
      <c r="E908" s="27" t="str">
        <f>HYPERLINK("https://www.compass.com/building/145-lincoln-ave-staten-island-ny-10306/293531419521670357/","145 Lincoln Ave")</f>
        <v>145 Lincoln Ave</v>
      </c>
      <c r="F908" s="25" t="s">
        <v>233</v>
      </c>
      <c r="G908" s="28">
        <v>428000.0</v>
      </c>
      <c r="H908" s="28">
        <v>476.0</v>
      </c>
      <c r="I908" s="28">
        <v>963.0</v>
      </c>
      <c r="J908" s="28">
        <v>4239.0</v>
      </c>
      <c r="K908" s="36"/>
      <c r="L908" s="26">
        <v>5.0</v>
      </c>
      <c r="M908" s="26">
        <v>2.0</v>
      </c>
      <c r="N908" s="26">
        <v>1.0</v>
      </c>
      <c r="O908" s="26">
        <v>0.0</v>
      </c>
      <c r="P908" s="26">
        <v>899.0</v>
      </c>
      <c r="Q908" s="35">
        <v>11.0</v>
      </c>
      <c r="R908" s="32">
        <v>45863.0</v>
      </c>
      <c r="S908" s="32">
        <v>45852.0</v>
      </c>
      <c r="T908" s="29"/>
      <c r="U908" s="33"/>
      <c r="V908" s="1"/>
    </row>
    <row r="909" ht="24.0" customHeight="1">
      <c r="A909" s="1"/>
      <c r="B909" s="24" t="str">
        <f>HYPERLINK("https://www.compass.com/listing/64-34-102nd-street-unit-3w-queens-ny-11374/1826718723340135385/view?agent_id=610d3f3370540700019b0833","64-34 102nd Street, Unit 3W")</f>
        <v>64-34 102nd Street, Unit 3W</v>
      </c>
      <c r="C909" s="25" t="s">
        <v>22</v>
      </c>
      <c r="D909" s="26" t="s">
        <v>23</v>
      </c>
      <c r="E909" s="27" t="str">
        <f>HYPERLINK("https://www.compass.com/building/64-34-102nd-st-queens-ny-11374/293527561047153317/","64-34 102nd St")</f>
        <v>64-34 102nd St</v>
      </c>
      <c r="F909" s="25" t="s">
        <v>166</v>
      </c>
      <c r="G909" s="28">
        <v>485000.0</v>
      </c>
      <c r="H909" s="28">
        <v>462.0</v>
      </c>
      <c r="I909" s="28">
        <v>1033.0</v>
      </c>
      <c r="J909" s="28">
        <v>0.0</v>
      </c>
      <c r="K909" s="25" t="s">
        <v>25</v>
      </c>
      <c r="L909" s="26">
        <v>4.0</v>
      </c>
      <c r="M909" s="26">
        <v>2.0</v>
      </c>
      <c r="N909" s="26">
        <v>1.0</v>
      </c>
      <c r="O909" s="30"/>
      <c r="P909" s="34">
        <v>1050.0</v>
      </c>
      <c r="Q909" s="35">
        <v>92.0</v>
      </c>
      <c r="R909" s="32">
        <v>45772.0</v>
      </c>
      <c r="S909" s="32">
        <v>45771.0</v>
      </c>
      <c r="T909" s="29"/>
      <c r="U909" s="33"/>
      <c r="V909" s="1"/>
    </row>
    <row r="910" ht="24.0" customHeight="1">
      <c r="A910" s="1"/>
      <c r="B910" s="24" t="str">
        <f>HYPERLINK("https://www.compass.com/listing/55-park-terrace-east-unit-b72-manhattan-ny-10034/1813968496863192153/view?agent_id=610d3f3370540700019b0833","55 Park Terrace East, Unit B72")</f>
        <v>55 Park Terrace East, Unit B72</v>
      </c>
      <c r="C910" s="25" t="s">
        <v>22</v>
      </c>
      <c r="D910" s="26" t="s">
        <v>23</v>
      </c>
      <c r="E910" s="27" t="str">
        <f>HYPERLINK("https://www.compass.com/building/park-terrace-gardens-manhattan-ny/567465100200062013/","Park Terrace Gardens")</f>
        <v>Park Terrace Gardens</v>
      </c>
      <c r="F910" s="25" t="s">
        <v>81</v>
      </c>
      <c r="G910" s="28">
        <v>489900.0</v>
      </c>
      <c r="H910" s="28">
        <v>502.0</v>
      </c>
      <c r="I910" s="28">
        <v>1666.0</v>
      </c>
      <c r="J910" s="28">
        <v>0.0</v>
      </c>
      <c r="K910" s="25" t="s">
        <v>25</v>
      </c>
      <c r="L910" s="26">
        <v>5.0</v>
      </c>
      <c r="M910" s="26">
        <v>2.0</v>
      </c>
      <c r="N910" s="26">
        <v>1.0</v>
      </c>
      <c r="O910" s="26">
        <v>0.0</v>
      </c>
      <c r="P910" s="26">
        <v>975.0</v>
      </c>
      <c r="Q910" s="35">
        <v>109.0</v>
      </c>
      <c r="R910" s="32">
        <v>45860.0</v>
      </c>
      <c r="S910" s="32">
        <v>45754.0</v>
      </c>
      <c r="T910" s="29"/>
      <c r="U910" s="33"/>
      <c r="V910" s="1"/>
    </row>
    <row r="911" ht="24.0" customHeight="1">
      <c r="A911" s="1"/>
      <c r="B911" s="24" t="str">
        <f>HYPERLINK("https://www.compass.com/listing/25-40-union-street-unit-1g-queens-ny-11354/1861871082010894113/view?agent_id=610d3f3370540700019b0833","25-40 Union Street, Unit 1G")</f>
        <v>25-40 Union Street, Unit 1G</v>
      </c>
      <c r="C911" s="25" t="s">
        <v>22</v>
      </c>
      <c r="D911" s="26" t="s">
        <v>23</v>
      </c>
      <c r="E911" s="27" t="str">
        <f>HYPERLINK("https://www.compass.com/building/25-40-union-st-queens-ny-11354/307443948876092709/","25-40 Union St")</f>
        <v>25-40 Union St</v>
      </c>
      <c r="F911" s="25" t="s">
        <v>185</v>
      </c>
      <c r="G911" s="28">
        <v>325000.0</v>
      </c>
      <c r="H911" s="28">
        <v>342.0</v>
      </c>
      <c r="I911" s="28">
        <v>1153.0</v>
      </c>
      <c r="J911" s="29"/>
      <c r="K911" s="25" t="s">
        <v>25</v>
      </c>
      <c r="L911" s="26">
        <v>5.0</v>
      </c>
      <c r="M911" s="26">
        <v>2.0</v>
      </c>
      <c r="N911" s="26">
        <v>1.0</v>
      </c>
      <c r="O911" s="30"/>
      <c r="P911" s="26">
        <v>950.0</v>
      </c>
      <c r="Q911" s="35">
        <v>43.0</v>
      </c>
      <c r="R911" s="32">
        <v>45821.0</v>
      </c>
      <c r="S911" s="32">
        <v>45820.0</v>
      </c>
      <c r="T911" s="29"/>
      <c r="U911" s="33"/>
      <c r="V911" s="1"/>
    </row>
    <row r="912" ht="24.0" customHeight="1">
      <c r="A912" s="1"/>
      <c r="B912" s="24" t="str">
        <f>HYPERLINK("https://www.compass.com/listing/99-60-63rd-road-unit-3k-queens-ny-11374/1851343793638955785/view?agent_id=610d3f3370540700019b0833","99-60 63rd Road, Unit 3K")</f>
        <v>99-60 63rd Road, Unit 3K</v>
      </c>
      <c r="C912" s="25" t="s">
        <v>22</v>
      </c>
      <c r="D912" s="26" t="s">
        <v>23</v>
      </c>
      <c r="E912" s="27" t="str">
        <f>HYPERLINK("https://www.compass.com/building/99-60-63rd-rd-queens-ny-11374/294843074106665285/","99-60 63rd Rd")</f>
        <v>99-60 63rd Rd</v>
      </c>
      <c r="F912" s="25" t="s">
        <v>166</v>
      </c>
      <c r="G912" s="28">
        <v>325000.0</v>
      </c>
      <c r="H912" s="29"/>
      <c r="I912" s="28">
        <v>1474.0</v>
      </c>
      <c r="J912" s="28">
        <v>0.0</v>
      </c>
      <c r="K912" s="25" t="s">
        <v>25</v>
      </c>
      <c r="L912" s="26">
        <v>5.0</v>
      </c>
      <c r="M912" s="26">
        <v>2.0</v>
      </c>
      <c r="N912" s="26">
        <v>1.0</v>
      </c>
      <c r="O912" s="30"/>
      <c r="P912" s="26">
        <v>0.0</v>
      </c>
      <c r="Q912" s="35">
        <v>58.0</v>
      </c>
      <c r="R912" s="32">
        <v>45806.0</v>
      </c>
      <c r="S912" s="32">
        <v>45805.0</v>
      </c>
      <c r="T912" s="29"/>
      <c r="U912" s="33"/>
      <c r="V912" s="1"/>
    </row>
    <row r="913" ht="24.0" customHeight="1">
      <c r="A913" s="1"/>
      <c r="B913" s="24" t="str">
        <f>HYPERLINK("https://www.compass.com/listing/920-east-17th-street-unit-208-brooklyn-ny-11230/1844907177306240697/view?agent_id=610d3f3370540700019b0833","920 East 17th Street, Unit 208")</f>
        <v>920 East 17th Street, Unit 208</v>
      </c>
      <c r="C913" s="25" t="s">
        <v>22</v>
      </c>
      <c r="D913" s="26" t="s">
        <v>23</v>
      </c>
      <c r="E913" s="27" t="str">
        <f>HYPERLINK("https://www.compass.com/building/terrace-gardens-plaza-brooklyn-ny/293416523777812613/","Terrace Gardens Plaza")</f>
        <v>Terrace Gardens Plaza</v>
      </c>
      <c r="F913" s="25" t="s">
        <v>34</v>
      </c>
      <c r="G913" s="28">
        <v>429000.0</v>
      </c>
      <c r="H913" s="29"/>
      <c r="I913" s="28">
        <v>1218.0</v>
      </c>
      <c r="J913" s="28">
        <v>0.0</v>
      </c>
      <c r="K913" s="25" t="s">
        <v>25</v>
      </c>
      <c r="L913" s="26">
        <v>4.0</v>
      </c>
      <c r="M913" s="26">
        <v>2.0</v>
      </c>
      <c r="N913" s="26">
        <v>1.0</v>
      </c>
      <c r="O913" s="30"/>
      <c r="P913" s="26">
        <v>0.0</v>
      </c>
      <c r="Q913" s="35">
        <v>67.0</v>
      </c>
      <c r="R913" s="32">
        <v>45797.0</v>
      </c>
      <c r="S913" s="32">
        <v>45796.0</v>
      </c>
      <c r="T913" s="29"/>
      <c r="U913" s="33"/>
      <c r="V913" s="1"/>
    </row>
    <row r="914" ht="24.0" customHeight="1">
      <c r="A914" s="1"/>
      <c r="B914" s="24" t="str">
        <f>HYPERLINK("https://www.compass.com/listing/811-5th-avenue-unit-201-brooklyn-ny-11232/1242628652774456105/view?agent_id=610d3f3370540700019b0833","811 5th Avenue, Unit 201")</f>
        <v>811 5th Avenue, Unit 201</v>
      </c>
      <c r="C914" s="25" t="s">
        <v>22</v>
      </c>
      <c r="D914" s="26" t="s">
        <v>23</v>
      </c>
      <c r="E914" s="27" t="str">
        <f>HYPERLINK("https://www.compass.com/building/811-5th-ave-brooklyn-ny-11232/293416847578082389/","811 5th Ave")</f>
        <v>811 5th Ave</v>
      </c>
      <c r="F914" s="25" t="s">
        <v>155</v>
      </c>
      <c r="G914" s="28">
        <v>849000.0</v>
      </c>
      <c r="H914" s="28">
        <v>866.0</v>
      </c>
      <c r="I914" s="28">
        <v>422.0</v>
      </c>
      <c r="J914" s="28">
        <v>36.0</v>
      </c>
      <c r="K914" s="25" t="s">
        <v>28</v>
      </c>
      <c r="L914" s="26">
        <v>4.0</v>
      </c>
      <c r="M914" s="26">
        <v>2.0</v>
      </c>
      <c r="N914" s="30"/>
      <c r="O914" s="30"/>
      <c r="P914" s="26">
        <v>980.0</v>
      </c>
      <c r="Q914" s="35">
        <v>898.0</v>
      </c>
      <c r="R914" s="32">
        <v>45861.0</v>
      </c>
      <c r="S914" s="32">
        <v>44965.0</v>
      </c>
      <c r="T914" s="29"/>
      <c r="U914" s="33"/>
      <c r="V914" s="1"/>
    </row>
    <row r="915" ht="24.0" customHeight="1">
      <c r="A915" s="1"/>
      <c r="B915" s="24" t="str">
        <f>HYPERLINK("https://www.compass.com/listing/150-15-72nd-road-unit-1a-queens-ny-11367/1879967343276074113/view?agent_id=610d3f3370540700019b0833","150-15 72nd Road, Unit 1A")</f>
        <v>150-15 72nd Road, Unit 1A</v>
      </c>
      <c r="C915" s="25" t="s">
        <v>22</v>
      </c>
      <c r="D915" s="26" t="s">
        <v>23</v>
      </c>
      <c r="E915" s="27" t="str">
        <f>HYPERLINK("https://www.compass.com/building/150-15-72nd-rd-queens-ny-11367/294837177754125717/","150-15 72nd Rd")</f>
        <v>150-15 72nd Rd</v>
      </c>
      <c r="F915" s="25" t="s">
        <v>142</v>
      </c>
      <c r="G915" s="28">
        <v>299000.0</v>
      </c>
      <c r="H915" s="28">
        <v>374.0</v>
      </c>
      <c r="I915" s="28">
        <v>1114.0</v>
      </c>
      <c r="J915" s="29"/>
      <c r="K915" s="25" t="s">
        <v>25</v>
      </c>
      <c r="L915" s="26">
        <v>5.0</v>
      </c>
      <c r="M915" s="26">
        <v>2.0</v>
      </c>
      <c r="N915" s="26">
        <v>1.0</v>
      </c>
      <c r="O915" s="30"/>
      <c r="P915" s="26">
        <v>800.0</v>
      </c>
      <c r="Q915" s="35">
        <v>17.0</v>
      </c>
      <c r="R915" s="32">
        <v>45852.0</v>
      </c>
      <c r="S915" s="32">
        <v>45845.0</v>
      </c>
      <c r="T915" s="29"/>
      <c r="U915" s="33"/>
      <c r="V915" s="1"/>
    </row>
    <row r="916" ht="24.0" customHeight="1">
      <c r="A916" s="1"/>
      <c r="B916" s="24" t="str">
        <f>HYPERLINK("https://www.compass.com/listing/2915-2935-west-5th-street-unit-13b-brooklyn-ny-11224/1862205445208209097/view?agent_id=610d3f3370540700019b0833","2915-2935 West 5th Street, Unit 13B")</f>
        <v>2915-2935 West 5th Street, Unit 13B</v>
      </c>
      <c r="C916" s="25" t="s">
        <v>22</v>
      </c>
      <c r="D916" s="26" t="s">
        <v>23</v>
      </c>
      <c r="E916" s="27" t="str">
        <f>HYPERLINK("https://www.compass.com/building/2915-2935-w-5th-st-brooklyn-ny-11224/436385997014995573/","2915-2935 W 5th St")</f>
        <v>2915-2935 W 5th St</v>
      </c>
      <c r="F916" s="25" t="s">
        <v>183</v>
      </c>
      <c r="G916" s="28">
        <v>499000.0</v>
      </c>
      <c r="H916" s="28">
        <v>499.0</v>
      </c>
      <c r="I916" s="28">
        <v>1100.0</v>
      </c>
      <c r="J916" s="28">
        <v>0.0</v>
      </c>
      <c r="K916" s="25" t="s">
        <v>25</v>
      </c>
      <c r="L916" s="26">
        <v>5.0</v>
      </c>
      <c r="M916" s="26">
        <v>2.0</v>
      </c>
      <c r="N916" s="26">
        <v>1.0</v>
      </c>
      <c r="O916" s="30"/>
      <c r="P916" s="34">
        <v>1000.0</v>
      </c>
      <c r="Q916" s="35">
        <v>43.0</v>
      </c>
      <c r="R916" s="32">
        <v>45821.0</v>
      </c>
      <c r="S916" s="32">
        <v>45820.0</v>
      </c>
      <c r="T916" s="29"/>
      <c r="U916" s="33"/>
      <c r="V916" s="1"/>
    </row>
    <row r="917" ht="24.0" customHeight="1">
      <c r="A917" s="1"/>
      <c r="B917" s="24" t="str">
        <f>HYPERLINK("https://www.compass.com/listing/33-45-90th-street-unit-5j-queens-ny-11372/1874773978031653457/view?agent_id=610d3f3370540700019b0833","33-45 90th Street, Unit 5J")</f>
        <v>33-45 90th Street, Unit 5J</v>
      </c>
      <c r="C917" s="25" t="s">
        <v>22</v>
      </c>
      <c r="D917" s="26" t="s">
        <v>23</v>
      </c>
      <c r="E917" s="27" t="str">
        <f>HYPERLINK("https://www.compass.com/building/the-inwood-queens-ny/294847515756957205/","The Inwood")</f>
        <v>The Inwood</v>
      </c>
      <c r="F917" s="25" t="s">
        <v>33</v>
      </c>
      <c r="G917" s="28">
        <v>378000.0</v>
      </c>
      <c r="H917" s="29"/>
      <c r="I917" s="28">
        <v>873.0</v>
      </c>
      <c r="J917" s="28">
        <v>0.0</v>
      </c>
      <c r="K917" s="25" t="s">
        <v>25</v>
      </c>
      <c r="L917" s="26">
        <v>4.0</v>
      </c>
      <c r="M917" s="26">
        <v>2.0</v>
      </c>
      <c r="N917" s="26">
        <v>1.0</v>
      </c>
      <c r="O917" s="26">
        <v>0.0</v>
      </c>
      <c r="P917" s="30"/>
      <c r="Q917" s="35">
        <v>25.0</v>
      </c>
      <c r="R917" s="32">
        <v>45845.0</v>
      </c>
      <c r="S917" s="32">
        <v>45838.0</v>
      </c>
      <c r="T917" s="29"/>
      <c r="U917" s="33"/>
      <c r="V917" s="1"/>
    </row>
    <row r="918" ht="24.0" customHeight="1">
      <c r="A918" s="1"/>
      <c r="B918" s="24" t="str">
        <f>HYPERLINK("https://www.compass.com/listing/33-25-90th-street-unit-5j-queens-ny-11372/1875358946495492137/view?agent_id=610d3f3370540700019b0833","33-25 90th Street, Unit 5J")</f>
        <v>33-25 90th Street, Unit 5J</v>
      </c>
      <c r="C918" s="25" t="s">
        <v>22</v>
      </c>
      <c r="D918" s="26" t="s">
        <v>23</v>
      </c>
      <c r="E918" s="27" t="str">
        <f>HYPERLINK("https://www.compass.com/building/33-25-90th-st-queens-ny-11372/293528739621375509/","33-25 90th St")</f>
        <v>33-25 90th St</v>
      </c>
      <c r="F918" s="25" t="s">
        <v>33</v>
      </c>
      <c r="G918" s="28">
        <v>378000.0</v>
      </c>
      <c r="H918" s="29"/>
      <c r="I918" s="28">
        <v>873.0</v>
      </c>
      <c r="J918" s="29"/>
      <c r="K918" s="25" t="s">
        <v>25</v>
      </c>
      <c r="L918" s="26">
        <v>4.0</v>
      </c>
      <c r="M918" s="26">
        <v>2.0</v>
      </c>
      <c r="N918" s="30"/>
      <c r="O918" s="30"/>
      <c r="P918" s="30"/>
      <c r="Q918" s="35">
        <v>25.0</v>
      </c>
      <c r="R918" s="32">
        <v>45862.0</v>
      </c>
      <c r="S918" s="32">
        <v>45838.0</v>
      </c>
      <c r="T918" s="29"/>
      <c r="U918" s="33"/>
      <c r="V918" s="1"/>
    </row>
    <row r="919" ht="24.0" customHeight="1">
      <c r="A919" s="1"/>
      <c r="B919" s="24" t="str">
        <f>HYPERLINK("https://www.compass.com/listing/72-park-terrace-west-unit-e28-manhattan-ny-10034/1800214800328647513/view?agent_id=610d3f3370540700019b0833","72 Park Terrace West, Unit E28")</f>
        <v>72 Park Terrace West, Unit E28</v>
      </c>
      <c r="C919" s="25" t="s">
        <v>22</v>
      </c>
      <c r="D919" s="26" t="s">
        <v>23</v>
      </c>
      <c r="E919" s="27" t="str">
        <f>HYPERLINK("https://www.compass.com/building/park-terrace-gardens-manhattan-ny/307447365354780613/","Park Terrace Gardens")</f>
        <v>Park Terrace Gardens</v>
      </c>
      <c r="F919" s="25" t="s">
        <v>81</v>
      </c>
      <c r="G919" s="28">
        <v>549900.0</v>
      </c>
      <c r="H919" s="28">
        <v>524.0</v>
      </c>
      <c r="I919" s="28">
        <v>1685.0</v>
      </c>
      <c r="J919" s="28">
        <v>0.0</v>
      </c>
      <c r="K919" s="25" t="s">
        <v>25</v>
      </c>
      <c r="L919" s="26">
        <v>5.0</v>
      </c>
      <c r="M919" s="26">
        <v>2.0</v>
      </c>
      <c r="N919" s="26">
        <v>1.0</v>
      </c>
      <c r="O919" s="26">
        <v>0.0</v>
      </c>
      <c r="P919" s="34">
        <v>1050.0</v>
      </c>
      <c r="Q919" s="35">
        <v>128.0</v>
      </c>
      <c r="R919" s="32">
        <v>45860.0</v>
      </c>
      <c r="S919" s="32">
        <v>45735.0</v>
      </c>
      <c r="T919" s="29"/>
      <c r="U919" s="33"/>
      <c r="V919" s="1"/>
    </row>
    <row r="920" ht="24.0" customHeight="1">
      <c r="A920" s="1"/>
      <c r="B920" s="24" t="str">
        <f>HYPERLINK("https://www.compass.com/listing/680-west-204th-street-unit-3f-manhattan-ny-10034/1786396078049362265/view?agent_id=610d3f3370540700019b0833","680 West 204th Street, Unit 3F")</f>
        <v>680 West 204th Street, Unit 3F</v>
      </c>
      <c r="C920" s="25" t="s">
        <v>22</v>
      </c>
      <c r="D920" s="26" t="s">
        <v>23</v>
      </c>
      <c r="E920" s="27" t="str">
        <f>HYPERLINK("https://www.compass.com/building/680-w-204th-st-manhattan-ny-10034/282060364311462373/","680 W 204th St")</f>
        <v>680 W 204th St</v>
      </c>
      <c r="F920" s="25" t="s">
        <v>81</v>
      </c>
      <c r="G920" s="28">
        <v>524000.0</v>
      </c>
      <c r="H920" s="28">
        <v>582.0</v>
      </c>
      <c r="I920" s="28">
        <v>0.0</v>
      </c>
      <c r="J920" s="28">
        <v>0.0</v>
      </c>
      <c r="K920" s="25" t="s">
        <v>25</v>
      </c>
      <c r="L920" s="26">
        <v>5.0</v>
      </c>
      <c r="M920" s="26">
        <v>2.0</v>
      </c>
      <c r="N920" s="26">
        <v>1.0</v>
      </c>
      <c r="O920" s="26">
        <v>0.0</v>
      </c>
      <c r="P920" s="26">
        <v>900.0</v>
      </c>
      <c r="Q920" s="35">
        <v>147.0</v>
      </c>
      <c r="R920" s="32">
        <v>45862.0</v>
      </c>
      <c r="S920" s="32">
        <v>45716.0</v>
      </c>
      <c r="T920" s="29"/>
      <c r="U920" s="33"/>
      <c r="V920" s="1"/>
    </row>
    <row r="921" ht="24.0" customHeight="1">
      <c r="A921" s="1"/>
      <c r="B921" s="24" t="str">
        <f>HYPERLINK("https://www.compass.com/listing/261-rudyard-street-staten-island-ny-10306/1882752429038819161/view?agent_id=610d3f3370540700019b0833","261 Rudyard Street")</f>
        <v>261 Rudyard Street</v>
      </c>
      <c r="C921" s="25" t="s">
        <v>22</v>
      </c>
      <c r="D921" s="26" t="s">
        <v>23</v>
      </c>
      <c r="E921" s="27" t="str">
        <f>HYPERLINK("https://www.compass.com/building/261-rudyard-st-staten-island-ny-10306/293529669423088181/","261 Rudyard St")</f>
        <v>261 Rudyard St</v>
      </c>
      <c r="F921" s="25" t="s">
        <v>234</v>
      </c>
      <c r="G921" s="28">
        <v>728000.0</v>
      </c>
      <c r="H921" s="28">
        <v>636.0</v>
      </c>
      <c r="I921" s="28">
        <v>396.0</v>
      </c>
      <c r="J921" s="28">
        <v>4748.0</v>
      </c>
      <c r="K921" s="25" t="s">
        <v>97</v>
      </c>
      <c r="L921" s="26">
        <v>4.0</v>
      </c>
      <c r="M921" s="26">
        <v>2.0</v>
      </c>
      <c r="N921" s="26">
        <v>1.0</v>
      </c>
      <c r="O921" s="26">
        <v>0.0</v>
      </c>
      <c r="P921" s="34">
        <v>1144.0</v>
      </c>
      <c r="Q921" s="35">
        <v>14.0</v>
      </c>
      <c r="R921" s="32">
        <v>45862.0</v>
      </c>
      <c r="S921" s="32">
        <v>45849.0</v>
      </c>
      <c r="T921" s="29"/>
      <c r="U921" s="33"/>
      <c r="V921" s="1"/>
    </row>
    <row r="922" ht="24.0" customHeight="1">
      <c r="A922" s="1"/>
      <c r="B922" s="24" t="str">
        <f>HYPERLINK("https://www.compass.com/listing/108-50-62nd-drive-unit-2r-queens-ny-11375/1885464104800952537/view?agent_id=610d3f3370540700019b0833","108-50 62nd Drive, Unit 2R")</f>
        <v>108-50 62nd Drive, Unit 2R</v>
      </c>
      <c r="C922" s="25" t="s">
        <v>22</v>
      </c>
      <c r="D922" s="26" t="s">
        <v>23</v>
      </c>
      <c r="E922" s="27" t="str">
        <f>HYPERLINK("https://www.compass.com/building/108-50-62nd-dr-queens-ny-11375/293531182551906741/","108-50 62nd Dr")</f>
        <v>108-50 62nd Dr</v>
      </c>
      <c r="F922" s="25" t="s">
        <v>83</v>
      </c>
      <c r="G922" s="28">
        <v>369000.0</v>
      </c>
      <c r="H922" s="28">
        <v>395.0</v>
      </c>
      <c r="I922" s="28">
        <v>1055.0</v>
      </c>
      <c r="J922" s="29"/>
      <c r="K922" s="25" t="s">
        <v>25</v>
      </c>
      <c r="L922" s="26">
        <v>4.0</v>
      </c>
      <c r="M922" s="26">
        <v>2.0</v>
      </c>
      <c r="N922" s="26">
        <v>1.0</v>
      </c>
      <c r="O922" s="30"/>
      <c r="P922" s="26">
        <v>935.0</v>
      </c>
      <c r="Q922" s="35">
        <v>10.0</v>
      </c>
      <c r="R922" s="32">
        <v>45854.0</v>
      </c>
      <c r="S922" s="32">
        <v>45853.0</v>
      </c>
      <c r="T922" s="29"/>
      <c r="U922" s="33"/>
      <c r="V922" s="1"/>
    </row>
    <row r="923" ht="24.0" customHeight="1">
      <c r="A923" s="1"/>
      <c r="B923" s="24" t="str">
        <f>HYPERLINK("https://www.compass.com/listing/160-54-willets-point-boulevard-unit-4206-queens-ny-11357/1868221967366677537/view?agent_id=610d3f3370540700019b0833","160-54 Willets Point Boulevard, Unit 4206")</f>
        <v>160-54 Willets Point Boulevard, Unit 4206</v>
      </c>
      <c r="C923" s="25" t="s">
        <v>22</v>
      </c>
      <c r="D923" s="26" t="s">
        <v>23</v>
      </c>
      <c r="E923" s="27" t="str">
        <f>HYPERLINK("https://www.compass.com/building/160-54-willets-point-blvd-queens-ny-11357/381309659823789429/","160-54 Willets Point Blvd")</f>
        <v>160-54 Willets Point Blvd</v>
      </c>
      <c r="F923" s="25" t="s">
        <v>164</v>
      </c>
      <c r="G923" s="28">
        <v>309000.0</v>
      </c>
      <c r="H923" s="28">
        <v>429.0</v>
      </c>
      <c r="I923" s="28">
        <v>1239.0</v>
      </c>
      <c r="J923" s="29"/>
      <c r="K923" s="25" t="s">
        <v>25</v>
      </c>
      <c r="L923" s="26">
        <v>5.0</v>
      </c>
      <c r="M923" s="26">
        <v>2.0</v>
      </c>
      <c r="N923" s="26">
        <v>1.0</v>
      </c>
      <c r="O923" s="30"/>
      <c r="P923" s="26">
        <v>720.0</v>
      </c>
      <c r="Q923" s="35">
        <v>33.0</v>
      </c>
      <c r="R923" s="32">
        <v>45833.0</v>
      </c>
      <c r="S923" s="32">
        <v>45829.0</v>
      </c>
      <c r="T923" s="29"/>
      <c r="U923" s="33"/>
      <c r="V923" s="1"/>
    </row>
    <row r="924" ht="24.0" customHeight="1">
      <c r="A924" s="1"/>
      <c r="B924" s="24" t="str">
        <f>HYPERLINK("https://www.compass.com/listing/40-east-43rd-street-unit-3b-brooklyn-ny-11203/1685747514457596249/view?agent_id=610d3f3370540700019b0833","40 East 43rd Street, Unit 3B")</f>
        <v>40 East 43rd Street, Unit 3B</v>
      </c>
      <c r="C924" s="25" t="s">
        <v>22</v>
      </c>
      <c r="D924" s="26" t="s">
        <v>23</v>
      </c>
      <c r="E924" s="27" t="str">
        <f>HYPERLINK("https://www.compass.com/building/40-e-43rd-st-brooklyn-ny-11203/307456734599354165/","40 E 43rd St")</f>
        <v>40 E 43rd St</v>
      </c>
      <c r="F924" s="25" t="s">
        <v>123</v>
      </c>
      <c r="G924" s="28">
        <v>289999.0</v>
      </c>
      <c r="H924" s="28">
        <v>290.0</v>
      </c>
      <c r="I924" s="28">
        <v>800.0</v>
      </c>
      <c r="J924" s="28">
        <v>0.0</v>
      </c>
      <c r="K924" s="25" t="s">
        <v>25</v>
      </c>
      <c r="L924" s="26">
        <v>5.0</v>
      </c>
      <c r="M924" s="26">
        <v>2.0</v>
      </c>
      <c r="N924" s="26">
        <v>1.0</v>
      </c>
      <c r="O924" s="30"/>
      <c r="P924" s="34">
        <v>1000.0</v>
      </c>
      <c r="Q924" s="35">
        <v>238.0</v>
      </c>
      <c r="R924" s="32">
        <v>45752.0</v>
      </c>
      <c r="S924" s="32">
        <v>45577.0</v>
      </c>
      <c r="T924" s="29"/>
      <c r="U924" s="33"/>
      <c r="V924" s="1"/>
    </row>
    <row r="925" ht="24.0" customHeight="1">
      <c r="A925" s="1"/>
      <c r="B925" s="24" t="str">
        <f>HYPERLINK("https://www.compass.com/listing/2140-east-tremont-avenue-unit-1a-bronx-ny-10462/1867543671142193385/view?agent_id=610d3f3370540700019b0833","2140 East Tremont Avenue, Unit 1A")</f>
        <v>2140 East Tremont Avenue, Unit 1A</v>
      </c>
      <c r="C925" s="25" t="s">
        <v>22</v>
      </c>
      <c r="D925" s="26" t="s">
        <v>23</v>
      </c>
      <c r="E925" s="27" t="str">
        <f>HYPERLINK("https://www.compass.com/building/2140-e-tremont-ave-bronx-ny-10462/307442365199278997/","2140 E Tremont Ave")</f>
        <v>2140 E Tremont Ave</v>
      </c>
      <c r="F925" s="25" t="s">
        <v>129</v>
      </c>
      <c r="G925" s="28">
        <v>349500.0</v>
      </c>
      <c r="H925" s="28">
        <v>421.0</v>
      </c>
      <c r="I925" s="28">
        <v>1146.0</v>
      </c>
      <c r="J925" s="28">
        <v>1608.0</v>
      </c>
      <c r="K925" s="25" t="s">
        <v>28</v>
      </c>
      <c r="L925" s="26">
        <v>3.0</v>
      </c>
      <c r="M925" s="26">
        <v>2.0</v>
      </c>
      <c r="N925" s="26">
        <v>1.0</v>
      </c>
      <c r="O925" s="30"/>
      <c r="P925" s="26">
        <v>830.0</v>
      </c>
      <c r="Q925" s="35">
        <v>35.0</v>
      </c>
      <c r="R925" s="32">
        <v>45851.0</v>
      </c>
      <c r="S925" s="32">
        <v>45828.0</v>
      </c>
      <c r="T925" s="29"/>
      <c r="U925" s="33"/>
      <c r="V925" s="1"/>
    </row>
    <row r="926" ht="24.0" customHeight="1">
      <c r="A926" s="1"/>
      <c r="B926" s="24" t="str">
        <f>HYPERLINK("https://www.compass.com/listing/141-hampton-green-staten-island-ny-10312/1882203372097165985/view?agent_id=610d3f3370540700019b0833","141 Hampton Green")</f>
        <v>141 Hampton Green</v>
      </c>
      <c r="C926" s="25" t="s">
        <v>22</v>
      </c>
      <c r="D926" s="26" t="s">
        <v>23</v>
      </c>
      <c r="E926" s="27" t="str">
        <f>HYPERLINK("https://www.compass.com/building/141-hampton-green-staten-island-ny-10312/293530969959330117/","141 Hampton Green")</f>
        <v>141 Hampton Green</v>
      </c>
      <c r="F926" s="25" t="s">
        <v>235</v>
      </c>
      <c r="G926" s="28">
        <v>624888.0</v>
      </c>
      <c r="H926" s="28">
        <v>574.0</v>
      </c>
      <c r="I926" s="28">
        <v>444.0</v>
      </c>
      <c r="J926" s="28">
        <v>4448.0</v>
      </c>
      <c r="K926" s="25" t="s">
        <v>36</v>
      </c>
      <c r="L926" s="26">
        <v>5.0</v>
      </c>
      <c r="M926" s="26">
        <v>2.0</v>
      </c>
      <c r="N926" s="26">
        <v>1.0</v>
      </c>
      <c r="O926" s="26">
        <v>0.0</v>
      </c>
      <c r="P926" s="34">
        <v>1088.0</v>
      </c>
      <c r="Q926" s="35">
        <v>16.0</v>
      </c>
      <c r="R926" s="32">
        <v>45859.0</v>
      </c>
      <c r="S926" s="32">
        <v>45847.0</v>
      </c>
      <c r="T926" s="29"/>
      <c r="U926" s="33"/>
      <c r="V926" s="1"/>
    </row>
    <row r="927" ht="24.0" customHeight="1">
      <c r="A927" s="1"/>
      <c r="B927" s="24" t="str">
        <f>HYPERLINK("https://www.compass.com/listing/811-walton-avenue-unit-b24-bronx-ny-10451/1836328245791553761/view?agent_id=610d3f3370540700019b0833","811 Walton Avenue, Unit B24")</f>
        <v>811 Walton Avenue, Unit B24</v>
      </c>
      <c r="C927" s="25" t="s">
        <v>22</v>
      </c>
      <c r="D927" s="26" t="s">
        <v>23</v>
      </c>
      <c r="E927" s="27" t="str">
        <f>HYPERLINK("https://www.compass.com/building/811-walton-ave-bronx-ny-10451/293417358620366149/","811 Walton Ave")</f>
        <v>811 Walton Ave</v>
      </c>
      <c r="F927" s="25" t="s">
        <v>217</v>
      </c>
      <c r="G927" s="28">
        <v>405000.0</v>
      </c>
      <c r="H927" s="29"/>
      <c r="I927" s="28">
        <v>1319.0</v>
      </c>
      <c r="J927" s="28">
        <v>0.0</v>
      </c>
      <c r="K927" s="25" t="s">
        <v>25</v>
      </c>
      <c r="L927" s="26">
        <v>5.0</v>
      </c>
      <c r="M927" s="26">
        <v>2.0</v>
      </c>
      <c r="N927" s="26">
        <v>1.0</v>
      </c>
      <c r="O927" s="30"/>
      <c r="P927" s="26">
        <v>0.0</v>
      </c>
      <c r="Q927" s="35">
        <v>79.0</v>
      </c>
      <c r="R927" s="32">
        <v>45801.0</v>
      </c>
      <c r="S927" s="32">
        <v>45784.0</v>
      </c>
      <c r="T927" s="29"/>
      <c r="U927" s="33"/>
      <c r="V927" s="1"/>
    </row>
    <row r="928" ht="24.0" customHeight="1">
      <c r="A928" s="1"/>
      <c r="B928" s="24" t="str">
        <f>HYPERLINK("https://www.compass.com/listing/140-39-34th-avenue-unit-2t-queens-ny-11354/1885695564531422041/view?agent_id=610d3f3370540700019b0833","140-39 34th Avenue, Unit 2T")</f>
        <v>140-39 34th Avenue, Unit 2T</v>
      </c>
      <c r="C928" s="25" t="s">
        <v>22</v>
      </c>
      <c r="D928" s="26" t="s">
        <v>23</v>
      </c>
      <c r="E928" s="27" t="str">
        <f>HYPERLINK("https://www.compass.com/building/140-39-34th-ave-queens-ny-11354/307455694881920949/","140-39 34th Ave")</f>
        <v>140-39 34th Ave</v>
      </c>
      <c r="F928" s="25" t="s">
        <v>185</v>
      </c>
      <c r="G928" s="28">
        <v>349000.0</v>
      </c>
      <c r="H928" s="28">
        <v>349.0</v>
      </c>
      <c r="I928" s="28">
        <v>1302.0</v>
      </c>
      <c r="J928" s="29"/>
      <c r="K928" s="25" t="s">
        <v>25</v>
      </c>
      <c r="L928" s="26">
        <v>5.0</v>
      </c>
      <c r="M928" s="26">
        <v>2.0</v>
      </c>
      <c r="N928" s="26">
        <v>1.0</v>
      </c>
      <c r="O928" s="30"/>
      <c r="P928" s="34">
        <v>1000.0</v>
      </c>
      <c r="Q928" s="35">
        <v>10.0</v>
      </c>
      <c r="R928" s="32">
        <v>45863.0</v>
      </c>
      <c r="S928" s="32">
        <v>45853.0</v>
      </c>
      <c r="T928" s="29"/>
      <c r="U928" s="33"/>
      <c r="V928" s="1"/>
    </row>
    <row r="929" ht="24.0" customHeight="1">
      <c r="A929" s="1"/>
      <c r="B929" s="24" t="str">
        <f>HYPERLINK("https://www.compass.com/listing/687-west-204th-street-unit-1e-manhattan-ny-10034/1801536907510142121/view?agent_id=610d3f3370540700019b0833","687 West 204th Street, Unit 1E")</f>
        <v>687 West 204th Street, Unit 1E</v>
      </c>
      <c r="C929" s="25" t="s">
        <v>22</v>
      </c>
      <c r="D929" s="26" t="s">
        <v>23</v>
      </c>
      <c r="E929" s="27" t="str">
        <f>HYPERLINK("https://www.compass.com/building/687-w-204th-st-manhattan-ny-10034/294837901170930789/","687 W 204th St")</f>
        <v>687 W 204th St</v>
      </c>
      <c r="F929" s="25" t="s">
        <v>81</v>
      </c>
      <c r="G929" s="28">
        <v>450000.0</v>
      </c>
      <c r="H929" s="28">
        <v>474.0</v>
      </c>
      <c r="I929" s="28">
        <v>1146.0</v>
      </c>
      <c r="J929" s="28">
        <v>0.0</v>
      </c>
      <c r="K929" s="25" t="s">
        <v>25</v>
      </c>
      <c r="L929" s="26">
        <v>4.0</v>
      </c>
      <c r="M929" s="26">
        <v>2.0</v>
      </c>
      <c r="N929" s="26">
        <v>1.0</v>
      </c>
      <c r="O929" s="26">
        <v>0.0</v>
      </c>
      <c r="P929" s="26">
        <v>950.0</v>
      </c>
      <c r="Q929" s="35">
        <v>126.0</v>
      </c>
      <c r="R929" s="32">
        <v>45850.0</v>
      </c>
      <c r="S929" s="32">
        <v>45737.0</v>
      </c>
      <c r="T929" s="29"/>
      <c r="U929" s="33"/>
      <c r="V929" s="1"/>
    </row>
    <row r="930" ht="24.0" customHeight="1">
      <c r="A930" s="1"/>
      <c r="B930" s="24" t="str">
        <f>HYPERLINK("https://www.compass.com/listing/24-01-queens-plaza-north-unit-1404-queens-ny-11101/1857789313391463769/view?agent_id=610d3f3370540700019b0833","24-01 Queens Plaza North, Unit 1404")</f>
        <v>24-01 Queens Plaza North, Unit 1404</v>
      </c>
      <c r="C930" s="25" t="s">
        <v>22</v>
      </c>
      <c r="D930" s="26" t="s">
        <v>23</v>
      </c>
      <c r="E930" s="27" t="str">
        <f>HYPERLINK("https://www.compass.com/building/24-01-queens-plaza-n-queens-ny-11101/293417438043735717/","24-01 Queens Plaza N")</f>
        <v>24-01 Queens Plaza N</v>
      </c>
      <c r="F930" s="25" t="s">
        <v>215</v>
      </c>
      <c r="G930" s="28">
        <v>1515000.0</v>
      </c>
      <c r="H930" s="28">
        <v>2001.0</v>
      </c>
      <c r="I930" s="28">
        <v>1738.0</v>
      </c>
      <c r="J930" s="28">
        <v>9348.0</v>
      </c>
      <c r="K930" s="25" t="s">
        <v>28</v>
      </c>
      <c r="L930" s="26">
        <v>4.0</v>
      </c>
      <c r="M930" s="26">
        <v>2.0</v>
      </c>
      <c r="N930" s="26">
        <v>1.0</v>
      </c>
      <c r="O930" s="26">
        <v>0.0</v>
      </c>
      <c r="P930" s="26">
        <v>757.0</v>
      </c>
      <c r="Q930" s="35">
        <v>47.0</v>
      </c>
      <c r="R930" s="32">
        <v>45859.0</v>
      </c>
      <c r="S930" s="32">
        <v>45816.0</v>
      </c>
      <c r="T930" s="29"/>
      <c r="U930" s="33"/>
      <c r="V930" s="1"/>
    </row>
    <row r="931" ht="24.0" customHeight="1">
      <c r="A931" s="1"/>
      <c r="B931" s="24" t="str">
        <f>HYPERLINK("https://www.compass.com/listing/230-west-56th-street-unit-56f-manhattan-ny-10019/1838959043306113665/view?agent_id=610d3f3370540700019b0833","230 West 56th Street, Unit 56F")</f>
        <v>230 West 56th Street, Unit 56F</v>
      </c>
      <c r="C931" s="25" t="s">
        <v>22</v>
      </c>
      <c r="D931" s="26" t="s">
        <v>23</v>
      </c>
      <c r="E931" s="27" t="str">
        <f>HYPERLINK("https://www.compass.com/building/the-park-imperial-manhattan-ny/281944268837285637/","The Park Imperial")</f>
        <v>The Park Imperial</v>
      </c>
      <c r="F931" s="25" t="s">
        <v>67</v>
      </c>
      <c r="G931" s="28">
        <v>3650000.0</v>
      </c>
      <c r="H931" s="28">
        <v>2471.0</v>
      </c>
      <c r="I931" s="28">
        <v>4536.0</v>
      </c>
      <c r="J931" s="28">
        <v>24360.0</v>
      </c>
      <c r="K931" s="25" t="s">
        <v>28</v>
      </c>
      <c r="L931" s="26">
        <v>4.0</v>
      </c>
      <c r="M931" s="26">
        <v>2.0</v>
      </c>
      <c r="N931" s="30"/>
      <c r="O931" s="30"/>
      <c r="P931" s="34">
        <v>1477.0</v>
      </c>
      <c r="Q931" s="35">
        <v>555.0</v>
      </c>
      <c r="R931" s="32">
        <v>45307.0</v>
      </c>
      <c r="S931" s="32">
        <v>45307.0</v>
      </c>
      <c r="T931" s="29"/>
      <c r="U931" s="33"/>
      <c r="V931" s="1"/>
    </row>
    <row r="932" ht="24.0" customHeight="1">
      <c r="A932" s="1"/>
      <c r="B932" s="24" t="str">
        <f>HYPERLINK("https://www.compass.com/listing/66-92-selfridge-street-unit-1b-queens-ny-11375/1867944884916625249/view?agent_id=610d3f3370540700019b0833","66-92 Selfridge Street, Unit 1B")</f>
        <v>66-92 Selfridge Street, Unit 1B</v>
      </c>
      <c r="C932" s="25" t="s">
        <v>22</v>
      </c>
      <c r="D932" s="26" t="s">
        <v>23</v>
      </c>
      <c r="E932" s="27" t="str">
        <f>HYPERLINK("https://www.compass.com/building/66-92-selfridge-st-queens-ny-11375/307436047654503381/","66-92 Selfridge St")</f>
        <v>66-92 Selfridge St</v>
      </c>
      <c r="F932" s="25" t="s">
        <v>83</v>
      </c>
      <c r="G932" s="28">
        <v>389000.0</v>
      </c>
      <c r="H932" s="29"/>
      <c r="I932" s="28">
        <v>892.0</v>
      </c>
      <c r="J932" s="28">
        <v>0.0</v>
      </c>
      <c r="K932" s="25" t="s">
        <v>25</v>
      </c>
      <c r="L932" s="26">
        <v>6.0</v>
      </c>
      <c r="M932" s="26">
        <v>2.0</v>
      </c>
      <c r="N932" s="26">
        <v>1.0</v>
      </c>
      <c r="O932" s="30"/>
      <c r="P932" s="26">
        <v>0.0</v>
      </c>
      <c r="Q932" s="35">
        <v>35.0</v>
      </c>
      <c r="R932" s="32">
        <v>45829.0</v>
      </c>
      <c r="S932" s="32">
        <v>45828.0</v>
      </c>
      <c r="T932" s="29"/>
      <c r="U932" s="33"/>
      <c r="V932" s="1"/>
    </row>
    <row r="933" ht="24.0" customHeight="1">
      <c r="A933" s="1"/>
      <c r="B933" s="24" t="str">
        <f>HYPERLINK("https://www.compass.com/listing/72-park-terrace-west-unit-e48-manhattan-ny-10034/1814614043240177913/view?agent_id=610d3f3370540700019b0833","72 Park Terrace West, Unit E48")</f>
        <v>72 Park Terrace West, Unit E48</v>
      </c>
      <c r="C933" s="25" t="s">
        <v>22</v>
      </c>
      <c r="D933" s="26" t="s">
        <v>23</v>
      </c>
      <c r="E933" s="27" t="str">
        <f>HYPERLINK("https://www.compass.com/building/park-terrace-gardens-manhattan-ny/307447365354780613/","Park Terrace Gardens")</f>
        <v>Park Terrace Gardens</v>
      </c>
      <c r="F933" s="25" t="s">
        <v>81</v>
      </c>
      <c r="G933" s="28">
        <v>855000.0</v>
      </c>
      <c r="H933" s="29"/>
      <c r="I933" s="28">
        <v>1717.0</v>
      </c>
      <c r="J933" s="28">
        <v>0.0</v>
      </c>
      <c r="K933" s="25" t="s">
        <v>25</v>
      </c>
      <c r="L933" s="26">
        <v>5.0</v>
      </c>
      <c r="M933" s="26">
        <v>2.0</v>
      </c>
      <c r="N933" s="26">
        <v>1.0</v>
      </c>
      <c r="O933" s="26">
        <v>0.0</v>
      </c>
      <c r="P933" s="30"/>
      <c r="Q933" s="35">
        <v>108.0</v>
      </c>
      <c r="R933" s="32">
        <v>45862.0</v>
      </c>
      <c r="S933" s="32">
        <v>45755.0</v>
      </c>
      <c r="T933" s="29"/>
      <c r="U933" s="33"/>
      <c r="V933" s="1"/>
    </row>
    <row r="934" ht="24.0" customHeight="1">
      <c r="A934" s="1"/>
      <c r="B934" s="24" t="str">
        <f>HYPERLINK("https://www.compass.com/listing/41-38-college-point-boulevard-unit-4a-queens-ny-11355/1867545696235970089/view?agent_id=610d3f3370540700019b0833","41-38 College Point Boulevard, Unit 4A")</f>
        <v>41-38 College Point Boulevard, Unit 4A</v>
      </c>
      <c r="C934" s="25" t="s">
        <v>22</v>
      </c>
      <c r="D934" s="26" t="s">
        <v>23</v>
      </c>
      <c r="E934" s="27" t="str">
        <f>HYPERLINK("https://www.compass.com/building/41-38-college-point-blvd-queens-ny-11355/293532231882799589/","41-38 College Point Blvd")</f>
        <v>41-38 College Point Blvd</v>
      </c>
      <c r="F934" s="25" t="s">
        <v>185</v>
      </c>
      <c r="G934" s="28">
        <v>565000.0</v>
      </c>
      <c r="H934" s="28">
        <v>843.0</v>
      </c>
      <c r="I934" s="28">
        <v>383.0</v>
      </c>
      <c r="J934" s="28">
        <v>157.0</v>
      </c>
      <c r="K934" s="25" t="s">
        <v>28</v>
      </c>
      <c r="L934" s="26">
        <v>3.0</v>
      </c>
      <c r="M934" s="26">
        <v>2.0</v>
      </c>
      <c r="N934" s="26">
        <v>1.0</v>
      </c>
      <c r="O934" s="30"/>
      <c r="P934" s="26">
        <v>670.0</v>
      </c>
      <c r="Q934" s="35">
        <v>34.0</v>
      </c>
      <c r="R934" s="32">
        <v>45830.0</v>
      </c>
      <c r="S934" s="32">
        <v>45828.0</v>
      </c>
      <c r="T934" s="29"/>
      <c r="U934" s="33"/>
      <c r="V934" s="1"/>
    </row>
    <row r="935" ht="24.0" customHeight="1">
      <c r="A935" s="1"/>
      <c r="B935" s="24" t="str">
        <f>HYPERLINK("https://www.compass.com/listing/770-ocean-parkway-unit-4k-brooklyn-ny-11230/1885161318715991017/view?agent_id=610d3f3370540700019b0833","770 Ocean Parkway, Unit 4K")</f>
        <v>770 Ocean Parkway, Unit 4K</v>
      </c>
      <c r="C935" s="25" t="s">
        <v>22</v>
      </c>
      <c r="D935" s="26" t="s">
        <v>23</v>
      </c>
      <c r="E935" s="27" t="str">
        <f>HYPERLINK("https://www.compass.com/building/770-ocean-pkwy-brooklyn-ny-11230/293528287215427653/","770 Ocean Pkwy")</f>
        <v>770 Ocean Pkwy</v>
      </c>
      <c r="F935" s="25" t="s">
        <v>34</v>
      </c>
      <c r="G935" s="28">
        <v>479000.0</v>
      </c>
      <c r="H935" s="29"/>
      <c r="I935" s="28">
        <v>1269.0</v>
      </c>
      <c r="J935" s="28">
        <v>0.0</v>
      </c>
      <c r="K935" s="25" t="s">
        <v>25</v>
      </c>
      <c r="L935" s="26">
        <v>4.0</v>
      </c>
      <c r="M935" s="26">
        <v>2.0</v>
      </c>
      <c r="N935" s="26">
        <v>1.0</v>
      </c>
      <c r="O935" s="26">
        <v>0.0</v>
      </c>
      <c r="P935" s="30"/>
      <c r="Q935" s="35">
        <v>11.0</v>
      </c>
      <c r="R935" s="32">
        <v>45861.0</v>
      </c>
      <c r="S935" s="32">
        <v>45852.0</v>
      </c>
      <c r="T935" s="29"/>
      <c r="U935" s="33"/>
      <c r="V935" s="1"/>
    </row>
    <row r="936" ht="24.0" customHeight="1">
      <c r="A936" s="1"/>
      <c r="B936" s="24" t="str">
        <f>HYPERLINK("https://www.compass.com/listing/144-85-roosevelt-avenue-unit-5e-queens-ny-11354/1864617692785917553/view?agent_id=610d3f3370540700019b0833","144-85 Roosevelt Avenue, Unit 5E")</f>
        <v>144-85 Roosevelt Avenue, Unit 5E</v>
      </c>
      <c r="C936" s="25" t="s">
        <v>22</v>
      </c>
      <c r="D936" s="26" t="s">
        <v>23</v>
      </c>
      <c r="E936" s="27" t="str">
        <f>HYPERLINK("https://www.compass.com/building/144-85-roosevelt-ave-queens-ny-11354/293535114745380709/","144-85 Roosevelt Ave")</f>
        <v>144-85 Roosevelt Ave</v>
      </c>
      <c r="F936" s="25" t="s">
        <v>160</v>
      </c>
      <c r="G936" s="28">
        <v>538000.0</v>
      </c>
      <c r="H936" s="28">
        <v>769.0</v>
      </c>
      <c r="I936" s="28">
        <v>1229.0</v>
      </c>
      <c r="J936" s="28">
        <v>9150.0</v>
      </c>
      <c r="K936" s="25" t="s">
        <v>28</v>
      </c>
      <c r="L936" s="26">
        <v>5.0</v>
      </c>
      <c r="M936" s="26">
        <v>2.0</v>
      </c>
      <c r="N936" s="26">
        <v>1.0</v>
      </c>
      <c r="O936" s="30"/>
      <c r="P936" s="26">
        <v>700.0</v>
      </c>
      <c r="Q936" s="35">
        <v>39.0</v>
      </c>
      <c r="R936" s="32">
        <v>45832.0</v>
      </c>
      <c r="S936" s="32">
        <v>45824.0</v>
      </c>
      <c r="T936" s="29"/>
      <c r="U936" s="33"/>
      <c r="V936" s="1"/>
    </row>
    <row r="937" ht="24.0" customHeight="1">
      <c r="A937" s="1"/>
      <c r="B937" s="24" t="str">
        <f>HYPERLINK("https://www.compass.com/listing/720-west-173rd-street-unit-56-manhattan-ny-10032/1805888110315192409/view?agent_id=610d3f3370540700019b0833","720 West 173rd Street, Unit 56")</f>
        <v>720 West 173rd Street, Unit 56</v>
      </c>
      <c r="C937" s="25" t="s">
        <v>22</v>
      </c>
      <c r="D937" s="26" t="s">
        <v>23</v>
      </c>
      <c r="E937" s="27" t="str">
        <f>HYPERLINK("https://www.compass.com/building/720-w-173rd-st-manhattan-ny-10032/282009189667175509/","720 W 173rd St")</f>
        <v>720 W 173rd St</v>
      </c>
      <c r="F937" s="25" t="s">
        <v>77</v>
      </c>
      <c r="G937" s="28">
        <v>549000.0</v>
      </c>
      <c r="H937" s="28">
        <v>549.0</v>
      </c>
      <c r="I937" s="28">
        <v>1274.0</v>
      </c>
      <c r="J937" s="28">
        <v>0.0</v>
      </c>
      <c r="K937" s="25" t="s">
        <v>25</v>
      </c>
      <c r="L937" s="26">
        <v>4.0</v>
      </c>
      <c r="M937" s="26">
        <v>2.0</v>
      </c>
      <c r="N937" s="26">
        <v>1.0</v>
      </c>
      <c r="O937" s="26">
        <v>0.0</v>
      </c>
      <c r="P937" s="34">
        <v>1000.0</v>
      </c>
      <c r="Q937" s="35">
        <v>127.0</v>
      </c>
      <c r="R937" s="32">
        <v>45860.0</v>
      </c>
      <c r="S937" s="32">
        <v>45736.0</v>
      </c>
      <c r="T937" s="29"/>
      <c r="U937" s="33"/>
      <c r="V937" s="1"/>
    </row>
    <row r="938" ht="24.0" customHeight="1">
      <c r="A938" s="1"/>
      <c r="B938" s="24" t="str">
        <f>HYPERLINK("https://www.compass.com/listing/551-west-160th-street-unit-4d-manhattan-ny-10032/1787116752984248641/view?agent_id=610d3f3370540700019b0833","551 West 160th Street, Unit 4D")</f>
        <v>551 West 160th Street, Unit 4D</v>
      </c>
      <c r="C938" s="25" t="s">
        <v>22</v>
      </c>
      <c r="D938" s="26" t="s">
        <v>23</v>
      </c>
      <c r="E938" s="27" t="str">
        <f>HYPERLINK("https://www.compass.com/building/551-w-160th-st-manhattan-ny-10032/282007759745056629/","551 W 160th St")</f>
        <v>551 W 160th St</v>
      </c>
      <c r="F938" s="25" t="s">
        <v>77</v>
      </c>
      <c r="G938" s="28">
        <v>419000.0</v>
      </c>
      <c r="H938" s="29"/>
      <c r="I938" s="28">
        <v>358.0</v>
      </c>
      <c r="J938" s="28">
        <v>0.0</v>
      </c>
      <c r="K938" s="25" t="s">
        <v>25</v>
      </c>
      <c r="L938" s="26">
        <v>4.0</v>
      </c>
      <c r="M938" s="26">
        <v>2.0</v>
      </c>
      <c r="N938" s="26">
        <v>1.0</v>
      </c>
      <c r="O938" s="26">
        <v>0.0</v>
      </c>
      <c r="P938" s="30"/>
      <c r="Q938" s="35">
        <v>147.0</v>
      </c>
      <c r="R938" s="32">
        <v>45857.0</v>
      </c>
      <c r="S938" s="32">
        <v>45716.0</v>
      </c>
      <c r="T938" s="29"/>
      <c r="U938" s="33"/>
      <c r="V938" s="1"/>
    </row>
    <row r="939" ht="24.0" customHeight="1">
      <c r="A939" s="1"/>
      <c r="B939" s="24" t="str">
        <f>HYPERLINK("https://www.compass.com/listing/105-16-metropolitan-avenue-queens-ny-11375/1829692123227672289/view?agent_id=610d3f3370540700019b0833","105-16 Metropolitan Avenue")</f>
        <v>105-16 Metropolitan Avenue</v>
      </c>
      <c r="C939" s="25" t="s">
        <v>22</v>
      </c>
      <c r="D939" s="26" t="s">
        <v>23</v>
      </c>
      <c r="E939" s="27" t="str">
        <f>HYPERLINK("https://www.compass.com/building/105-16-metropolitan-ave-queens-ny-11375/293534963993773045/","105-16 Metropolitan Ave")</f>
        <v>105-16 Metropolitan Ave</v>
      </c>
      <c r="F939" s="25" t="s">
        <v>83</v>
      </c>
      <c r="G939" s="28">
        <v>1350000.0</v>
      </c>
      <c r="H939" s="29"/>
      <c r="I939" s="28">
        <v>0.0</v>
      </c>
      <c r="J939" s="28">
        <v>0.0</v>
      </c>
      <c r="K939" s="25" t="s">
        <v>105</v>
      </c>
      <c r="L939" s="26">
        <v>5.0</v>
      </c>
      <c r="M939" s="26">
        <v>2.0</v>
      </c>
      <c r="N939" s="26">
        <v>1.0</v>
      </c>
      <c r="O939" s="30"/>
      <c r="P939" s="26">
        <v>0.0</v>
      </c>
      <c r="Q939" s="35">
        <v>88.0</v>
      </c>
      <c r="R939" s="32">
        <v>45776.0</v>
      </c>
      <c r="S939" s="32">
        <v>45775.0</v>
      </c>
      <c r="T939" s="29"/>
      <c r="U939" s="33"/>
      <c r="V939" s="1"/>
    </row>
    <row r="940" ht="24.0" customHeight="1">
      <c r="A940" s="1"/>
      <c r="B940" s="24" t="str">
        <f>HYPERLINK("https://www.compass.com/listing/114-20-queens-boulevard-unit-123a-queens-ny-11375/1811575044212526921/view?agent_id=610d3f3370540700019b0833","114-20 Queens Boulevard, Unit 123A")</f>
        <v>114-20 Queens Boulevard, Unit 123A</v>
      </c>
      <c r="C940" s="25" t="s">
        <v>22</v>
      </c>
      <c r="D940" s="26" t="s">
        <v>23</v>
      </c>
      <c r="E940" s="27" t="str">
        <f>HYPERLINK("https://www.compass.com/building/114-20-queens-blvd-queens-ny-11375/293531453713649589/","114-20 Queens Blvd")</f>
        <v>114-20 Queens Blvd</v>
      </c>
      <c r="F940" s="25" t="s">
        <v>83</v>
      </c>
      <c r="G940" s="28">
        <v>400000.0</v>
      </c>
      <c r="H940" s="28">
        <v>333.0</v>
      </c>
      <c r="I940" s="28">
        <v>1018.0</v>
      </c>
      <c r="J940" s="28">
        <v>0.0</v>
      </c>
      <c r="K940" s="25" t="s">
        <v>25</v>
      </c>
      <c r="L940" s="26">
        <v>5.0</v>
      </c>
      <c r="M940" s="26">
        <v>2.0</v>
      </c>
      <c r="N940" s="26">
        <v>1.0</v>
      </c>
      <c r="O940" s="30"/>
      <c r="P940" s="34">
        <v>1200.0</v>
      </c>
      <c r="Q940" s="35">
        <v>113.0</v>
      </c>
      <c r="R940" s="32">
        <v>45751.0</v>
      </c>
      <c r="S940" s="32">
        <v>45750.0</v>
      </c>
      <c r="T940" s="29"/>
      <c r="U940" s="33"/>
      <c r="V940" s="1"/>
    </row>
    <row r="941" ht="24.0" customHeight="1">
      <c r="A941" s="1"/>
      <c r="B941" s="24" t="str">
        <f>HYPERLINK("https://www.compass.com/listing/42-30-douglaston-parkway-unit-3l-queens-ny-11363/1780599191092649225/view?agent_id=610d3f3370540700019b0833","42-30 Douglaston Parkway, Unit 3L")</f>
        <v>42-30 Douglaston Parkway, Unit 3L</v>
      </c>
      <c r="C941" s="25" t="s">
        <v>22</v>
      </c>
      <c r="D941" s="26" t="s">
        <v>23</v>
      </c>
      <c r="E941" s="27" t="str">
        <f>HYPERLINK("https://www.compass.com/building/42-30-douglaston-pkwy-queens-ny-11363/293528854142701269/","42-30 Douglaston Pkwy")</f>
        <v>42-30 Douglaston Pkwy</v>
      </c>
      <c r="F941" s="25" t="s">
        <v>145</v>
      </c>
      <c r="G941" s="28">
        <v>449000.0</v>
      </c>
      <c r="H941" s="28">
        <v>499.0</v>
      </c>
      <c r="I941" s="28">
        <v>1253.0</v>
      </c>
      <c r="J941" s="29"/>
      <c r="K941" s="25" t="s">
        <v>25</v>
      </c>
      <c r="L941" s="26">
        <v>5.0</v>
      </c>
      <c r="M941" s="26">
        <v>2.0</v>
      </c>
      <c r="N941" s="26">
        <v>1.0</v>
      </c>
      <c r="O941" s="26">
        <v>0.0</v>
      </c>
      <c r="P941" s="26">
        <v>900.0</v>
      </c>
      <c r="Q941" s="35">
        <v>19.0</v>
      </c>
      <c r="R941" s="32">
        <v>45862.0</v>
      </c>
      <c r="S941" s="32">
        <v>45844.0</v>
      </c>
      <c r="T941" s="29"/>
      <c r="U941" s="33"/>
      <c r="V941" s="1"/>
    </row>
    <row r="942" ht="24.0" customHeight="1">
      <c r="A942" s="1"/>
      <c r="B942" s="24" t="str">
        <f>HYPERLINK("https://www.compass.com/listing/2155-82nd-street-unit-5d-brooklyn-ny-11214/1882783811845099537/view?agent_id=610d3f3370540700019b0833","2155 82nd Street, Unit 5D")</f>
        <v>2155 82nd Street, Unit 5D</v>
      </c>
      <c r="C942" s="25" t="s">
        <v>22</v>
      </c>
      <c r="D942" s="26" t="s">
        <v>23</v>
      </c>
      <c r="E942" s="27" t="str">
        <f>HYPERLINK("https://www.compass.com/building/2155-82nd-st-brooklyn-ny-11214/293532386535236965/","2155 82nd St")</f>
        <v>2155 82nd St</v>
      </c>
      <c r="F942" s="25" t="s">
        <v>236</v>
      </c>
      <c r="G942" s="28">
        <v>458000.0</v>
      </c>
      <c r="H942" s="28">
        <v>458.0</v>
      </c>
      <c r="I942" s="28">
        <v>1279.0</v>
      </c>
      <c r="J942" s="29"/>
      <c r="K942" s="25" t="s">
        <v>25</v>
      </c>
      <c r="L942" s="26">
        <v>4.0</v>
      </c>
      <c r="M942" s="26">
        <v>2.0</v>
      </c>
      <c r="N942" s="26">
        <v>1.0</v>
      </c>
      <c r="O942" s="30"/>
      <c r="P942" s="34">
        <v>1000.0</v>
      </c>
      <c r="Q942" s="35">
        <v>13.0</v>
      </c>
      <c r="R942" s="32">
        <v>45860.0</v>
      </c>
      <c r="S942" s="32">
        <v>45849.0</v>
      </c>
      <c r="T942" s="29"/>
      <c r="U942" s="33"/>
      <c r="V942" s="1"/>
    </row>
    <row r="943" ht="24.0" customHeight="1">
      <c r="A943" s="1"/>
      <c r="B943" s="24" t="str">
        <f>HYPERLINK("https://www.compass.com/listing/546-west-156th-street-unit-11-manhattan-ny-10032/1642438494344879009/view?agent_id=610d3f3370540700019b0833","546 West 156th Street, Unit 11")</f>
        <v>546 West 156th Street, Unit 11</v>
      </c>
      <c r="C943" s="25" t="s">
        <v>22</v>
      </c>
      <c r="D943" s="26" t="s">
        <v>23</v>
      </c>
      <c r="E943" s="27" t="str">
        <f>HYPERLINK("https://www.compass.com/building/546-w-156th-st-manhattan-ny-10032/282007616727676949/","546 W 156th St")</f>
        <v>546 W 156th St</v>
      </c>
      <c r="F943" s="25" t="s">
        <v>77</v>
      </c>
      <c r="G943" s="28">
        <v>210000.0</v>
      </c>
      <c r="H943" s="29"/>
      <c r="I943" s="28">
        <v>537.0</v>
      </c>
      <c r="J943" s="28">
        <v>0.0</v>
      </c>
      <c r="K943" s="25" t="s">
        <v>104</v>
      </c>
      <c r="L943" s="26">
        <v>4.0</v>
      </c>
      <c r="M943" s="26">
        <v>2.0</v>
      </c>
      <c r="N943" s="26">
        <v>1.0</v>
      </c>
      <c r="O943" s="26">
        <v>0.0</v>
      </c>
      <c r="P943" s="30"/>
      <c r="Q943" s="35">
        <v>346.0</v>
      </c>
      <c r="R943" s="32">
        <v>45851.0</v>
      </c>
      <c r="S943" s="32">
        <v>45517.0</v>
      </c>
      <c r="T943" s="29"/>
      <c r="U943" s="33"/>
      <c r="V943" s="1"/>
    </row>
    <row r="944" ht="24.0" customHeight="1">
      <c r="A944" s="1"/>
      <c r="B944" s="24" t="str">
        <f>HYPERLINK("https://www.compass.com/listing/870-riverside-drive-unit-2b-manhattan-ny-10032/1663309922194694857/view?agent_id=610d3f3370540700019b0833","870 Riverside Drive, Unit 2B")</f>
        <v>870 Riverside Drive, Unit 2B</v>
      </c>
      <c r="C944" s="25" t="s">
        <v>22</v>
      </c>
      <c r="D944" s="26" t="s">
        <v>23</v>
      </c>
      <c r="E944" s="27" t="str">
        <f>HYPERLINK("https://www.compass.com/building/870-riverside-dr-manhattan-ny-10032/282009578932141381/","870 Riverside Dr")</f>
        <v>870 Riverside Dr</v>
      </c>
      <c r="F944" s="25" t="s">
        <v>77</v>
      </c>
      <c r="G944" s="28">
        <v>375000.0</v>
      </c>
      <c r="H944" s="28">
        <v>313.0</v>
      </c>
      <c r="I944" s="28">
        <v>1249.0</v>
      </c>
      <c r="J944" s="29"/>
      <c r="K944" s="25" t="s">
        <v>25</v>
      </c>
      <c r="L944" s="26">
        <v>5.0</v>
      </c>
      <c r="M944" s="26">
        <v>2.0</v>
      </c>
      <c r="N944" s="26">
        <v>1.0</v>
      </c>
      <c r="O944" s="30"/>
      <c r="P944" s="34">
        <v>1200.0</v>
      </c>
      <c r="Q944" s="35">
        <v>316.0</v>
      </c>
      <c r="R944" s="32">
        <v>45816.0</v>
      </c>
      <c r="S944" s="32">
        <v>45546.0</v>
      </c>
      <c r="T944" s="29"/>
      <c r="U944" s="33"/>
      <c r="V944" s="1"/>
    </row>
    <row r="945" ht="24.0" customHeight="1">
      <c r="A945" s="1"/>
      <c r="B945" s="24" t="str">
        <f>HYPERLINK("https://www.compass.com/listing/108-07-65th-road-unit-1c-queens-ny-11375/1839110496000142489/view?agent_id=610d3f3370540700019b0833","108-07 65th Road, Unit 1C")</f>
        <v>108-07 65th Road, Unit 1C</v>
      </c>
      <c r="C945" s="25" t="s">
        <v>22</v>
      </c>
      <c r="D945" s="26" t="s">
        <v>23</v>
      </c>
      <c r="E945" s="27" t="str">
        <f>HYPERLINK("https://www.compass.com/building/108-07-65th-rd-queens-ny-11375/307455762418687829/","108-07 65th Rd")</f>
        <v>108-07 65th Rd</v>
      </c>
      <c r="F945" s="25" t="s">
        <v>83</v>
      </c>
      <c r="G945" s="28">
        <v>388000.0</v>
      </c>
      <c r="H945" s="28">
        <v>456.0</v>
      </c>
      <c r="I945" s="28">
        <v>713.0</v>
      </c>
      <c r="J945" s="28">
        <v>0.0</v>
      </c>
      <c r="K945" s="25" t="s">
        <v>25</v>
      </c>
      <c r="L945" s="26">
        <v>7.0</v>
      </c>
      <c r="M945" s="26">
        <v>2.0</v>
      </c>
      <c r="N945" s="26">
        <v>1.0</v>
      </c>
      <c r="O945" s="30"/>
      <c r="P945" s="26">
        <v>850.0</v>
      </c>
      <c r="Q945" s="35">
        <v>75.0</v>
      </c>
      <c r="R945" s="32">
        <v>45789.0</v>
      </c>
      <c r="S945" s="32">
        <v>45788.0</v>
      </c>
      <c r="T945" s="29"/>
      <c r="U945" s="33"/>
      <c r="V945" s="1"/>
    </row>
    <row r="946" ht="24.0" customHeight="1">
      <c r="A946" s="1"/>
      <c r="B946" s="24" t="str">
        <f>HYPERLINK("https://www.compass.com/listing/930-st-nicholas-avenue-unit-41-manhattan-ny-10032/1770558009211802009/view?agent_id=610d3f3370540700019b0833","930 St Nicholas Avenue, Unit 41")</f>
        <v>930 St Nicholas Avenue, Unit 41</v>
      </c>
      <c r="C946" s="25" t="s">
        <v>22</v>
      </c>
      <c r="D946" s="26" t="s">
        <v>23</v>
      </c>
      <c r="E946" s="27" t="str">
        <f>HYPERLINK("https://www.compass.com/building/930-st-nicholas-ave-manhattan-ny-10032/281927531240664293/","930 St Nicholas Ave")</f>
        <v>930 St Nicholas Ave</v>
      </c>
      <c r="F946" s="25" t="s">
        <v>77</v>
      </c>
      <c r="G946" s="28">
        <v>499000.0</v>
      </c>
      <c r="H946" s="29"/>
      <c r="I946" s="28">
        <v>1080.0</v>
      </c>
      <c r="J946" s="28">
        <v>0.0</v>
      </c>
      <c r="K946" s="25" t="s">
        <v>25</v>
      </c>
      <c r="L946" s="26">
        <v>4.0</v>
      </c>
      <c r="M946" s="26">
        <v>2.0</v>
      </c>
      <c r="N946" s="26">
        <v>1.0</v>
      </c>
      <c r="O946" s="26">
        <v>0.0</v>
      </c>
      <c r="P946" s="30"/>
      <c r="Q946" s="35">
        <v>169.0</v>
      </c>
      <c r="R946" s="32">
        <v>45861.0</v>
      </c>
      <c r="S946" s="32">
        <v>45694.0</v>
      </c>
      <c r="T946" s="29"/>
      <c r="U946" s="33"/>
      <c r="V946" s="1"/>
    </row>
    <row r="947" ht="24.0" customHeight="1">
      <c r="A947" s="1"/>
      <c r="B947" s="24" t="str">
        <f>HYPERLINK("https://www.compass.com/listing/5601-riverdale-avenue-unit-7b-bronx-ny-10471/1831201211770492025/view?agent_id=610d3f3370540700019b0833","5601 Riverdale Avenue, Unit 7B")</f>
        <v>5601 Riverdale Avenue, Unit 7B</v>
      </c>
      <c r="C947" s="25" t="s">
        <v>22</v>
      </c>
      <c r="D947" s="26" t="s">
        <v>23</v>
      </c>
      <c r="E947" s="27" t="str">
        <f>HYPERLINK("https://www.compass.com/building/5601-riverdale-ave-bronx-ny-10471/293528585891808373/","5601 Riverdale Ave")</f>
        <v>5601 Riverdale Ave</v>
      </c>
      <c r="F947" s="25" t="s">
        <v>75</v>
      </c>
      <c r="G947" s="28">
        <v>335000.0</v>
      </c>
      <c r="H947" s="28">
        <v>335.0</v>
      </c>
      <c r="I947" s="28">
        <v>1423.0</v>
      </c>
      <c r="J947" s="28">
        <v>0.0</v>
      </c>
      <c r="K947" s="25" t="s">
        <v>25</v>
      </c>
      <c r="L947" s="26">
        <v>4.0</v>
      </c>
      <c r="M947" s="26">
        <v>2.0</v>
      </c>
      <c r="N947" s="26">
        <v>1.0</v>
      </c>
      <c r="O947" s="26">
        <v>0.0</v>
      </c>
      <c r="P947" s="34">
        <v>1000.0</v>
      </c>
      <c r="Q947" s="35">
        <v>85.0</v>
      </c>
      <c r="R947" s="32">
        <v>45854.0</v>
      </c>
      <c r="S947" s="32">
        <v>45778.0</v>
      </c>
      <c r="T947" s="29"/>
      <c r="U947" s="33"/>
      <c r="V947" s="1"/>
    </row>
    <row r="948" ht="24.0" customHeight="1">
      <c r="A948" s="1"/>
      <c r="B948" s="24" t="str">
        <f>HYPERLINK("https://www.compass.com/listing/1430-thieriot-avenue-unit-1m-bronx-ny-10460/1819860346000787489/view?agent_id=610d3f3370540700019b0833","1430 Thieriot Avenue, Unit 1M")</f>
        <v>1430 Thieriot Avenue, Unit 1M</v>
      </c>
      <c r="C948" s="25" t="s">
        <v>22</v>
      </c>
      <c r="D948" s="26" t="s">
        <v>23</v>
      </c>
      <c r="E948" s="27" t="str">
        <f>HYPERLINK("https://www.compass.com/building/1430-thieriot-ave-bronx-ny-10460/293531151044286965/","1430 Thieriot Ave")</f>
        <v>1430 Thieriot Ave</v>
      </c>
      <c r="F948" s="25" t="s">
        <v>228</v>
      </c>
      <c r="G948" s="28">
        <v>195000.0</v>
      </c>
      <c r="H948" s="28">
        <v>205.0</v>
      </c>
      <c r="I948" s="28">
        <v>2038.0</v>
      </c>
      <c r="J948" s="29"/>
      <c r="K948" s="25" t="s">
        <v>25</v>
      </c>
      <c r="L948" s="26">
        <v>3.0</v>
      </c>
      <c r="M948" s="26">
        <v>2.0</v>
      </c>
      <c r="N948" s="26">
        <v>1.0</v>
      </c>
      <c r="O948" s="30"/>
      <c r="P948" s="26">
        <v>950.0</v>
      </c>
      <c r="Q948" s="35">
        <v>101.0</v>
      </c>
      <c r="R948" s="32">
        <v>45772.0</v>
      </c>
      <c r="S948" s="32">
        <v>45762.0</v>
      </c>
      <c r="T948" s="29"/>
      <c r="U948" s="33"/>
      <c r="V948" s="1"/>
    </row>
    <row r="949" ht="24.0" customHeight="1">
      <c r="A949" s="1"/>
      <c r="B949" s="24" t="str">
        <f>HYPERLINK("https://www.compass.com/listing/131-44-laurelton-parkway-queens-ny-11422/1881262377318009857/view?agent_id=610d3f3370540700019b0833","131-44 Laurelton Parkway")</f>
        <v>131-44 Laurelton Parkway</v>
      </c>
      <c r="C949" s="25" t="s">
        <v>22</v>
      </c>
      <c r="D949" s="26" t="s">
        <v>23</v>
      </c>
      <c r="E949" s="26" t="s">
        <v>237</v>
      </c>
      <c r="F949" s="25" t="s">
        <v>161</v>
      </c>
      <c r="G949" s="28">
        <v>289000.0</v>
      </c>
      <c r="H949" s="28">
        <v>415.0</v>
      </c>
      <c r="I949" s="28">
        <v>910.0</v>
      </c>
      <c r="J949" s="29"/>
      <c r="K949" s="25" t="s">
        <v>25</v>
      </c>
      <c r="L949" s="26">
        <v>4.0</v>
      </c>
      <c r="M949" s="26">
        <v>2.0</v>
      </c>
      <c r="N949" s="30"/>
      <c r="O949" s="30"/>
      <c r="P949" s="26">
        <v>696.0</v>
      </c>
      <c r="Q949" s="35">
        <v>16.0</v>
      </c>
      <c r="R949" s="32">
        <v>45859.0</v>
      </c>
      <c r="S949" s="32">
        <v>45847.0</v>
      </c>
      <c r="T949" s="29"/>
      <c r="U949" s="33"/>
      <c r="V949" s="1"/>
    </row>
    <row r="950" ht="24.0" customHeight="1">
      <c r="A950" s="1"/>
      <c r="B950" s="24" t="str">
        <f>HYPERLINK("https://www.compass.com/listing/142-05-roosevelt-avenue-unit-50-queens-ny-11354/1797246492989330417/view?agent_id=610d3f3370540700019b0833","142-05 Roosevelt Avenue, Unit 50")</f>
        <v>142-05 Roosevelt Avenue, Unit 50</v>
      </c>
      <c r="C950" s="25" t="s">
        <v>22</v>
      </c>
      <c r="D950" s="26" t="s">
        <v>23</v>
      </c>
      <c r="E950" s="27" t="str">
        <f>HYPERLINK("https://www.compass.com/building/142-05-roosevelt-ave-queens-ny-11354/293417875543223477/","142-05 Roosevelt Ave")</f>
        <v>142-05 Roosevelt Ave</v>
      </c>
      <c r="F950" s="25" t="s">
        <v>221</v>
      </c>
      <c r="G950" s="28">
        <v>459000.0</v>
      </c>
      <c r="H950" s="28">
        <v>510.0</v>
      </c>
      <c r="I950" s="28">
        <v>1119.0</v>
      </c>
      <c r="J950" s="28">
        <v>0.0</v>
      </c>
      <c r="K950" s="25" t="s">
        <v>25</v>
      </c>
      <c r="L950" s="26">
        <v>5.0</v>
      </c>
      <c r="M950" s="26">
        <v>2.0</v>
      </c>
      <c r="N950" s="26">
        <v>1.0</v>
      </c>
      <c r="O950" s="30"/>
      <c r="P950" s="26">
        <v>900.0</v>
      </c>
      <c r="Q950" s="35">
        <v>133.0</v>
      </c>
      <c r="R950" s="32">
        <v>45731.0</v>
      </c>
      <c r="S950" s="32">
        <v>45730.0</v>
      </c>
      <c r="T950" s="29"/>
      <c r="U950" s="33"/>
      <c r="V950" s="1"/>
    </row>
    <row r="951" ht="24.0" customHeight="1">
      <c r="A951" s="1"/>
      <c r="B951" s="24" t="str">
        <f>HYPERLINK("https://www.compass.com/listing/2506-davidson-avenue-unit-3c-bronx-ny-10468/1864577251282004289/view?agent_id=610d3f3370540700019b0833","2506 Davidson Avenue, Unit 3C")</f>
        <v>2506 Davidson Avenue, Unit 3C</v>
      </c>
      <c r="C951" s="25" t="s">
        <v>22</v>
      </c>
      <c r="D951" s="26" t="s">
        <v>23</v>
      </c>
      <c r="E951" s="27" t="str">
        <f>HYPERLINK("https://www.compass.com/building/2506-davidson-ave-bronx-ny-10468/293534791515532917/","2506 Davidson Ave")</f>
        <v>2506 Davidson Ave</v>
      </c>
      <c r="F951" s="25" t="s">
        <v>238</v>
      </c>
      <c r="G951" s="28">
        <v>260000.0</v>
      </c>
      <c r="H951" s="28">
        <v>302.0</v>
      </c>
      <c r="I951" s="28">
        <v>898.0</v>
      </c>
      <c r="J951" s="29"/>
      <c r="K951" s="25" t="s">
        <v>25</v>
      </c>
      <c r="L951" s="26">
        <v>4.0</v>
      </c>
      <c r="M951" s="26">
        <v>2.0</v>
      </c>
      <c r="N951" s="26">
        <v>1.0</v>
      </c>
      <c r="O951" s="30"/>
      <c r="P951" s="26">
        <v>862.0</v>
      </c>
      <c r="Q951" s="35">
        <v>38.0</v>
      </c>
      <c r="R951" s="32">
        <v>45856.0</v>
      </c>
      <c r="S951" s="32">
        <v>45824.0</v>
      </c>
      <c r="T951" s="29"/>
      <c r="U951" s="33"/>
      <c r="V951" s="1"/>
    </row>
    <row r="952" ht="24.0" customHeight="1">
      <c r="A952" s="1"/>
      <c r="B952" s="24" t="str">
        <f>HYPERLINK("https://www.compass.com/listing/148-09-northern-boulevard-unit-2b-queens-ny-11354/1880621681694650113/view?agent_id=610d3f3370540700019b0833","148-09 Northern Boulevard, Unit 2B")</f>
        <v>148-09 Northern Boulevard, Unit 2B</v>
      </c>
      <c r="C952" s="25" t="s">
        <v>22</v>
      </c>
      <c r="D952" s="26" t="s">
        <v>23</v>
      </c>
      <c r="E952" s="27" t="str">
        <f>HYPERLINK("https://www.compass.com/building/148-09-northern-blvd-queens-ny-11354/293532784465668485/","148-09 Northern Blvd")</f>
        <v>148-09 Northern Blvd</v>
      </c>
      <c r="F952" s="25" t="s">
        <v>160</v>
      </c>
      <c r="G952" s="28">
        <v>750000.0</v>
      </c>
      <c r="H952" s="28">
        <v>737.0</v>
      </c>
      <c r="I952" s="28">
        <v>1057.0</v>
      </c>
      <c r="J952" s="28">
        <v>5760.0</v>
      </c>
      <c r="K952" s="25" t="s">
        <v>28</v>
      </c>
      <c r="L952" s="26">
        <v>5.0</v>
      </c>
      <c r="M952" s="26">
        <v>2.0</v>
      </c>
      <c r="N952" s="26">
        <v>1.0</v>
      </c>
      <c r="O952" s="26">
        <v>0.0</v>
      </c>
      <c r="P952" s="34">
        <v>1018.0</v>
      </c>
      <c r="Q952" s="35">
        <v>17.0</v>
      </c>
      <c r="R952" s="32">
        <v>45861.0</v>
      </c>
      <c r="S952" s="32">
        <v>45846.0</v>
      </c>
      <c r="T952" s="29"/>
      <c r="U952" s="33"/>
      <c r="V952" s="1"/>
    </row>
    <row r="953" ht="24.0" customHeight="1">
      <c r="A953" s="1"/>
      <c r="B953" s="24" t="str">
        <f>HYPERLINK("https://www.compass.com/listing/566-west-159th-street-unit-61-manhattan-ny-10032/1778072361059196185/view?agent_id=610d3f3370540700019b0833","566 West 159th Street, Unit 61")</f>
        <v>566 West 159th Street, Unit 61</v>
      </c>
      <c r="C953" s="25" t="s">
        <v>22</v>
      </c>
      <c r="D953" s="26" t="s">
        <v>23</v>
      </c>
      <c r="E953" s="27" t="str">
        <f>HYPERLINK("https://www.compass.com/building/566-w-159th-st-manhattan-ny-10032/282008230622788021/","566 W 159th St")</f>
        <v>566 W 159th St</v>
      </c>
      <c r="F953" s="25" t="s">
        <v>77</v>
      </c>
      <c r="G953" s="28">
        <v>499999.0</v>
      </c>
      <c r="H953" s="29"/>
      <c r="I953" s="28">
        <v>771.0</v>
      </c>
      <c r="J953" s="28">
        <v>0.0</v>
      </c>
      <c r="K953" s="25" t="s">
        <v>25</v>
      </c>
      <c r="L953" s="26">
        <v>4.0</v>
      </c>
      <c r="M953" s="26">
        <v>2.0</v>
      </c>
      <c r="N953" s="26">
        <v>1.0</v>
      </c>
      <c r="O953" s="26">
        <v>0.0</v>
      </c>
      <c r="P953" s="30"/>
      <c r="Q953" s="35">
        <v>158.0</v>
      </c>
      <c r="R953" s="32">
        <v>45796.0</v>
      </c>
      <c r="S953" s="32">
        <v>45705.0</v>
      </c>
      <c r="T953" s="29"/>
      <c r="U953" s="33"/>
      <c r="V953" s="1"/>
    </row>
    <row r="954" ht="24.0" customHeight="1">
      <c r="A954" s="1"/>
      <c r="B954" s="24" t="str">
        <f>HYPERLINK("https://www.compass.com/listing/6801-shore-road-unit-5u-brooklyn-ny-11220/1867995203839283537/view?agent_id=610d3f3370540700019b0833","6801 Shore Road, Unit 5U")</f>
        <v>6801 Shore Road, Unit 5U</v>
      </c>
      <c r="C954" s="25" t="s">
        <v>22</v>
      </c>
      <c r="D954" s="26" t="s">
        <v>23</v>
      </c>
      <c r="E954" s="27" t="str">
        <f>HYPERLINK("https://www.compass.com/building/6801-shore-rd-brooklyn-ny-11220/293533215203826261/","6801 Shore Rd")</f>
        <v>6801 Shore Rd</v>
      </c>
      <c r="F954" s="25" t="s">
        <v>55</v>
      </c>
      <c r="G954" s="28">
        <v>499000.0</v>
      </c>
      <c r="H954" s="28">
        <v>499.0</v>
      </c>
      <c r="I954" s="28">
        <v>949.0</v>
      </c>
      <c r="J954" s="29"/>
      <c r="K954" s="25" t="s">
        <v>25</v>
      </c>
      <c r="L954" s="26">
        <v>4.0</v>
      </c>
      <c r="M954" s="26">
        <v>2.0</v>
      </c>
      <c r="N954" s="26">
        <v>1.0</v>
      </c>
      <c r="O954" s="30"/>
      <c r="P954" s="34">
        <v>1000.0</v>
      </c>
      <c r="Q954" s="35">
        <v>37.0</v>
      </c>
      <c r="R954" s="32">
        <v>45851.0</v>
      </c>
      <c r="S954" s="32">
        <v>45826.0</v>
      </c>
      <c r="T954" s="29"/>
      <c r="U954" s="33"/>
      <c r="V954" s="1"/>
    </row>
    <row r="955" ht="24.0" customHeight="1">
      <c r="A955" s="1"/>
      <c r="B955" s="24" t="str">
        <f>HYPERLINK("https://www.compass.com/listing/425-main-street-unit-10j-manhattan-ny-10044/1782255482752153609/view?agent_id=610d3f3370540700019b0833","425 Main Street, Unit 10J")</f>
        <v>425 Main Street, Unit 10J</v>
      </c>
      <c r="C955" s="25" t="s">
        <v>22</v>
      </c>
      <c r="D955" s="26" t="s">
        <v>23</v>
      </c>
      <c r="E955" s="27" t="str">
        <f>HYPERLINK("https://www.compass.com/building/riverwalk-landing-manhattan-ny/282034868236337477/","Riverwalk Landing")</f>
        <v>Riverwalk Landing</v>
      </c>
      <c r="F955" s="25" t="s">
        <v>239</v>
      </c>
      <c r="G955" s="28">
        <v>895000.0</v>
      </c>
      <c r="H955" s="28">
        <v>1137.0</v>
      </c>
      <c r="I955" s="28">
        <v>886.0</v>
      </c>
      <c r="J955" s="28">
        <v>0.0</v>
      </c>
      <c r="K955" s="25" t="s">
        <v>28</v>
      </c>
      <c r="L955" s="26">
        <v>4.0</v>
      </c>
      <c r="M955" s="26">
        <v>2.0</v>
      </c>
      <c r="N955" s="26">
        <v>1.0</v>
      </c>
      <c r="O955" s="26">
        <v>0.0</v>
      </c>
      <c r="P955" s="26">
        <v>787.0</v>
      </c>
      <c r="Q955" s="35">
        <v>153.0</v>
      </c>
      <c r="R955" s="32">
        <v>45855.0</v>
      </c>
      <c r="S955" s="32">
        <v>45710.0</v>
      </c>
      <c r="T955" s="29"/>
      <c r="U955" s="33"/>
      <c r="V955" s="1"/>
    </row>
    <row r="956" ht="24.0" customHeight="1">
      <c r="A956" s="1"/>
      <c r="B956" s="24" t="str">
        <f>HYPERLINK("https://www.compass.com/listing/67-30-clyde-street-unit-3l-queens-ny-11375/1878710016925098249/view?agent_id=610d3f3370540700019b0833","67-30 Clyde Street, Unit 3L")</f>
        <v>67-30 Clyde Street, Unit 3L</v>
      </c>
      <c r="C956" s="25" t="s">
        <v>22</v>
      </c>
      <c r="D956" s="26" t="s">
        <v>23</v>
      </c>
      <c r="E956" s="27" t="str">
        <f>HYPERLINK("https://www.compass.com/building/67-30-clyde-st-queens-ny-11375/293529738352309365/","67-30 Clyde St")</f>
        <v>67-30 Clyde St</v>
      </c>
      <c r="F956" s="25" t="s">
        <v>166</v>
      </c>
      <c r="G956" s="28">
        <v>450000.0</v>
      </c>
      <c r="H956" s="28">
        <v>450.0</v>
      </c>
      <c r="I956" s="28">
        <v>991.0</v>
      </c>
      <c r="J956" s="29"/>
      <c r="K956" s="25" t="s">
        <v>25</v>
      </c>
      <c r="L956" s="26">
        <v>4.0</v>
      </c>
      <c r="M956" s="26">
        <v>2.0</v>
      </c>
      <c r="N956" s="26">
        <v>1.0</v>
      </c>
      <c r="O956" s="26">
        <v>0.0</v>
      </c>
      <c r="P956" s="34">
        <v>1000.0</v>
      </c>
      <c r="Q956" s="35">
        <v>20.0</v>
      </c>
      <c r="R956" s="32">
        <v>45858.0</v>
      </c>
      <c r="S956" s="32">
        <v>45843.0</v>
      </c>
      <c r="T956" s="29"/>
      <c r="U956" s="33"/>
      <c r="V956" s="1"/>
    </row>
    <row r="957" ht="24.0" customHeight="1">
      <c r="A957" s="1"/>
      <c r="B957" s="24" t="str">
        <f>HYPERLINK("https://www.compass.com/listing/825-morrison-avenue-unit-6f-bronx-ny-10473/1808941469012838601/view?agent_id=610d3f3370540700019b0833","825 Morrison Avenue, Unit 6F")</f>
        <v>825 Morrison Avenue, Unit 6F</v>
      </c>
      <c r="C957" s="25" t="s">
        <v>22</v>
      </c>
      <c r="D957" s="26" t="s">
        <v>23</v>
      </c>
      <c r="E957" s="27" t="str">
        <f>HYPERLINK("https://www.compass.com/building/825-morrison-ave-bronx-ny-10473/293528118453467941/","825 Morrison Ave")</f>
        <v>825 Morrison Ave</v>
      </c>
      <c r="F957" s="25" t="s">
        <v>121</v>
      </c>
      <c r="G957" s="28">
        <v>365000.0</v>
      </c>
      <c r="H957" s="28">
        <v>487.0</v>
      </c>
      <c r="I957" s="28">
        <v>845.0</v>
      </c>
      <c r="J957" s="29"/>
      <c r="K957" s="25" t="s">
        <v>25</v>
      </c>
      <c r="L957" s="26">
        <v>4.0</v>
      </c>
      <c r="M957" s="26">
        <v>2.0</v>
      </c>
      <c r="N957" s="26">
        <v>1.0</v>
      </c>
      <c r="O957" s="30"/>
      <c r="P957" s="26">
        <v>750.0</v>
      </c>
      <c r="Q957" s="35">
        <v>116.0</v>
      </c>
      <c r="R957" s="32">
        <v>45777.0</v>
      </c>
      <c r="S957" s="32">
        <v>45747.0</v>
      </c>
      <c r="T957" s="29"/>
      <c r="U957" s="33"/>
      <c r="V957" s="1"/>
    </row>
    <row r="958" ht="24.0" customHeight="1">
      <c r="A958" s="1"/>
      <c r="B958" s="24" t="str">
        <f>HYPERLINK("https://www.compass.com/listing/2475-west-16th-street-unit-3d-brooklyn-ny-11214/1880617527991098009/view?agent_id=610d3f3370540700019b0833","2475 West 16th Street, Unit 3D")</f>
        <v>2475 West 16th Street, Unit 3D</v>
      </c>
      <c r="C958" s="25" t="s">
        <v>22</v>
      </c>
      <c r="D958" s="26" t="s">
        <v>23</v>
      </c>
      <c r="E958" s="27" t="str">
        <f>HYPERLINK("https://www.compass.com/building/2475-w-16th-st-brooklyn-ny-11214/293529337553092373/","2475 W 16th St")</f>
        <v>2475 W 16th St</v>
      </c>
      <c r="F958" s="25" t="s">
        <v>173</v>
      </c>
      <c r="G958" s="28">
        <v>369000.0</v>
      </c>
      <c r="H958" s="28">
        <v>369.0</v>
      </c>
      <c r="I958" s="28">
        <v>1063.0</v>
      </c>
      <c r="J958" s="29"/>
      <c r="K958" s="25" t="s">
        <v>25</v>
      </c>
      <c r="L958" s="26">
        <v>4.0</v>
      </c>
      <c r="M958" s="26">
        <v>2.0</v>
      </c>
      <c r="N958" s="26">
        <v>1.0</v>
      </c>
      <c r="O958" s="30"/>
      <c r="P958" s="34">
        <v>1000.0</v>
      </c>
      <c r="Q958" s="35">
        <v>17.0</v>
      </c>
      <c r="R958" s="32">
        <v>45850.0</v>
      </c>
      <c r="S958" s="32">
        <v>45846.0</v>
      </c>
      <c r="T958" s="29"/>
      <c r="U958" s="33"/>
      <c r="V958" s="1"/>
    </row>
    <row r="959" ht="24.0" customHeight="1">
      <c r="A959" s="1"/>
      <c r="B959" s="24" t="str">
        <f>HYPERLINK("https://www.compass.com/listing/83-20-98th-street-unit-1h-queens-ny-11421/1881518991111383073/view?agent_id=610d3f3370540700019b0833","83-20 98th Street, Unit 1H")</f>
        <v>83-20 98th Street, Unit 1H</v>
      </c>
      <c r="C959" s="25" t="s">
        <v>22</v>
      </c>
      <c r="D959" s="26" t="s">
        <v>23</v>
      </c>
      <c r="E959" s="27" t="str">
        <f>HYPERLINK("https://www.compass.com/building/83-20-98th-st-queens-ny-11421/307442115764015685/","83-20 98th St")</f>
        <v>83-20 98th St</v>
      </c>
      <c r="F959" s="25" t="s">
        <v>168</v>
      </c>
      <c r="G959" s="28">
        <v>289000.0</v>
      </c>
      <c r="H959" s="28">
        <v>321.0</v>
      </c>
      <c r="I959" s="28">
        <v>752.0</v>
      </c>
      <c r="J959" s="29"/>
      <c r="K959" s="25" t="s">
        <v>25</v>
      </c>
      <c r="L959" s="26">
        <v>5.0</v>
      </c>
      <c r="M959" s="26">
        <v>2.0</v>
      </c>
      <c r="N959" s="26">
        <v>1.0</v>
      </c>
      <c r="O959" s="30"/>
      <c r="P959" s="26">
        <v>900.0</v>
      </c>
      <c r="Q959" s="35">
        <v>15.0</v>
      </c>
      <c r="R959" s="32">
        <v>45862.0</v>
      </c>
      <c r="S959" s="32">
        <v>45847.0</v>
      </c>
      <c r="T959" s="29"/>
      <c r="U959" s="33"/>
      <c r="V959" s="1"/>
    </row>
    <row r="960" ht="24.0" customHeight="1">
      <c r="A960" s="1"/>
      <c r="B960" s="24" t="str">
        <f>HYPERLINK("https://www.compass.com/listing/37-nagle-avenue-unit-1c-manhattan-ny-10040/1774183407490153825/view?agent_id=610d3f3370540700019b0833","37 Nagle Avenue, Unit 1C")</f>
        <v>37 Nagle Avenue, Unit 1C</v>
      </c>
      <c r="C960" s="25" t="s">
        <v>22</v>
      </c>
      <c r="D960" s="26" t="s">
        <v>23</v>
      </c>
      <c r="E960" s="27" t="str">
        <f>HYPERLINK("https://www.compass.com/building/37-nagle-ave-manhattan-ny-10040/282061004513250117/","37 Nagle Ave")</f>
        <v>37 Nagle Ave</v>
      </c>
      <c r="F960" s="25" t="s">
        <v>77</v>
      </c>
      <c r="G960" s="28">
        <v>419000.0</v>
      </c>
      <c r="H960" s="28">
        <v>466.0</v>
      </c>
      <c r="I960" s="28">
        <v>1154.0</v>
      </c>
      <c r="J960" s="28">
        <v>0.0</v>
      </c>
      <c r="K960" s="25" t="s">
        <v>25</v>
      </c>
      <c r="L960" s="26">
        <v>4.0</v>
      </c>
      <c r="M960" s="26">
        <v>2.0</v>
      </c>
      <c r="N960" s="26">
        <v>1.0</v>
      </c>
      <c r="O960" s="26">
        <v>0.0</v>
      </c>
      <c r="P960" s="26">
        <v>900.0</v>
      </c>
      <c r="Q960" s="35">
        <v>164.0</v>
      </c>
      <c r="R960" s="32">
        <v>45862.0</v>
      </c>
      <c r="S960" s="32">
        <v>45699.0</v>
      </c>
      <c r="T960" s="29"/>
      <c r="U960" s="33"/>
      <c r="V960" s="1"/>
    </row>
    <row r="961" ht="24.0" customHeight="1">
      <c r="A961" s="1"/>
      <c r="B961" s="24" t="str">
        <f>HYPERLINK("https://www.compass.com/listing/5601-riverdale-avenue-unit-5f-bronx-ny-10471/1815241825843324609/view?agent_id=610d3f3370540700019b0833","5601 Riverdale Avenue, Unit 5F")</f>
        <v>5601 Riverdale Avenue, Unit 5F</v>
      </c>
      <c r="C961" s="25" t="s">
        <v>22</v>
      </c>
      <c r="D961" s="26" t="s">
        <v>23</v>
      </c>
      <c r="E961" s="27" t="str">
        <f>HYPERLINK("https://www.compass.com/building/5601-riverdale-ave-bronx-ny-10471/293528585891808373/","5601 Riverdale Ave")</f>
        <v>5601 Riverdale Ave</v>
      </c>
      <c r="F961" s="25" t="s">
        <v>75</v>
      </c>
      <c r="G961" s="28">
        <v>315000.0</v>
      </c>
      <c r="H961" s="28">
        <v>286.0</v>
      </c>
      <c r="I961" s="28">
        <v>1395.0</v>
      </c>
      <c r="J961" s="28">
        <v>0.0</v>
      </c>
      <c r="K961" s="25" t="s">
        <v>25</v>
      </c>
      <c r="L961" s="26">
        <v>5.0</v>
      </c>
      <c r="M961" s="26">
        <v>2.0</v>
      </c>
      <c r="N961" s="26">
        <v>1.0</v>
      </c>
      <c r="O961" s="26">
        <v>0.0</v>
      </c>
      <c r="P961" s="34">
        <v>1100.0</v>
      </c>
      <c r="Q961" s="35">
        <v>107.0</v>
      </c>
      <c r="R961" s="32">
        <v>45860.0</v>
      </c>
      <c r="S961" s="32">
        <v>45756.0</v>
      </c>
      <c r="T961" s="29"/>
      <c r="U961" s="33"/>
      <c r="V961" s="1"/>
    </row>
    <row r="962" ht="24.0" customHeight="1">
      <c r="A962" s="1"/>
      <c r="B962" s="24" t="str">
        <f>HYPERLINK("https://www.compass.com/listing/141-05-northern-boulevard-unit-7g-queens-ny-11354/1874723331634719929/view?agent_id=610d3f3370540700019b0833","141-05 Northern Boulevard, Unit 7G")</f>
        <v>141-05 Northern Boulevard, Unit 7G</v>
      </c>
      <c r="C962" s="25" t="s">
        <v>22</v>
      </c>
      <c r="D962" s="26" t="s">
        <v>23</v>
      </c>
      <c r="E962" s="27" t="str">
        <f>HYPERLINK("https://www.compass.com/building/141-05-northern-blvd-queens-ny-11354/307445122056496677/","141-05 Northern Blvd")</f>
        <v>141-05 Northern Blvd</v>
      </c>
      <c r="F962" s="25" t="s">
        <v>185</v>
      </c>
      <c r="G962" s="28">
        <v>419000.0</v>
      </c>
      <c r="H962" s="28">
        <v>460.0</v>
      </c>
      <c r="I962" s="28">
        <v>1381.0</v>
      </c>
      <c r="J962" s="29"/>
      <c r="K962" s="25" t="s">
        <v>25</v>
      </c>
      <c r="L962" s="26">
        <v>5.0</v>
      </c>
      <c r="M962" s="26">
        <v>2.0</v>
      </c>
      <c r="N962" s="26">
        <v>1.0</v>
      </c>
      <c r="O962" s="30"/>
      <c r="P962" s="26">
        <v>911.0</v>
      </c>
      <c r="Q962" s="35">
        <v>13.0</v>
      </c>
      <c r="R962" s="32">
        <v>45862.0</v>
      </c>
      <c r="S962" s="32">
        <v>45850.0</v>
      </c>
      <c r="T962" s="29"/>
      <c r="U962" s="33"/>
      <c r="V962" s="1"/>
    </row>
    <row r="963" ht="24.0" customHeight="1">
      <c r="A963" s="1"/>
      <c r="B963" s="24" t="str">
        <f>HYPERLINK("https://www.compass.com/listing/4-bogardus-place-unit-3e-manhattan-ny-10040/1669814389773275265/view?agent_id=610d3f3370540700019b0833","4 Bogardus Place, Unit 3E")</f>
        <v>4 Bogardus Place, Unit 3E</v>
      </c>
      <c r="C963" s="25" t="s">
        <v>22</v>
      </c>
      <c r="D963" s="26" t="s">
        <v>23</v>
      </c>
      <c r="E963" s="27" t="str">
        <f>HYPERLINK("https://www.compass.com/building/4-bogardus-pl-manhattan-ny-10040/282033577263119381/","4 Bogardus Pl")</f>
        <v>4 Bogardus Pl</v>
      </c>
      <c r="F963" s="25" t="s">
        <v>77</v>
      </c>
      <c r="G963" s="28">
        <v>472500.0</v>
      </c>
      <c r="H963" s="28">
        <v>525.0</v>
      </c>
      <c r="I963" s="28">
        <v>1225.0</v>
      </c>
      <c r="J963" s="28">
        <v>0.0</v>
      </c>
      <c r="K963" s="25" t="s">
        <v>25</v>
      </c>
      <c r="L963" s="26">
        <v>4.0</v>
      </c>
      <c r="M963" s="26">
        <v>2.0</v>
      </c>
      <c r="N963" s="26">
        <v>1.0</v>
      </c>
      <c r="O963" s="26">
        <v>0.0</v>
      </c>
      <c r="P963" s="26">
        <v>900.0</v>
      </c>
      <c r="Q963" s="35">
        <v>308.0</v>
      </c>
      <c r="R963" s="32">
        <v>45855.0</v>
      </c>
      <c r="S963" s="32">
        <v>45555.0</v>
      </c>
      <c r="T963" s="29"/>
      <c r="U963" s="33"/>
      <c r="V963" s="1"/>
    </row>
    <row r="964" ht="24.0" customHeight="1">
      <c r="A964" s="1"/>
      <c r="B964" s="24" t="str">
        <f>HYPERLINK("https://www.compass.com/listing/5800-arlington-avenue-unit-1h-bronx-ny-10471/1825832013835725521/view?agent_id=610d3f3370540700019b0833","5800 Arlington Avenue, Unit 1H")</f>
        <v>5800 Arlington Avenue, Unit 1H</v>
      </c>
      <c r="C964" s="25" t="s">
        <v>22</v>
      </c>
      <c r="D964" s="26" t="s">
        <v>23</v>
      </c>
      <c r="E964" s="27" t="str">
        <f>HYPERLINK("https://www.compass.com/building/skyview-on-the-hudson-bronx-ny/293417855687381093/","Skyview on the Hudson")</f>
        <v>Skyview on the Hudson</v>
      </c>
      <c r="F964" s="25" t="s">
        <v>75</v>
      </c>
      <c r="G964" s="28">
        <v>340000.0</v>
      </c>
      <c r="H964" s="28">
        <v>340.0</v>
      </c>
      <c r="I964" s="28">
        <v>1178.0</v>
      </c>
      <c r="J964" s="28">
        <v>0.0</v>
      </c>
      <c r="K964" s="25" t="s">
        <v>25</v>
      </c>
      <c r="L964" s="26">
        <v>4.0</v>
      </c>
      <c r="M964" s="26">
        <v>2.0</v>
      </c>
      <c r="N964" s="26">
        <v>1.0</v>
      </c>
      <c r="O964" s="26">
        <v>0.0</v>
      </c>
      <c r="P964" s="34">
        <v>1000.0</v>
      </c>
      <c r="Q964" s="35">
        <v>93.0</v>
      </c>
      <c r="R964" s="32">
        <v>45862.0</v>
      </c>
      <c r="S964" s="32">
        <v>45770.0</v>
      </c>
      <c r="T964" s="29"/>
      <c r="U964" s="33"/>
      <c r="V964" s="1"/>
    </row>
    <row r="965" ht="24.0" customHeight="1">
      <c r="A965" s="1"/>
      <c r="B965" s="24" t="str">
        <f>HYPERLINK("https://www.compass.com/listing/233-west-134th-street-unit-1a-manhattan-ny-10030/1560287147650775633/view?agent_id=610d3f3370540700019b0833","233 West 134th Street, Unit 1A")</f>
        <v>233 West 134th Street, Unit 1A</v>
      </c>
      <c r="C965" s="25" t="s">
        <v>22</v>
      </c>
      <c r="D965" s="26" t="s">
        <v>23</v>
      </c>
      <c r="E965" s="27" t="str">
        <f>HYPERLINK("https://www.compass.com/building/233-w-134th-st-manhattan-ny-10030/281994270544613173/","233 W 134th St")</f>
        <v>233 W 134th St</v>
      </c>
      <c r="F965" s="25" t="s">
        <v>32</v>
      </c>
      <c r="G965" s="28">
        <v>790000.0</v>
      </c>
      <c r="H965" s="28">
        <v>991.0</v>
      </c>
      <c r="I965" s="28">
        <v>919.0</v>
      </c>
      <c r="J965" s="28">
        <v>2844.0</v>
      </c>
      <c r="K965" s="25" t="s">
        <v>28</v>
      </c>
      <c r="L965" s="26">
        <v>4.0</v>
      </c>
      <c r="M965" s="26">
        <v>2.0</v>
      </c>
      <c r="N965" s="26">
        <v>1.0</v>
      </c>
      <c r="O965" s="26">
        <v>0.0</v>
      </c>
      <c r="P965" s="26">
        <v>797.0</v>
      </c>
      <c r="Q965" s="35">
        <v>459.0</v>
      </c>
      <c r="R965" s="32">
        <v>45695.0</v>
      </c>
      <c r="S965" s="32">
        <v>45404.0</v>
      </c>
      <c r="T965" s="29"/>
      <c r="U965" s="33"/>
      <c r="V965" s="1"/>
    </row>
    <row r="966" ht="24.0" customHeight="1">
      <c r="A966" s="1"/>
      <c r="B966" s="24" t="str">
        <f>HYPERLINK("https://www.compass.com/listing/5601-riverdale-avenue-unit-1c-bronx-ny-10471/1706866021420630377/view?agent_id=610d3f3370540700019b0833","5601 Riverdale Avenue, Unit 1C")</f>
        <v>5601 Riverdale Avenue, Unit 1C</v>
      </c>
      <c r="C966" s="25" t="s">
        <v>22</v>
      </c>
      <c r="D966" s="26" t="s">
        <v>23</v>
      </c>
      <c r="E966" s="27" t="str">
        <f>HYPERLINK("https://www.compass.com/building/5601-riverdale-ave-bronx-ny-10471/293528585891808373/","5601 Riverdale Ave")</f>
        <v>5601 Riverdale Ave</v>
      </c>
      <c r="F966" s="25" t="s">
        <v>75</v>
      </c>
      <c r="G966" s="28">
        <v>249900.0</v>
      </c>
      <c r="H966" s="28">
        <v>294.0</v>
      </c>
      <c r="I966" s="28">
        <v>1206.0</v>
      </c>
      <c r="J966" s="29"/>
      <c r="K966" s="25" t="s">
        <v>25</v>
      </c>
      <c r="L966" s="26">
        <v>4.0</v>
      </c>
      <c r="M966" s="26">
        <v>2.0</v>
      </c>
      <c r="N966" s="26">
        <v>1.0</v>
      </c>
      <c r="O966" s="30"/>
      <c r="P966" s="26">
        <v>850.0</v>
      </c>
      <c r="Q966" s="35">
        <v>193.0</v>
      </c>
      <c r="R966" s="32">
        <v>45840.0</v>
      </c>
      <c r="S966" s="32">
        <v>45606.0</v>
      </c>
      <c r="T966" s="29"/>
      <c r="U966" s="33"/>
      <c r="V966" s="1"/>
    </row>
    <row r="967" ht="24.0" customHeight="1">
      <c r="A967" s="1"/>
      <c r="B967" s="24" t="str">
        <f>HYPERLINK("https://www.compass.com/listing/1655-flatbush-avenue-unit-a1102-brooklyn-ny-11210/1857443503151493009/view?agent_id=610d3f3370540700019b0833","1655 Flatbush Avenue, Unit A1102")</f>
        <v>1655 Flatbush Avenue, Unit A1102</v>
      </c>
      <c r="C967" s="25" t="s">
        <v>22</v>
      </c>
      <c r="D967" s="26" t="s">
        <v>23</v>
      </c>
      <c r="E967" s="27" t="str">
        <f>HYPERLINK("https://www.compass.com/building/philip-howard-apartments-brooklyn-ny/293416486054242853/","Philip Howard Apartments")</f>
        <v>Philip Howard Apartments</v>
      </c>
      <c r="F967" s="25" t="s">
        <v>123</v>
      </c>
      <c r="G967" s="28">
        <v>500000.0</v>
      </c>
      <c r="H967" s="28">
        <v>500.0</v>
      </c>
      <c r="I967" s="28">
        <v>980.0</v>
      </c>
      <c r="J967" s="29"/>
      <c r="K967" s="25" t="s">
        <v>25</v>
      </c>
      <c r="L967" s="26">
        <v>5.0</v>
      </c>
      <c r="M967" s="26">
        <v>2.0</v>
      </c>
      <c r="N967" s="26">
        <v>1.0</v>
      </c>
      <c r="O967" s="30"/>
      <c r="P967" s="34">
        <v>1000.0</v>
      </c>
      <c r="Q967" s="35">
        <v>49.0</v>
      </c>
      <c r="R967" s="32">
        <v>45852.0</v>
      </c>
      <c r="S967" s="32">
        <v>45814.0</v>
      </c>
      <c r="T967" s="29"/>
      <c r="U967" s="33"/>
      <c r="V967" s="1"/>
    </row>
    <row r="968" ht="24.0" customHeight="1">
      <c r="A968" s="1"/>
      <c r="B968" s="24" t="str">
        <f>HYPERLINK("https://www.compass.com/listing/5700-arlington-avenue-unit-2x-bronx-ny-10471/1800964370636305217/view?agent_id=610d3f3370540700019b0833","5700 Arlington Avenue, Unit 2X")</f>
        <v>5700 Arlington Avenue, Unit 2X</v>
      </c>
      <c r="C968" s="25" t="s">
        <v>22</v>
      </c>
      <c r="D968" s="26" t="s">
        <v>23</v>
      </c>
      <c r="E968" s="27" t="str">
        <f>HYPERLINK("https://www.compass.com/building/skyview-on-the-hudson-bronx-ny/293529087136258053/","Skyview on the Hudson ")</f>
        <v>Skyview on the Hudson </v>
      </c>
      <c r="F968" s="25" t="s">
        <v>75</v>
      </c>
      <c r="G968" s="28">
        <v>275000.0</v>
      </c>
      <c r="H968" s="28">
        <v>306.0</v>
      </c>
      <c r="I968" s="28">
        <v>1095.0</v>
      </c>
      <c r="J968" s="28">
        <v>0.0</v>
      </c>
      <c r="K968" s="25" t="s">
        <v>25</v>
      </c>
      <c r="L968" s="26">
        <v>4.0</v>
      </c>
      <c r="M968" s="26">
        <v>2.0</v>
      </c>
      <c r="N968" s="26">
        <v>1.0</v>
      </c>
      <c r="O968" s="26">
        <v>0.0</v>
      </c>
      <c r="P968" s="26">
        <v>900.0</v>
      </c>
      <c r="Q968" s="35">
        <v>127.0</v>
      </c>
      <c r="R968" s="32">
        <v>45861.0</v>
      </c>
      <c r="S968" s="32">
        <v>45736.0</v>
      </c>
      <c r="T968" s="29"/>
      <c r="U968" s="33"/>
      <c r="V968" s="1"/>
    </row>
    <row r="969" ht="24.0" customHeight="1">
      <c r="A969" s="1"/>
      <c r="B969" s="24" t="str">
        <f>HYPERLINK("https://www.compass.com/listing/625-new-york-avenue-unit-3d-brooklyn-ny-11203/1856106921635390977/view?agent_id=610d3f3370540700019b0833","625 New York Avenue, Unit 3D")</f>
        <v>625 New York Avenue, Unit 3D</v>
      </c>
      <c r="C969" s="25" t="s">
        <v>22</v>
      </c>
      <c r="D969" s="26" t="s">
        <v>23</v>
      </c>
      <c r="E969" s="27" t="str">
        <f>HYPERLINK("https://www.compass.com/building/625-new-york-ave-brooklyn-ny-11203/293529664851295941/","625 New York Ave")</f>
        <v>625 New York Ave</v>
      </c>
      <c r="F969" s="25" t="s">
        <v>61</v>
      </c>
      <c r="G969" s="28">
        <v>815000.0</v>
      </c>
      <c r="H969" s="28">
        <v>1045.0</v>
      </c>
      <c r="I969" s="28">
        <v>1122.0</v>
      </c>
      <c r="J969" s="28">
        <v>7464.0</v>
      </c>
      <c r="K969" s="25" t="s">
        <v>28</v>
      </c>
      <c r="L969" s="26">
        <v>4.0</v>
      </c>
      <c r="M969" s="26">
        <v>2.0</v>
      </c>
      <c r="N969" s="26">
        <v>1.0</v>
      </c>
      <c r="O969" s="26">
        <v>0.0</v>
      </c>
      <c r="P969" s="26">
        <v>780.0</v>
      </c>
      <c r="Q969" s="35">
        <v>51.0</v>
      </c>
      <c r="R969" s="32">
        <v>45863.0</v>
      </c>
      <c r="S969" s="32">
        <v>45812.0</v>
      </c>
      <c r="T969" s="29"/>
      <c r="U969" s="33"/>
      <c r="V969" s="1"/>
    </row>
    <row r="970" ht="24.0" customHeight="1">
      <c r="A970" s="1"/>
      <c r="B970" s="24" t="str">
        <f>HYPERLINK("https://www.compass.com/listing/83-06-vietor-avenue-unit-3f-queens-ny-11373/1844909827325686289/view?agent_id=610d3f3370540700019b0833","83-06 Vietor Avenue, Unit 3F")</f>
        <v>83-06 Vietor Avenue, Unit 3F</v>
      </c>
      <c r="C970" s="25" t="s">
        <v>22</v>
      </c>
      <c r="D970" s="26" t="s">
        <v>23</v>
      </c>
      <c r="E970" s="27" t="str">
        <f>HYPERLINK("https://www.compass.com/building/83-06-vietor-ave-queens-ny-11373/293529749123288069/","83-06 Vietor Ave")</f>
        <v>83-06 Vietor Ave</v>
      </c>
      <c r="F970" s="25" t="s">
        <v>151</v>
      </c>
      <c r="G970" s="28">
        <v>500000.0</v>
      </c>
      <c r="H970" s="29"/>
      <c r="I970" s="28">
        <v>112362.0</v>
      </c>
      <c r="J970" s="28">
        <v>0.0</v>
      </c>
      <c r="K970" s="25" t="s">
        <v>25</v>
      </c>
      <c r="L970" s="26">
        <v>4.0</v>
      </c>
      <c r="M970" s="26">
        <v>2.0</v>
      </c>
      <c r="N970" s="26">
        <v>1.0</v>
      </c>
      <c r="O970" s="30"/>
      <c r="P970" s="30"/>
      <c r="Q970" s="35">
        <v>67.0</v>
      </c>
      <c r="R970" s="32">
        <v>45797.0</v>
      </c>
      <c r="S970" s="32">
        <v>45796.0</v>
      </c>
      <c r="T970" s="29"/>
      <c r="U970" s="33"/>
      <c r="V970" s="1"/>
    </row>
    <row r="971" ht="24.0" customHeight="1">
      <c r="A971" s="1"/>
      <c r="B971" s="24" t="str">
        <f>HYPERLINK("https://www.compass.com/listing/5610-netherland-avenue-unit-2a-bronx-ny-10471/1764659194196278873/view?agent_id=610d3f3370540700019b0833","5610 Netherland Avenue, Unit 2A")</f>
        <v>5610 Netherland Avenue, Unit 2A</v>
      </c>
      <c r="C971" s="25" t="s">
        <v>22</v>
      </c>
      <c r="D971" s="26" t="s">
        <v>23</v>
      </c>
      <c r="E971" s="27" t="str">
        <f>HYPERLINK("https://www.compass.com/building/5610-netherland-ave-bronx-ny-10471/294841262746076597/","5610 Netherland Ave")</f>
        <v>5610 Netherland Ave</v>
      </c>
      <c r="F971" s="25" t="s">
        <v>75</v>
      </c>
      <c r="G971" s="28">
        <v>265000.0</v>
      </c>
      <c r="H971" s="28">
        <v>331.0</v>
      </c>
      <c r="I971" s="28">
        <v>1221.0</v>
      </c>
      <c r="J971" s="28">
        <v>0.0</v>
      </c>
      <c r="K971" s="25" t="s">
        <v>25</v>
      </c>
      <c r="L971" s="26">
        <v>4.0</v>
      </c>
      <c r="M971" s="26">
        <v>2.0</v>
      </c>
      <c r="N971" s="26">
        <v>1.0</v>
      </c>
      <c r="O971" s="26">
        <v>0.0</v>
      </c>
      <c r="P971" s="26">
        <v>800.0</v>
      </c>
      <c r="Q971" s="35">
        <v>177.0</v>
      </c>
      <c r="R971" s="32">
        <v>45853.0</v>
      </c>
      <c r="S971" s="32">
        <v>45686.0</v>
      </c>
      <c r="T971" s="29"/>
      <c r="U971" s="33"/>
      <c r="V971" s="1"/>
    </row>
    <row r="972" ht="24.0" customHeight="1">
      <c r="A972" s="1"/>
      <c r="B972" s="24" t="str">
        <f>HYPERLINK("https://www.compass.com/listing/38-15-149th-street-unit-3f-queens-ny-11354/1876182123367735425/view?agent_id=610d3f3370540700019b0833","38-15 149th Street, Unit 3F")</f>
        <v>38-15 149th Street, Unit 3F</v>
      </c>
      <c r="C972" s="25" t="s">
        <v>22</v>
      </c>
      <c r="D972" s="26" t="s">
        <v>23</v>
      </c>
      <c r="E972" s="27" t="str">
        <f>HYPERLINK("https://www.compass.com/building/38-15-149th-st-queens-ny-11354/293527290204191573/","38-15 149th St")</f>
        <v>38-15 149th St</v>
      </c>
      <c r="F972" s="25" t="s">
        <v>160</v>
      </c>
      <c r="G972" s="28">
        <v>398000.0</v>
      </c>
      <c r="H972" s="28">
        <v>379.0</v>
      </c>
      <c r="I972" s="28">
        <v>872.0</v>
      </c>
      <c r="J972" s="29"/>
      <c r="K972" s="25" t="s">
        <v>25</v>
      </c>
      <c r="L972" s="26">
        <v>5.0</v>
      </c>
      <c r="M972" s="26">
        <v>2.0</v>
      </c>
      <c r="N972" s="26">
        <v>1.0</v>
      </c>
      <c r="O972" s="30"/>
      <c r="P972" s="34">
        <v>1050.0</v>
      </c>
      <c r="Q972" s="35">
        <v>23.0</v>
      </c>
      <c r="R972" s="32">
        <v>45857.0</v>
      </c>
      <c r="S972" s="32">
        <v>45840.0</v>
      </c>
      <c r="T972" s="29"/>
      <c r="U972" s="33"/>
      <c r="V972" s="1"/>
    </row>
    <row r="973" ht="24.0" customHeight="1">
      <c r="A973" s="1"/>
      <c r="B973" s="24" t="str">
        <f>HYPERLINK("https://www.compass.com/listing/135-10-35th-avenue-unit-3d-queens-ny-11354/1857731260424164081/view?agent_id=610d3f3370540700019b0833","135-10 35th Avenue, Unit 3D")</f>
        <v>135-10 35th Avenue, Unit 3D</v>
      </c>
      <c r="C973" s="25" t="s">
        <v>22</v>
      </c>
      <c r="D973" s="26" t="s">
        <v>23</v>
      </c>
      <c r="E973" s="27" t="str">
        <f>HYPERLINK("https://www.compass.com/building/135-10-35th-ave-queens-ny-11354/293528837264815829/","135-10 35th Ave")</f>
        <v>135-10 35th Ave</v>
      </c>
      <c r="F973" s="25" t="s">
        <v>185</v>
      </c>
      <c r="G973" s="28">
        <v>620000.0</v>
      </c>
      <c r="H973" s="28">
        <v>775.0</v>
      </c>
      <c r="I973" s="28">
        <v>860.0</v>
      </c>
      <c r="J973" s="28">
        <v>7080.0</v>
      </c>
      <c r="K973" s="25" t="s">
        <v>28</v>
      </c>
      <c r="L973" s="26">
        <v>4.0</v>
      </c>
      <c r="M973" s="26">
        <v>2.0</v>
      </c>
      <c r="N973" s="26">
        <v>1.0</v>
      </c>
      <c r="O973" s="30"/>
      <c r="P973" s="26">
        <v>800.0</v>
      </c>
      <c r="Q973" s="35">
        <v>49.0</v>
      </c>
      <c r="R973" s="32">
        <v>45815.0</v>
      </c>
      <c r="S973" s="32">
        <v>45814.0</v>
      </c>
      <c r="T973" s="29"/>
      <c r="U973" s="33"/>
      <c r="V973" s="1"/>
    </row>
    <row r="974" ht="24.0" customHeight="1">
      <c r="A974" s="1"/>
      <c r="B974" s="24" t="str">
        <f>HYPERLINK("https://www.compass.com/listing/21-preston-court-brooklyn-ny-11234/1815607802867093865/view?agent_id=610d3f3370540700019b0833","21 Preston Court")</f>
        <v>21 Preston Court</v>
      </c>
      <c r="C974" s="25" t="s">
        <v>22</v>
      </c>
      <c r="D974" s="26" t="s">
        <v>23</v>
      </c>
      <c r="E974" s="27" t="str">
        <f>HYPERLINK("https://www.compass.com/building/21-preston-ct-brooklyn-ny-11234/293526115656503445/","21 Preston Ct")</f>
        <v>21 Preston Ct</v>
      </c>
      <c r="F974" s="25" t="s">
        <v>123</v>
      </c>
      <c r="G974" s="28">
        <v>275000.0</v>
      </c>
      <c r="H974" s="28">
        <v>254.0</v>
      </c>
      <c r="I974" s="28">
        <v>124.0</v>
      </c>
      <c r="J974" s="28">
        <v>1484.0</v>
      </c>
      <c r="K974" s="25" t="s">
        <v>97</v>
      </c>
      <c r="L974" s="26">
        <v>6.0</v>
      </c>
      <c r="M974" s="26">
        <v>2.0</v>
      </c>
      <c r="N974" s="26">
        <v>1.0</v>
      </c>
      <c r="O974" s="30"/>
      <c r="P974" s="34">
        <v>1084.0</v>
      </c>
      <c r="Q974" s="35">
        <v>106.0</v>
      </c>
      <c r="R974" s="32">
        <v>45861.0</v>
      </c>
      <c r="S974" s="32">
        <v>45756.0</v>
      </c>
      <c r="T974" s="29"/>
      <c r="U974" s="33"/>
      <c r="V974" s="1"/>
    </row>
    <row r="975" ht="24.0" customHeight="1">
      <c r="A975" s="1"/>
      <c r="B975" s="24" t="str">
        <f>HYPERLINK("https://www.compass.com/listing/55-aster-court-brooklyn-ny-11229/1876497198569878537/view?agent_id=610d3f3370540700019b0833","55 Aster Court")</f>
        <v>55 Aster Court</v>
      </c>
      <c r="C975" s="25" t="s">
        <v>22</v>
      </c>
      <c r="D975" s="26" t="s">
        <v>23</v>
      </c>
      <c r="E975" s="27" t="str">
        <f>HYPERLINK("https://www.compass.com/building/55-aster-ct-brooklyn-ny-11229/293530364494790069/","55 Aster Ct")</f>
        <v>55 Aster Ct</v>
      </c>
      <c r="F975" s="25" t="s">
        <v>240</v>
      </c>
      <c r="G975" s="28">
        <v>559000.0</v>
      </c>
      <c r="H975" s="28">
        <v>932.0</v>
      </c>
      <c r="I975" s="28">
        <v>371.0</v>
      </c>
      <c r="J975" s="28">
        <v>4447.0</v>
      </c>
      <c r="K975" s="25" t="s">
        <v>159</v>
      </c>
      <c r="L975" s="26">
        <v>4.0</v>
      </c>
      <c r="M975" s="26">
        <v>2.0</v>
      </c>
      <c r="N975" s="26">
        <v>1.0</v>
      </c>
      <c r="O975" s="30"/>
      <c r="P975" s="26">
        <v>600.0</v>
      </c>
      <c r="Q975" s="35">
        <v>23.0</v>
      </c>
      <c r="R975" s="32">
        <v>45859.0</v>
      </c>
      <c r="S975" s="32">
        <v>45840.0</v>
      </c>
      <c r="T975" s="29"/>
      <c r="U975" s="33"/>
      <c r="V975" s="1"/>
    </row>
    <row r="976" ht="24.0" customHeight="1">
      <c r="A976" s="1"/>
      <c r="B976" s="24" t="str">
        <f>HYPERLINK("https://www.compass.com/listing/570-44th-street-unit-6-brooklyn-ny-11220/1872006507247795585/view?agent_id=610d3f3370540700019b0833","570 44th Street, Unit 6")</f>
        <v>570 44th Street, Unit 6</v>
      </c>
      <c r="C976" s="25" t="s">
        <v>22</v>
      </c>
      <c r="D976" s="26" t="s">
        <v>23</v>
      </c>
      <c r="E976" s="27" t="str">
        <f>HYPERLINK("https://www.compass.com/building/570-44th-st-brooklyn-ny-11220/293527858196799269/","570 44th St")</f>
        <v>570 44th St</v>
      </c>
      <c r="F976" s="25" t="s">
        <v>128</v>
      </c>
      <c r="G976" s="28">
        <v>550000.0</v>
      </c>
      <c r="H976" s="28">
        <v>733.0</v>
      </c>
      <c r="I976" s="28">
        <v>775.0</v>
      </c>
      <c r="J976" s="28">
        <v>0.0</v>
      </c>
      <c r="K976" s="25" t="s">
        <v>25</v>
      </c>
      <c r="L976" s="26">
        <v>4.0</v>
      </c>
      <c r="M976" s="26">
        <v>2.0</v>
      </c>
      <c r="N976" s="26">
        <v>1.0</v>
      </c>
      <c r="O976" s="26">
        <v>0.0</v>
      </c>
      <c r="P976" s="26">
        <v>750.0</v>
      </c>
      <c r="Q976" s="35">
        <v>29.0</v>
      </c>
      <c r="R976" s="32">
        <v>45858.0</v>
      </c>
      <c r="S976" s="32">
        <v>45834.0</v>
      </c>
      <c r="T976" s="29"/>
      <c r="U976" s="33"/>
      <c r="V976" s="1"/>
    </row>
    <row r="977" ht="24.0" customHeight="1">
      <c r="A977" s="1"/>
      <c r="B977" s="24" t="str">
        <f>HYPERLINK("https://www.compass.com/listing/7-24-166th-street-unit-8c-queens-ny-11357/1882805183358925993/view?agent_id=610d3f3370540700019b0833","7-24 166th Street, Unit 8C")</f>
        <v>7-24 166th Street, Unit 8C</v>
      </c>
      <c r="C977" s="25" t="s">
        <v>22</v>
      </c>
      <c r="D977" s="26" t="s">
        <v>23</v>
      </c>
      <c r="E977" s="27" t="str">
        <f>HYPERLINK("https://www.compass.com/building/7-24-166th-st-queens-ny-11357/293534859035467221/","7-24 166th St")</f>
        <v>7-24 166th St</v>
      </c>
      <c r="F977" s="25" t="s">
        <v>94</v>
      </c>
      <c r="G977" s="28">
        <v>400000.0</v>
      </c>
      <c r="H977" s="28">
        <v>394.0</v>
      </c>
      <c r="I977" s="28">
        <v>1341.0</v>
      </c>
      <c r="J977" s="29"/>
      <c r="K977" s="25" t="s">
        <v>25</v>
      </c>
      <c r="L977" s="26">
        <v>4.0</v>
      </c>
      <c r="M977" s="26">
        <v>2.0</v>
      </c>
      <c r="N977" s="26">
        <v>1.0</v>
      </c>
      <c r="O977" s="30"/>
      <c r="P977" s="34">
        <v>1014.0</v>
      </c>
      <c r="Q977" s="35">
        <v>14.0</v>
      </c>
      <c r="R977" s="32">
        <v>45862.0</v>
      </c>
      <c r="S977" s="32">
        <v>45849.0</v>
      </c>
      <c r="T977" s="29"/>
      <c r="U977" s="33"/>
      <c r="V977" s="1"/>
    </row>
    <row r="978" ht="24.0" customHeight="1">
      <c r="A978" s="1"/>
      <c r="B978" s="24" t="str">
        <f>HYPERLINK("https://www.compass.com/listing/11-02-49th-avenue-unit-9e-queens-ny-11101/1861675923923367273/view?agent_id=610d3f3370540700019b0833","11-02 49th Avenue, Unit 9E")</f>
        <v>11-02 49th Avenue, Unit 9E</v>
      </c>
      <c r="C978" s="25" t="s">
        <v>22</v>
      </c>
      <c r="D978" s="26" t="s">
        <v>23</v>
      </c>
      <c r="E978" s="27" t="str">
        <f>HYPERLINK("https://www.compass.com/building/l-haus-queens-ny/436390472312218213/","L Haus")</f>
        <v>L Haus</v>
      </c>
      <c r="F978" s="25" t="s">
        <v>215</v>
      </c>
      <c r="G978" s="28">
        <v>1150000.0</v>
      </c>
      <c r="H978" s="28">
        <v>1239.0</v>
      </c>
      <c r="I978" s="28">
        <v>1895.0</v>
      </c>
      <c r="J978" s="28">
        <v>8256.0</v>
      </c>
      <c r="K978" s="25" t="s">
        <v>28</v>
      </c>
      <c r="L978" s="26">
        <v>4.0</v>
      </c>
      <c r="M978" s="26">
        <v>2.0</v>
      </c>
      <c r="N978" s="26">
        <v>1.0</v>
      </c>
      <c r="O978" s="26">
        <v>0.0</v>
      </c>
      <c r="P978" s="26">
        <v>928.0</v>
      </c>
      <c r="Q978" s="35">
        <v>43.0</v>
      </c>
      <c r="R978" s="32">
        <v>45852.0</v>
      </c>
      <c r="S978" s="32">
        <v>45820.0</v>
      </c>
      <c r="T978" s="29"/>
      <c r="U978" s="33"/>
      <c r="V978" s="1"/>
    </row>
    <row r="979" ht="24.0" customHeight="1">
      <c r="A979" s="1"/>
      <c r="B979" s="24" t="str">
        <f>HYPERLINK("https://www.compass.com/listing/2-fordham-hill-ovl-unit-2f-bronx-ny-10468/1863528708676525897/view?agent_id=610d3f3370540700019b0833","2 Fordham Hill Ovl, Unit 2F")</f>
        <v>2 Fordham Hill Ovl, Unit 2F</v>
      </c>
      <c r="C979" s="25" t="s">
        <v>22</v>
      </c>
      <c r="D979" s="26" t="s">
        <v>23</v>
      </c>
      <c r="E979" s="27" t="str">
        <f>HYPERLINK("https://www.compass.com/building/2-fordham-hill-oval-bronx-ny-10468/294841754830099157/","2 Fordham Hill Oval")</f>
        <v>2 Fordham Hill Oval</v>
      </c>
      <c r="F979" s="25" t="s">
        <v>126</v>
      </c>
      <c r="G979" s="28">
        <v>249999.0</v>
      </c>
      <c r="H979" s="28">
        <v>267.0</v>
      </c>
      <c r="I979" s="28">
        <v>1450.0</v>
      </c>
      <c r="J979" s="29"/>
      <c r="K979" s="25" t="s">
        <v>25</v>
      </c>
      <c r="L979" s="26">
        <v>4.0</v>
      </c>
      <c r="M979" s="26">
        <v>2.0</v>
      </c>
      <c r="N979" s="26">
        <v>1.0</v>
      </c>
      <c r="O979" s="30"/>
      <c r="P979" s="26">
        <v>935.0</v>
      </c>
      <c r="Q979" s="35">
        <v>40.0</v>
      </c>
      <c r="R979" s="32">
        <v>45862.0</v>
      </c>
      <c r="S979" s="32">
        <v>45823.0</v>
      </c>
      <c r="T979" s="29"/>
      <c r="U979" s="33"/>
      <c r="V979" s="1"/>
    </row>
    <row r="980" ht="24.0" customHeight="1">
      <c r="A980" s="1"/>
      <c r="B980" s="24" t="str">
        <f>HYPERLINK("https://www.compass.com/listing/2929-brighton-5th-street-unit-2d-brooklyn-ny-11235/1822293622062383977/view?agent_id=610d3f3370540700019b0833","2929 Brighton 5th Street, Unit 2D")</f>
        <v>2929 Brighton 5th Street, Unit 2D</v>
      </c>
      <c r="C980" s="25" t="s">
        <v>22</v>
      </c>
      <c r="D980" s="26" t="s">
        <v>23</v>
      </c>
      <c r="E980" s="26" t="s">
        <v>241</v>
      </c>
      <c r="F980" s="25" t="s">
        <v>74</v>
      </c>
      <c r="G980" s="28">
        <v>599000.0</v>
      </c>
      <c r="H980" s="29"/>
      <c r="I980" s="28">
        <v>167.0</v>
      </c>
      <c r="J980" s="28">
        <v>228.0</v>
      </c>
      <c r="K980" s="25" t="s">
        <v>28</v>
      </c>
      <c r="L980" s="26">
        <v>4.0</v>
      </c>
      <c r="M980" s="26">
        <v>2.0</v>
      </c>
      <c r="N980" s="26">
        <v>1.0</v>
      </c>
      <c r="O980" s="30"/>
      <c r="P980" s="26">
        <v>0.0</v>
      </c>
      <c r="Q980" s="35">
        <v>98.0</v>
      </c>
      <c r="R980" s="32">
        <v>45766.0</v>
      </c>
      <c r="S980" s="32">
        <v>45765.0</v>
      </c>
      <c r="T980" s="29"/>
      <c r="U980" s="33"/>
      <c r="V980" s="1"/>
    </row>
    <row r="981" ht="24.0" customHeight="1">
      <c r="A981" s="1"/>
      <c r="B981" s="24" t="str">
        <f>HYPERLINK("https://www.compass.com/listing/3000-valentine-avenue-unit-3c-bronx-ny-10458/1875675563741777361/view?agent_id=610d3f3370540700019b0833","3000 Valentine Avenue, Unit 3C")</f>
        <v>3000 Valentine Avenue, Unit 3C</v>
      </c>
      <c r="C981" s="25" t="s">
        <v>22</v>
      </c>
      <c r="D981" s="26" t="s">
        <v>23</v>
      </c>
      <c r="E981" s="27" t="str">
        <f>HYPERLINK("https://www.compass.com/building/3000-valentine-ave-bronx-ny-10458/293417999434627125/","3000 Valentine Ave")</f>
        <v>3000 Valentine Ave</v>
      </c>
      <c r="F981" s="25" t="s">
        <v>176</v>
      </c>
      <c r="G981" s="28">
        <v>260000.0</v>
      </c>
      <c r="H981" s="29"/>
      <c r="I981" s="28">
        <v>1279.0</v>
      </c>
      <c r="J981" s="28">
        <v>0.0</v>
      </c>
      <c r="K981" s="25" t="s">
        <v>25</v>
      </c>
      <c r="L981" s="26">
        <v>4.0</v>
      </c>
      <c r="M981" s="26">
        <v>2.0</v>
      </c>
      <c r="N981" s="26">
        <v>1.0</v>
      </c>
      <c r="O981" s="26">
        <v>0.0</v>
      </c>
      <c r="P981" s="30"/>
      <c r="Q981" s="35">
        <v>24.0</v>
      </c>
      <c r="R981" s="32">
        <v>45847.0</v>
      </c>
      <c r="S981" s="32">
        <v>45839.0</v>
      </c>
      <c r="T981" s="29"/>
      <c r="U981" s="33"/>
      <c r="V981" s="1"/>
    </row>
    <row r="982" ht="24.0" customHeight="1">
      <c r="A982" s="1"/>
      <c r="B982" s="24" t="str">
        <f>HYPERLINK("https://www.compass.com/listing/2190-brigham-street-unit-6g-brooklyn-ny-11229/1881595334540807201/view?agent_id=610d3f3370540700019b0833","2190 Brigham Street, Unit 6G")</f>
        <v>2190 Brigham Street, Unit 6G</v>
      </c>
      <c r="C982" s="25" t="s">
        <v>22</v>
      </c>
      <c r="D982" s="26" t="s">
        <v>23</v>
      </c>
      <c r="E982" s="27" t="str">
        <f>HYPERLINK("https://www.compass.com/building/2190-brigham-st-brooklyn-ny-11229/293535003940342181/","2190 Brigham St")</f>
        <v>2190 Brigham St</v>
      </c>
      <c r="F982" s="25" t="s">
        <v>70</v>
      </c>
      <c r="G982" s="28">
        <v>268000.0</v>
      </c>
      <c r="H982" s="28">
        <v>299.0</v>
      </c>
      <c r="I982" s="28">
        <v>1210.0</v>
      </c>
      <c r="J982" s="29"/>
      <c r="K982" s="25" t="s">
        <v>25</v>
      </c>
      <c r="L982" s="26">
        <v>5.0</v>
      </c>
      <c r="M982" s="26">
        <v>2.0</v>
      </c>
      <c r="N982" s="26">
        <v>1.0</v>
      </c>
      <c r="O982" s="30"/>
      <c r="P982" s="26">
        <v>895.0</v>
      </c>
      <c r="Q982" s="35">
        <v>16.0</v>
      </c>
      <c r="R982" s="32">
        <v>45849.0</v>
      </c>
      <c r="S982" s="32">
        <v>45847.0</v>
      </c>
      <c r="T982" s="29"/>
      <c r="U982" s="33"/>
      <c r="V982" s="1"/>
    </row>
    <row r="983" ht="24.0" customHeight="1">
      <c r="A983" s="1"/>
      <c r="B983" s="24" t="str">
        <f>HYPERLINK("https://www.compass.com/listing/25-25-31st-avenue-unit-4b-queens-ny-11106/1857487974224466281/view?agent_id=610d3f3370540700019b0833","25-25 31st Avenue, Unit 4B")</f>
        <v>25-25 31st Avenue, Unit 4B</v>
      </c>
      <c r="C983" s="25" t="s">
        <v>22</v>
      </c>
      <c r="D983" s="26" t="s">
        <v>23</v>
      </c>
      <c r="E983" s="27" t="str">
        <f t="shared" ref="E983:E984" si="5">HYPERLINK("https://www.compass.com/building/25-25-31st-ave-queens-ny-11106/293532859031905429/","25-25 31st Ave")</f>
        <v>25-25 31st Ave</v>
      </c>
      <c r="F983" s="25" t="s">
        <v>68</v>
      </c>
      <c r="G983" s="28">
        <v>919000.0</v>
      </c>
      <c r="H983" s="28">
        <v>1055.0</v>
      </c>
      <c r="I983" s="28">
        <v>1478.0</v>
      </c>
      <c r="J983" s="28">
        <v>9924.0</v>
      </c>
      <c r="K983" s="25" t="s">
        <v>28</v>
      </c>
      <c r="L983" s="26">
        <v>4.0</v>
      </c>
      <c r="M983" s="26">
        <v>2.0</v>
      </c>
      <c r="N983" s="26">
        <v>1.0</v>
      </c>
      <c r="O983" s="30"/>
      <c r="P983" s="26">
        <v>871.0</v>
      </c>
      <c r="Q983" s="35">
        <v>49.0</v>
      </c>
      <c r="R983" s="32">
        <v>45858.0</v>
      </c>
      <c r="S983" s="32">
        <v>45814.0</v>
      </c>
      <c r="T983" s="29"/>
      <c r="U983" s="33"/>
      <c r="V983" s="1"/>
    </row>
    <row r="984" ht="24.0" customHeight="1">
      <c r="A984" s="1"/>
      <c r="B984" s="24" t="str">
        <f>HYPERLINK("https://www.compass.com/listing/25-25-31st-avenue-unit-6b-queens-ny-11106/1857576869209382993/view?agent_id=610d3f3370540700019b0833","25-25 31st Avenue, Unit 6B")</f>
        <v>25-25 31st Avenue, Unit 6B</v>
      </c>
      <c r="C984" s="25" t="s">
        <v>22</v>
      </c>
      <c r="D984" s="26" t="s">
        <v>23</v>
      </c>
      <c r="E984" s="27" t="str">
        <f t="shared" si="5"/>
        <v>25-25 31st Ave</v>
      </c>
      <c r="F984" s="25" t="s">
        <v>68</v>
      </c>
      <c r="G984" s="28">
        <v>959000.0</v>
      </c>
      <c r="H984" s="28">
        <v>1101.0</v>
      </c>
      <c r="I984" s="28">
        <v>1578.0</v>
      </c>
      <c r="J984" s="28">
        <v>10380.0</v>
      </c>
      <c r="K984" s="25" t="s">
        <v>28</v>
      </c>
      <c r="L984" s="26">
        <v>4.0</v>
      </c>
      <c r="M984" s="26">
        <v>2.0</v>
      </c>
      <c r="N984" s="26">
        <v>1.0</v>
      </c>
      <c r="O984" s="30"/>
      <c r="P984" s="26">
        <v>871.0</v>
      </c>
      <c r="Q984" s="35">
        <v>49.0</v>
      </c>
      <c r="R984" s="32">
        <v>45858.0</v>
      </c>
      <c r="S984" s="32">
        <v>45814.0</v>
      </c>
      <c r="T984" s="29"/>
      <c r="U984" s="33"/>
      <c r="V984" s="1"/>
    </row>
    <row r="985" ht="24.0" customHeight="1">
      <c r="A985" s="1"/>
      <c r="B985" s="24" t="str">
        <f>HYPERLINK("https://www.compass.com/listing/67-11-yellowstone-boulevard-unit-2b-queens-ny-11375/1874036094722825177/view?agent_id=610d3f3370540700019b0833","67-11 Yellowstone Boulevard, Unit 2B")</f>
        <v>67-11 Yellowstone Boulevard, Unit 2B</v>
      </c>
      <c r="C985" s="25" t="s">
        <v>22</v>
      </c>
      <c r="D985" s="26" t="s">
        <v>23</v>
      </c>
      <c r="E985" s="27" t="str">
        <f>HYPERLINK("https://www.compass.com/building/67-11-yellowstone-blvd-queens-ny-11375/294845278834138229/","67-11 Yellowstone Blvd")</f>
        <v>67-11 Yellowstone Blvd</v>
      </c>
      <c r="F985" s="25" t="s">
        <v>83</v>
      </c>
      <c r="G985" s="28">
        <v>445000.0</v>
      </c>
      <c r="H985" s="29"/>
      <c r="I985" s="28">
        <v>1170.0</v>
      </c>
      <c r="J985" s="29"/>
      <c r="K985" s="25" t="s">
        <v>25</v>
      </c>
      <c r="L985" s="26">
        <v>5.0</v>
      </c>
      <c r="M985" s="26">
        <v>2.0</v>
      </c>
      <c r="N985" s="26">
        <v>1.0</v>
      </c>
      <c r="O985" s="30"/>
      <c r="P985" s="30"/>
      <c r="Q985" s="35">
        <v>18.0</v>
      </c>
      <c r="R985" s="32">
        <v>45858.0</v>
      </c>
      <c r="S985" s="32">
        <v>45845.0</v>
      </c>
      <c r="T985" s="29"/>
      <c r="U985" s="33"/>
      <c r="V985" s="1"/>
    </row>
    <row r="986" ht="24.0" customHeight="1">
      <c r="A986" s="1"/>
      <c r="B986" s="24" t="str">
        <f>HYPERLINK("https://www.compass.com/listing/52-24-65th-place-unit-6p-queens-ny-11378/1793362980991840273/view?agent_id=610d3f3370540700019b0833","52-24 65th Place, Unit 6P")</f>
        <v>52-24 65th Place, Unit 6P</v>
      </c>
      <c r="C986" s="25" t="s">
        <v>22</v>
      </c>
      <c r="D986" s="26" t="s">
        <v>23</v>
      </c>
      <c r="E986" s="27" t="str">
        <f>HYPERLINK("https://www.compass.com/building/52-24-65th-pl-queens-ny-11378/293531425930569461/","52-24 65th Pl")</f>
        <v>52-24 65th Pl</v>
      </c>
      <c r="F986" s="25" t="s">
        <v>242</v>
      </c>
      <c r="G986" s="28">
        <v>385000.0</v>
      </c>
      <c r="H986" s="28">
        <v>499.0</v>
      </c>
      <c r="I986" s="28">
        <v>806.0</v>
      </c>
      <c r="J986" s="28">
        <v>0.0</v>
      </c>
      <c r="K986" s="25" t="s">
        <v>25</v>
      </c>
      <c r="L986" s="26">
        <v>4.0</v>
      </c>
      <c r="M986" s="26">
        <v>2.0</v>
      </c>
      <c r="N986" s="26">
        <v>1.0</v>
      </c>
      <c r="O986" s="30"/>
      <c r="P986" s="26">
        <v>771.0</v>
      </c>
      <c r="Q986" s="35">
        <v>139.0</v>
      </c>
      <c r="R986" s="32">
        <v>45726.0</v>
      </c>
      <c r="S986" s="32">
        <v>45724.0</v>
      </c>
      <c r="T986" s="29"/>
      <c r="U986" s="33"/>
      <c r="V986" s="1"/>
    </row>
    <row r="987" ht="24.0" customHeight="1">
      <c r="A987" s="1"/>
      <c r="B987" s="24" t="str">
        <f>HYPERLINK("https://www.compass.com/listing/1885-lexington-avenue-unit-5b-manhattan-ny-10035/1789155878633924817/view?agent_id=610d3f3370540700019b0833","1885 Lexington Avenue, Unit 5B")</f>
        <v>1885 Lexington Avenue, Unit 5B</v>
      </c>
      <c r="C987" s="25" t="s">
        <v>22</v>
      </c>
      <c r="D987" s="26" t="s">
        <v>23</v>
      </c>
      <c r="E987" s="27" t="str">
        <f>HYPERLINK("https://www.compass.com/building/lancaster-lexington-manhattan-ny/282017824111596149/","Lancaster Lexington")</f>
        <v>Lancaster Lexington</v>
      </c>
      <c r="F987" s="25" t="s">
        <v>133</v>
      </c>
      <c r="G987" s="28">
        <v>515000.0</v>
      </c>
      <c r="H987" s="28">
        <v>539.0</v>
      </c>
      <c r="I987" s="28">
        <v>1219.0</v>
      </c>
      <c r="J987" s="29"/>
      <c r="K987" s="25" t="s">
        <v>25</v>
      </c>
      <c r="L987" s="26">
        <v>4.0</v>
      </c>
      <c r="M987" s="26">
        <v>2.0</v>
      </c>
      <c r="N987" s="26">
        <v>1.0</v>
      </c>
      <c r="O987" s="30"/>
      <c r="P987" s="26">
        <v>955.0</v>
      </c>
      <c r="Q987" s="35">
        <v>135.0</v>
      </c>
      <c r="R987" s="32">
        <v>45842.0</v>
      </c>
      <c r="S987" s="32">
        <v>45727.0</v>
      </c>
      <c r="T987" s="29"/>
      <c r="U987" s="33"/>
      <c r="V987" s="1"/>
    </row>
    <row r="988" ht="24.0" customHeight="1">
      <c r="A988" s="1"/>
      <c r="B988" s="24" t="str">
        <f>HYPERLINK("https://www.compass.com/listing/2701-cropsey-avenue-unit-1c-brooklyn-ny-11214/1880534122586735561/view?agent_id=610d3f3370540700019b0833","2701 Cropsey Avenue, Unit 1C")</f>
        <v>2701 Cropsey Avenue, Unit 1C</v>
      </c>
      <c r="C988" s="25" t="s">
        <v>22</v>
      </c>
      <c r="D988" s="26" t="s">
        <v>23</v>
      </c>
      <c r="E988" s="27" t="str">
        <f>HYPERLINK("https://www.compass.com/building/2701-cropsey-ave-brooklyn-ny-11214/293534665132843685/","2701 Cropsey Ave")</f>
        <v>2701 Cropsey Ave</v>
      </c>
      <c r="F988" s="25" t="s">
        <v>173</v>
      </c>
      <c r="G988" s="28">
        <v>599000.0</v>
      </c>
      <c r="H988" s="28">
        <v>556.0</v>
      </c>
      <c r="I988" s="28">
        <v>1228.0</v>
      </c>
      <c r="J988" s="28">
        <v>8998.0</v>
      </c>
      <c r="K988" s="25" t="s">
        <v>28</v>
      </c>
      <c r="L988" s="26">
        <v>4.0</v>
      </c>
      <c r="M988" s="26">
        <v>2.0</v>
      </c>
      <c r="N988" s="26">
        <v>1.0</v>
      </c>
      <c r="O988" s="30"/>
      <c r="P988" s="34">
        <v>1078.0</v>
      </c>
      <c r="Q988" s="35">
        <v>17.0</v>
      </c>
      <c r="R988" s="32">
        <v>45862.0</v>
      </c>
      <c r="S988" s="32">
        <v>45846.0</v>
      </c>
      <c r="T988" s="29"/>
      <c r="U988" s="33"/>
      <c r="V988" s="1"/>
    </row>
    <row r="989" ht="24.0" customHeight="1">
      <c r="A989" s="1"/>
      <c r="B989" s="24" t="str">
        <f>HYPERLINK("https://www.compass.com/listing/5650-netherland-avenue-unit-1a-bronx-ny-10471/1663123119244252905/view?agent_id=610d3f3370540700019b0833","5650 Netherland Avenue, Unit 1A")</f>
        <v>5650 Netherland Avenue, Unit 1A</v>
      </c>
      <c r="C989" s="25" t="s">
        <v>22</v>
      </c>
      <c r="D989" s="26" t="s">
        <v>23</v>
      </c>
      <c r="E989" s="27" t="str">
        <f>HYPERLINK("https://www.compass.com/building/5650-netherland-ave-bronx-ny-10471/294841734043258389/","5650 Netherland Ave")</f>
        <v>5650 Netherland Ave</v>
      </c>
      <c r="F989" s="25" t="s">
        <v>75</v>
      </c>
      <c r="G989" s="28">
        <v>280000.0</v>
      </c>
      <c r="H989" s="28">
        <v>350.0</v>
      </c>
      <c r="I989" s="28">
        <v>1149.0</v>
      </c>
      <c r="J989" s="28">
        <v>0.0</v>
      </c>
      <c r="K989" s="25" t="s">
        <v>25</v>
      </c>
      <c r="L989" s="26">
        <v>4.0</v>
      </c>
      <c r="M989" s="26">
        <v>2.0</v>
      </c>
      <c r="N989" s="26">
        <v>1.0</v>
      </c>
      <c r="O989" s="26">
        <v>0.0</v>
      </c>
      <c r="P989" s="26">
        <v>800.0</v>
      </c>
      <c r="Q989" s="35">
        <v>147.0</v>
      </c>
      <c r="R989" s="32">
        <v>45837.0</v>
      </c>
      <c r="S989" s="32">
        <v>45716.0</v>
      </c>
      <c r="T989" s="29"/>
      <c r="U989" s="33"/>
      <c r="V989" s="1"/>
    </row>
    <row r="990" ht="24.0" customHeight="1">
      <c r="A990" s="1"/>
      <c r="B990" s="24" t="str">
        <f>HYPERLINK("https://www.compass.com/listing/5601-riverdale-avenue-unit-5p-bronx-ny-10471/1665309615013836201/view?agent_id=610d3f3370540700019b0833","5601 Riverdale Avenue, Unit 5P")</f>
        <v>5601 Riverdale Avenue, Unit 5P</v>
      </c>
      <c r="C990" s="25" t="s">
        <v>22</v>
      </c>
      <c r="D990" s="26" t="s">
        <v>23</v>
      </c>
      <c r="E990" s="27" t="str">
        <f>HYPERLINK("https://www.compass.com/building/5601-riverdale-ave-bronx-ny-10471/293528585891808373/","5601 Riverdale Ave")</f>
        <v>5601 Riverdale Ave</v>
      </c>
      <c r="F990" s="25" t="s">
        <v>75</v>
      </c>
      <c r="G990" s="28">
        <v>324999.0</v>
      </c>
      <c r="H990" s="28">
        <v>295.0</v>
      </c>
      <c r="I990" s="28">
        <v>1395.0</v>
      </c>
      <c r="J990" s="28">
        <v>0.0</v>
      </c>
      <c r="K990" s="25" t="s">
        <v>25</v>
      </c>
      <c r="L990" s="26">
        <v>4.0</v>
      </c>
      <c r="M990" s="26">
        <v>2.0</v>
      </c>
      <c r="N990" s="26">
        <v>1.0</v>
      </c>
      <c r="O990" s="26">
        <v>0.0</v>
      </c>
      <c r="P990" s="34">
        <v>1100.0</v>
      </c>
      <c r="Q990" s="35">
        <v>314.0</v>
      </c>
      <c r="R990" s="32">
        <v>45857.0</v>
      </c>
      <c r="S990" s="32">
        <v>45549.0</v>
      </c>
      <c r="T990" s="29"/>
      <c r="U990" s="33"/>
      <c r="V990" s="1"/>
    </row>
    <row r="991" ht="24.0" customHeight="1">
      <c r="A991" s="1"/>
      <c r="B991" s="24" t="str">
        <f>HYPERLINK("https://www.compass.com/listing/5900-arlington-avenue-unit-8x-bronx-ny-10471/1745994108999087849/view?agent_id=610d3f3370540700019b0833","5900 Arlington Avenue, Unit 8X")</f>
        <v>5900 Arlington Avenue, Unit 8X</v>
      </c>
      <c r="C991" s="25" t="s">
        <v>22</v>
      </c>
      <c r="D991" s="26" t="s">
        <v>23</v>
      </c>
      <c r="E991" s="27" t="str">
        <f>HYPERLINK("https://www.compass.com/building/skyview-on-the-hudson-bronx-ny/293535671430276277/","Skyview On The Hudson")</f>
        <v>Skyview On The Hudson</v>
      </c>
      <c r="F991" s="25" t="s">
        <v>75</v>
      </c>
      <c r="G991" s="28">
        <v>365000.0</v>
      </c>
      <c r="H991" s="29"/>
      <c r="I991" s="28">
        <v>1167.0</v>
      </c>
      <c r="J991" s="28">
        <v>0.0</v>
      </c>
      <c r="K991" s="25" t="s">
        <v>25</v>
      </c>
      <c r="L991" s="26">
        <v>4.0</v>
      </c>
      <c r="M991" s="26">
        <v>2.0</v>
      </c>
      <c r="N991" s="26">
        <v>1.0</v>
      </c>
      <c r="O991" s="26">
        <v>0.0</v>
      </c>
      <c r="P991" s="30"/>
      <c r="Q991" s="35">
        <v>200.0</v>
      </c>
      <c r="R991" s="32">
        <v>45863.0</v>
      </c>
      <c r="S991" s="32">
        <v>45659.0</v>
      </c>
      <c r="T991" s="29"/>
      <c r="U991" s="33"/>
      <c r="V991" s="1"/>
    </row>
    <row r="992" ht="24.0" customHeight="1">
      <c r="A992" s="1"/>
      <c r="B992" s="24" t="str">
        <f>HYPERLINK("https://www.compass.com/listing/1885-lexington-avenue-unit-5a-manhattan-ny-10035/1733439561339641873/view?agent_id=610d3f3370540700019b0833","1885 Lexington Avenue, Unit 5A")</f>
        <v>1885 Lexington Avenue, Unit 5A</v>
      </c>
      <c r="C992" s="25" t="s">
        <v>22</v>
      </c>
      <c r="D992" s="26" t="s">
        <v>23</v>
      </c>
      <c r="E992" s="27" t="str">
        <f>HYPERLINK("https://www.compass.com/building/lancaster-lexington-manhattan-ny/282017824111596149/","Lancaster Lexington")</f>
        <v>Lancaster Lexington</v>
      </c>
      <c r="F992" s="25" t="s">
        <v>133</v>
      </c>
      <c r="G992" s="28">
        <v>399999.0</v>
      </c>
      <c r="H992" s="28">
        <v>440.0</v>
      </c>
      <c r="I992" s="28">
        <v>1130.0</v>
      </c>
      <c r="J992" s="28">
        <v>0.0</v>
      </c>
      <c r="K992" s="25" t="s">
        <v>25</v>
      </c>
      <c r="L992" s="26">
        <v>4.0</v>
      </c>
      <c r="M992" s="26">
        <v>2.0</v>
      </c>
      <c r="N992" s="26">
        <v>1.0</v>
      </c>
      <c r="O992" s="26">
        <v>0.0</v>
      </c>
      <c r="P992" s="26">
        <v>910.0</v>
      </c>
      <c r="Q992" s="35">
        <v>220.0</v>
      </c>
      <c r="R992" s="32">
        <v>45858.0</v>
      </c>
      <c r="S992" s="32">
        <v>45643.0</v>
      </c>
      <c r="T992" s="29"/>
      <c r="U992" s="33"/>
      <c r="V992" s="1"/>
    </row>
    <row r="993" ht="24.0" customHeight="1">
      <c r="A993" s="1"/>
      <c r="B993" s="24" t="str">
        <f>HYPERLINK("https://www.compass.com/listing/179-ocean-parkway-unit-3e-brooklyn-ny-11218/1793663699586701273/view?agent_id=610d3f3370540700019b0833","179 Ocean Parkway, Unit 3E")</f>
        <v>179 Ocean Parkway, Unit 3E</v>
      </c>
      <c r="C993" s="25" t="s">
        <v>22</v>
      </c>
      <c r="D993" s="26" t="s">
        <v>23</v>
      </c>
      <c r="E993" s="27" t="str">
        <f>HYPERLINK("https://www.compass.com/building/179-ocean-pkwy-brooklyn-ny-11218/293529286944598917/","179 Ocean Pkwy")</f>
        <v>179 Ocean Pkwy</v>
      </c>
      <c r="F993" s="25" t="s">
        <v>117</v>
      </c>
      <c r="G993" s="28">
        <v>598000.0</v>
      </c>
      <c r="H993" s="28">
        <v>825.0</v>
      </c>
      <c r="I993" s="28">
        <v>649.0</v>
      </c>
      <c r="J993" s="29"/>
      <c r="K993" s="25" t="s">
        <v>25</v>
      </c>
      <c r="L993" s="26">
        <v>4.0</v>
      </c>
      <c r="M993" s="26">
        <v>2.0</v>
      </c>
      <c r="N993" s="26">
        <v>1.0</v>
      </c>
      <c r="O993" s="26">
        <v>0.0</v>
      </c>
      <c r="P993" s="26">
        <v>725.0</v>
      </c>
      <c r="Q993" s="35">
        <v>136.0</v>
      </c>
      <c r="R993" s="32">
        <v>45859.0</v>
      </c>
      <c r="S993" s="32">
        <v>45727.0</v>
      </c>
      <c r="T993" s="29"/>
      <c r="U993" s="33"/>
      <c r="V993" s="1"/>
    </row>
    <row r="994" ht="24.0" customHeight="1">
      <c r="A994" s="1"/>
      <c r="B994" s="24" t="str">
        <f>HYPERLINK("https://www.compass.com/listing/9430-ridge-boulevard-unit-4e-brooklyn-ny-11209/1870520478619523377/view?agent_id=610d3f3370540700019b0833","9430 Ridge Boulevard, Unit 4E")</f>
        <v>9430 Ridge Boulevard, Unit 4E</v>
      </c>
      <c r="C994" s="25" t="s">
        <v>22</v>
      </c>
      <c r="D994" s="26" t="s">
        <v>23</v>
      </c>
      <c r="E994" s="27" t="str">
        <f>HYPERLINK("https://www.compass.com/building/9430-ridge-blvd-brooklyn-ny-11209/293529402682141381/","9430 Ridge Blvd")</f>
        <v>9430 Ridge Blvd</v>
      </c>
      <c r="F994" s="25" t="s">
        <v>55</v>
      </c>
      <c r="G994" s="28">
        <v>595000.0</v>
      </c>
      <c r="H994" s="28">
        <v>529.0</v>
      </c>
      <c r="I994" s="28">
        <v>1452.0</v>
      </c>
      <c r="J994" s="29"/>
      <c r="K994" s="25" t="s">
        <v>25</v>
      </c>
      <c r="L994" s="26">
        <v>4.0</v>
      </c>
      <c r="M994" s="26">
        <v>2.0</v>
      </c>
      <c r="N994" s="26">
        <v>0.0</v>
      </c>
      <c r="O994" s="30"/>
      <c r="P994" s="34">
        <v>1125.0</v>
      </c>
      <c r="Q994" s="35">
        <v>31.0</v>
      </c>
      <c r="R994" s="32">
        <v>45863.0</v>
      </c>
      <c r="S994" s="32">
        <v>45832.0</v>
      </c>
      <c r="T994" s="29"/>
      <c r="U994" s="33"/>
      <c r="V994" s="1"/>
    </row>
    <row r="995" ht="24.0" customHeight="1">
      <c r="A995" s="1"/>
      <c r="B995" s="24" t="str">
        <f>HYPERLINK("https://www.compass.com/listing/18-65-211th-street-unit-5d-queens-ny-11360/1881431134795557737/view?agent_id=610d3f3370540700019b0833","18-65 211th Street, Unit 5D")</f>
        <v>18-65 211th Street, Unit 5D</v>
      </c>
      <c r="C995" s="25" t="s">
        <v>22</v>
      </c>
      <c r="D995" s="26" t="s">
        <v>23</v>
      </c>
      <c r="E995" s="27" t="str">
        <f>HYPERLINK("https://www.compass.com/building/18-65-211th-st-queens-ny-11360/307452926087498261/","18-65 211th St")</f>
        <v>18-65 211th St</v>
      </c>
      <c r="F995" s="25" t="s">
        <v>79</v>
      </c>
      <c r="G995" s="28">
        <v>398000.0</v>
      </c>
      <c r="H995" s="28">
        <v>396.0</v>
      </c>
      <c r="I995" s="28">
        <v>1448.0</v>
      </c>
      <c r="J995" s="29"/>
      <c r="K995" s="25" t="s">
        <v>25</v>
      </c>
      <c r="L995" s="26">
        <v>4.0</v>
      </c>
      <c r="M995" s="26">
        <v>2.0</v>
      </c>
      <c r="N995" s="26">
        <v>1.0</v>
      </c>
      <c r="O995" s="30"/>
      <c r="P995" s="34">
        <v>1005.0</v>
      </c>
      <c r="Q995" s="35">
        <v>16.0</v>
      </c>
      <c r="R995" s="32">
        <v>45863.0</v>
      </c>
      <c r="S995" s="32">
        <v>45847.0</v>
      </c>
      <c r="T995" s="29"/>
      <c r="U995" s="33"/>
      <c r="V995" s="1"/>
    </row>
    <row r="996" ht="24.0" customHeight="1">
      <c r="A996" s="1"/>
      <c r="B996" s="24" t="str">
        <f>HYPERLINK("https://www.compass.com/listing/417-grand-street-unit-d704-manhattan-ny-10002/1816635194662519361/view?agent_id=610d3f3370540700019b0833","417 Grand Street, Unit D704")</f>
        <v>417 Grand Street, Unit D704</v>
      </c>
      <c r="C996" s="25" t="s">
        <v>22</v>
      </c>
      <c r="D996" s="26" t="s">
        <v>23</v>
      </c>
      <c r="E996" s="27" t="str">
        <f>HYPERLINK("https://www.compass.com/building/seward-park-manhattan-ny/282059093613509637/","Seward Park")</f>
        <v>Seward Park</v>
      </c>
      <c r="F996" s="25" t="s">
        <v>119</v>
      </c>
      <c r="G996" s="28">
        <v>1010000.0</v>
      </c>
      <c r="H996" s="29"/>
      <c r="I996" s="28">
        <v>1511.0</v>
      </c>
      <c r="J996" s="28">
        <v>0.0</v>
      </c>
      <c r="K996" s="25" t="s">
        <v>25</v>
      </c>
      <c r="L996" s="26">
        <v>4.0</v>
      </c>
      <c r="M996" s="26">
        <v>2.0</v>
      </c>
      <c r="N996" s="26">
        <v>1.0</v>
      </c>
      <c r="O996" s="30"/>
      <c r="P996" s="30"/>
      <c r="Q996" s="35">
        <v>106.0</v>
      </c>
      <c r="R996" s="32">
        <v>45758.0</v>
      </c>
      <c r="S996" s="32">
        <v>45757.0</v>
      </c>
      <c r="T996" s="29"/>
      <c r="U996" s="33"/>
      <c r="V996" s="1"/>
    </row>
    <row r="997" ht="24.0" customHeight="1">
      <c r="A997" s="1"/>
      <c r="B997" s="24" t="str">
        <f>HYPERLINK("https://www.compass.com/listing/1165-east-54th-street-unit-5u-brooklyn-ny-11234/1836423514709728225/view?agent_id=610d3f3370540700019b0833","1165 East 54th Street, Unit 5U")</f>
        <v>1165 East 54th Street, Unit 5U</v>
      </c>
      <c r="C997" s="25" t="s">
        <v>22</v>
      </c>
      <c r="D997" s="26" t="s">
        <v>23</v>
      </c>
      <c r="E997" s="27" t="str">
        <f>HYPERLINK("https://www.compass.com/building/kings-village-brooklyn-ny/293416492874180693/","Kings Village ")</f>
        <v>Kings Village </v>
      </c>
      <c r="F997" s="25" t="s">
        <v>123</v>
      </c>
      <c r="G997" s="28">
        <v>279000.0</v>
      </c>
      <c r="H997" s="28">
        <v>254.0</v>
      </c>
      <c r="I997" s="28">
        <v>1242.0</v>
      </c>
      <c r="J997" s="29"/>
      <c r="K997" s="25" t="s">
        <v>25</v>
      </c>
      <c r="L997" s="26">
        <v>4.0</v>
      </c>
      <c r="M997" s="26">
        <v>2.0</v>
      </c>
      <c r="N997" s="26">
        <v>1.0</v>
      </c>
      <c r="O997" s="30"/>
      <c r="P997" s="34">
        <v>1100.0</v>
      </c>
      <c r="Q997" s="35">
        <v>78.0</v>
      </c>
      <c r="R997" s="32">
        <v>45793.0</v>
      </c>
      <c r="S997" s="32">
        <v>45784.0</v>
      </c>
      <c r="T997" s="29"/>
      <c r="U997" s="33"/>
      <c r="V997" s="1"/>
    </row>
    <row r="998" ht="24.0" customHeight="1">
      <c r="A998" s="1"/>
      <c r="B998" s="24" t="str">
        <f>HYPERLINK("https://www.compass.com/listing/5800-arlington-avenue-unit-9h-bronx-ny-10471/1737897406571991353/view?agent_id=610d3f3370540700019b0833","5800 Arlington Avenue, Unit 9H")</f>
        <v>5800 Arlington Avenue, Unit 9H</v>
      </c>
      <c r="C998" s="25" t="s">
        <v>22</v>
      </c>
      <c r="D998" s="26" t="s">
        <v>23</v>
      </c>
      <c r="E998" s="27" t="str">
        <f>HYPERLINK("https://www.compass.com/building/skyview-on-the-hudson-bronx-ny/293417855687381093/","Skyview on the Hudson")</f>
        <v>Skyview on the Hudson</v>
      </c>
      <c r="F998" s="25" t="s">
        <v>75</v>
      </c>
      <c r="G998" s="28">
        <v>395000.0</v>
      </c>
      <c r="H998" s="28">
        <v>416.0</v>
      </c>
      <c r="I998" s="28">
        <v>1274.0</v>
      </c>
      <c r="J998" s="28">
        <v>0.0</v>
      </c>
      <c r="K998" s="25" t="s">
        <v>25</v>
      </c>
      <c r="L998" s="26">
        <v>4.0</v>
      </c>
      <c r="M998" s="26">
        <v>2.0</v>
      </c>
      <c r="N998" s="26">
        <v>1.0</v>
      </c>
      <c r="O998" s="26">
        <v>0.0</v>
      </c>
      <c r="P998" s="26">
        <v>950.0</v>
      </c>
      <c r="Q998" s="35">
        <v>209.0</v>
      </c>
      <c r="R998" s="32">
        <v>45861.0</v>
      </c>
      <c r="S998" s="32">
        <v>45649.0</v>
      </c>
      <c r="T998" s="29"/>
      <c r="U998" s="33"/>
      <c r="V998" s="1"/>
    </row>
    <row r="999" ht="24.0" customHeight="1">
      <c r="A999" s="1"/>
      <c r="B999" s="24" t="str">
        <f>HYPERLINK("https://www.compass.com/listing/137-west-142nd-street-unit-3a-manhattan-ny-10030/1815193505288538769/view?agent_id=610d3f3370540700019b0833","137 West 142nd Street, Unit 3A")</f>
        <v>137 West 142nd Street, Unit 3A</v>
      </c>
      <c r="C999" s="25" t="s">
        <v>22</v>
      </c>
      <c r="D999" s="26" t="s">
        <v>23</v>
      </c>
      <c r="E999" s="27" t="str">
        <f>HYPERLINK("https://www.compass.com/building/137-w-142nd-st-manhattan-ny-10030/281927211290764421/","137 W 142nd St")</f>
        <v>137 W 142nd St</v>
      </c>
      <c r="F999" s="25" t="s">
        <v>32</v>
      </c>
      <c r="G999" s="28">
        <v>350000.0</v>
      </c>
      <c r="H999" s="28">
        <v>438.0</v>
      </c>
      <c r="I999" s="28">
        <v>847.0</v>
      </c>
      <c r="J999" s="28">
        <v>0.0</v>
      </c>
      <c r="K999" s="25" t="s">
        <v>25</v>
      </c>
      <c r="L999" s="26">
        <v>4.0</v>
      </c>
      <c r="M999" s="26">
        <v>2.0</v>
      </c>
      <c r="N999" s="26">
        <v>1.0</v>
      </c>
      <c r="O999" s="26">
        <v>0.0</v>
      </c>
      <c r="P999" s="26">
        <v>800.0</v>
      </c>
      <c r="Q999" s="35">
        <v>108.0</v>
      </c>
      <c r="R999" s="32">
        <v>45760.0</v>
      </c>
      <c r="S999" s="32">
        <v>45755.0</v>
      </c>
      <c r="T999" s="29"/>
      <c r="U999" s="33"/>
      <c r="V999" s="1"/>
    </row>
    <row r="1000" ht="24.0" customHeight="1">
      <c r="A1000" s="1"/>
      <c r="B1000" s="24" t="str">
        <f>HYPERLINK("https://www.compass.com/listing/33-alden-park-unit-33-bronx-ny-10465/1829793360011005041/view?agent_id=610d3f3370540700019b0833","33 Alden Park, Unit 33")</f>
        <v>33 Alden Park, Unit 33</v>
      </c>
      <c r="C1000" s="25" t="s">
        <v>22</v>
      </c>
      <c r="D1000" s="26" t="s">
        <v>23</v>
      </c>
      <c r="E1000" s="27" t="str">
        <f>HYPERLINK("https://www.compass.com/building/33-alden-park-bronx-ny-10465/307460549428043829/","33 Alden Park")</f>
        <v>33 Alden Park</v>
      </c>
      <c r="F1000" s="25" t="s">
        <v>204</v>
      </c>
      <c r="G1000" s="28">
        <v>299999.0</v>
      </c>
      <c r="H1000" s="28">
        <v>353.0</v>
      </c>
      <c r="I1000" s="28">
        <v>418.0</v>
      </c>
      <c r="J1000" s="29"/>
      <c r="K1000" s="25" t="s">
        <v>25</v>
      </c>
      <c r="L1000" s="26">
        <v>5.0</v>
      </c>
      <c r="M1000" s="26">
        <v>2.0</v>
      </c>
      <c r="N1000" s="26">
        <v>1.0</v>
      </c>
      <c r="O1000" s="30"/>
      <c r="P1000" s="26">
        <v>850.0</v>
      </c>
      <c r="Q1000" s="35">
        <v>87.0</v>
      </c>
      <c r="R1000" s="32">
        <v>45791.0</v>
      </c>
      <c r="S1000" s="32">
        <v>45776.0</v>
      </c>
      <c r="T1000" s="29"/>
      <c r="U1000" s="33"/>
      <c r="V1000" s="1"/>
    </row>
    <row r="1001" ht="24.0" customHeight="1">
      <c r="A1001" s="1"/>
      <c r="B1001" s="24" t="str">
        <f>HYPERLINK("https://www.compass.com/listing/87-40-francis-lewis-boulevard-unit-a76-queens-ny-11427/1875736893920973369/view?agent_id=610d3f3370540700019b0833","87-40 Francis Lewis Boulevard, Unit A76")</f>
        <v>87-40 Francis Lewis Boulevard, Unit A76</v>
      </c>
      <c r="C1001" s="25" t="s">
        <v>22</v>
      </c>
      <c r="D1001" s="26" t="s">
        <v>23</v>
      </c>
      <c r="E1001" s="27" t="str">
        <f>HYPERLINK("https://www.compass.com/building/87-40-francis-lewis-blvd-queens-ny-11427/307456540596013365/","87-40 Francis Lewis Blvd")</f>
        <v>87-40 Francis Lewis Blvd</v>
      </c>
      <c r="F1001" s="25" t="s">
        <v>99</v>
      </c>
      <c r="G1001" s="28">
        <v>235000.0</v>
      </c>
      <c r="H1001" s="28">
        <v>294.0</v>
      </c>
      <c r="I1001" s="28">
        <v>1094.0</v>
      </c>
      <c r="J1001" s="29"/>
      <c r="K1001" s="25" t="s">
        <v>25</v>
      </c>
      <c r="L1001" s="26">
        <v>5.0</v>
      </c>
      <c r="M1001" s="26">
        <v>2.0</v>
      </c>
      <c r="N1001" s="26">
        <v>1.0</v>
      </c>
      <c r="O1001" s="30"/>
      <c r="P1001" s="26">
        <v>800.0</v>
      </c>
      <c r="Q1001" s="35">
        <v>24.0</v>
      </c>
      <c r="R1001" s="32">
        <v>45862.0</v>
      </c>
      <c r="S1001" s="32">
        <v>45839.0</v>
      </c>
      <c r="T1001" s="29"/>
      <c r="U1001" s="33"/>
      <c r="V1001" s="1"/>
    </row>
    <row r="1002" ht="24.0" customHeight="1">
      <c r="A1002" s="1"/>
      <c r="B1002" s="24" t="str">
        <f>HYPERLINK("https://www.compass.com/listing/550-grand-street-unit-j2f-manhattan-ny-10002/1835766614376666153/view?agent_id=610d3f3370540700019b0833","550 Grand Street, Unit J2F")</f>
        <v>550 Grand Street, Unit J2F</v>
      </c>
      <c r="C1002" s="25" t="s">
        <v>22</v>
      </c>
      <c r="D1002" s="26" t="s">
        <v>23</v>
      </c>
      <c r="E1002" s="27" t="str">
        <f>HYPERLINK("https://www.compass.com/building/hillman-coop-manhattan-ny/282059477803367701/","Hillman Coop")</f>
        <v>Hillman Coop</v>
      </c>
      <c r="F1002" s="25" t="s">
        <v>119</v>
      </c>
      <c r="G1002" s="28">
        <v>709000.0</v>
      </c>
      <c r="H1002" s="28">
        <v>709.0</v>
      </c>
      <c r="I1002" s="28">
        <v>1443.0</v>
      </c>
      <c r="J1002" s="28">
        <v>0.0</v>
      </c>
      <c r="K1002" s="25" t="s">
        <v>25</v>
      </c>
      <c r="L1002" s="26">
        <v>4.0</v>
      </c>
      <c r="M1002" s="26">
        <v>2.0</v>
      </c>
      <c r="N1002" s="26">
        <v>1.0</v>
      </c>
      <c r="O1002" s="26">
        <v>0.0</v>
      </c>
      <c r="P1002" s="34">
        <v>1000.0</v>
      </c>
      <c r="Q1002" s="35">
        <v>79.0</v>
      </c>
      <c r="R1002" s="32">
        <v>45863.0</v>
      </c>
      <c r="S1002" s="32">
        <v>45784.0</v>
      </c>
      <c r="T1002" s="29"/>
      <c r="U1002" s="33"/>
      <c r="V1002" s="1"/>
    </row>
    <row r="1003" ht="24.0" customHeight="1">
      <c r="A1003" s="1"/>
      <c r="B1003" s="24" t="str">
        <f>HYPERLINK("https://www.compass.com/listing/4315-webster-avenue-unit-5e-bronx-ny-10470/1810281953237069593/view?agent_id=610d3f3370540700019b0833","4315 Webster Avenue, Unit 5E")</f>
        <v>4315 Webster Avenue, Unit 5E</v>
      </c>
      <c r="C1003" s="25" t="s">
        <v>22</v>
      </c>
      <c r="D1003" s="26" t="s">
        <v>23</v>
      </c>
      <c r="E1003" s="27" t="str">
        <f>HYPERLINK("https://www.compass.com/building/4315-webster-ave-bronx-ny-10470/293534323305450581/","4315 Webster Ave")</f>
        <v>4315 Webster Ave</v>
      </c>
      <c r="F1003" s="25" t="s">
        <v>124</v>
      </c>
      <c r="G1003" s="28">
        <v>235000.0</v>
      </c>
      <c r="H1003" s="28">
        <v>257.0</v>
      </c>
      <c r="I1003" s="28">
        <v>1000.0</v>
      </c>
      <c r="J1003" s="29"/>
      <c r="K1003" s="25" t="s">
        <v>25</v>
      </c>
      <c r="L1003" s="26">
        <v>4.0</v>
      </c>
      <c r="M1003" s="26">
        <v>2.0</v>
      </c>
      <c r="N1003" s="26">
        <v>1.0</v>
      </c>
      <c r="O1003" s="30"/>
      <c r="P1003" s="26">
        <v>913.0</v>
      </c>
      <c r="Q1003" s="35">
        <v>113.0</v>
      </c>
      <c r="R1003" s="32">
        <v>45802.0</v>
      </c>
      <c r="S1003" s="32">
        <v>45749.0</v>
      </c>
      <c r="T1003" s="29"/>
      <c r="U1003" s="33"/>
      <c r="V1003" s="1"/>
    </row>
    <row r="1004" ht="24.0" customHeight="1">
      <c r="A1004" s="1"/>
      <c r="B1004" s="24" t="str">
        <f>HYPERLINK("https://www.compass.com/listing/8385-116th-street-unit-4b-queens-ny-11418/1881278491489607025/view?agent_id=610d3f3370540700019b0833","8385 116th Street, Unit 4B")</f>
        <v>8385 116th Street, Unit 4B</v>
      </c>
      <c r="C1004" s="25" t="s">
        <v>22</v>
      </c>
      <c r="D1004" s="26" t="s">
        <v>23</v>
      </c>
      <c r="E1004" s="26" t="s">
        <v>243</v>
      </c>
      <c r="F1004" s="25" t="s">
        <v>91</v>
      </c>
      <c r="G1004" s="28">
        <v>689999.0</v>
      </c>
      <c r="H1004" s="28">
        <v>767.0</v>
      </c>
      <c r="I1004" s="28">
        <v>987.0</v>
      </c>
      <c r="J1004" s="28">
        <v>5459.0</v>
      </c>
      <c r="K1004" s="25" t="s">
        <v>28</v>
      </c>
      <c r="L1004" s="26">
        <v>5.0</v>
      </c>
      <c r="M1004" s="26">
        <v>2.0</v>
      </c>
      <c r="N1004" s="26">
        <v>1.0</v>
      </c>
      <c r="O1004" s="30"/>
      <c r="P1004" s="26">
        <v>900.0</v>
      </c>
      <c r="Q1004" s="35">
        <v>16.0</v>
      </c>
      <c r="R1004" s="32">
        <v>45863.0</v>
      </c>
      <c r="S1004" s="32">
        <v>45847.0</v>
      </c>
      <c r="T1004" s="29"/>
      <c r="U1004" s="33"/>
      <c r="V1004" s="1"/>
    </row>
    <row r="1005" ht="24.0" customHeight="1">
      <c r="A1005" s="1"/>
      <c r="B1005" s="24" t="str">
        <f>HYPERLINK("https://www.compass.com/listing/25-25-31st-avenue-unit-5-queens-ny-11106/1857572889100449953/view?agent_id=610d3f3370540700019b0833","25-25 31st Avenue, Unit 5")</f>
        <v>25-25 31st Avenue, Unit 5</v>
      </c>
      <c r="C1005" s="25" t="s">
        <v>22</v>
      </c>
      <c r="D1005" s="26" t="s">
        <v>23</v>
      </c>
      <c r="E1005" s="27" t="str">
        <f>HYPERLINK("https://www.compass.com/building/25-25-31st-ave-queens-ny-11106/293532859031905429/","25-25 31st Ave")</f>
        <v>25-25 31st Ave</v>
      </c>
      <c r="F1005" s="25" t="s">
        <v>68</v>
      </c>
      <c r="G1005" s="28">
        <v>939000.0</v>
      </c>
      <c r="H1005" s="28">
        <v>1078.0</v>
      </c>
      <c r="I1005" s="28">
        <v>1544.0</v>
      </c>
      <c r="J1005" s="28">
        <v>10152.0</v>
      </c>
      <c r="K1005" s="25" t="s">
        <v>28</v>
      </c>
      <c r="L1005" s="26">
        <v>4.0</v>
      </c>
      <c r="M1005" s="26">
        <v>2.0</v>
      </c>
      <c r="N1005" s="26">
        <v>1.0</v>
      </c>
      <c r="O1005" s="30"/>
      <c r="P1005" s="26">
        <v>871.0</v>
      </c>
      <c r="Q1005" s="35">
        <v>48.0</v>
      </c>
      <c r="R1005" s="32">
        <v>45862.0</v>
      </c>
      <c r="S1005" s="32">
        <v>45814.0</v>
      </c>
      <c r="T1005" s="29"/>
      <c r="U1005" s="33"/>
      <c r="V1005" s="1"/>
    </row>
    <row r="1006" ht="24.0" customHeight="1">
      <c r="A1006" s="1"/>
      <c r="B1006" s="24" t="str">
        <f>HYPERLINK("https://www.compass.com/listing/3111-brighton-2nd-street-unit-5c-brooklyn-ny-11235/1886524844416680329/view?agent_id=610d3f3370540700019b0833","3111 Brighton 2nd Street, Unit 5C")</f>
        <v>3111 Brighton 2nd Street, Unit 5C</v>
      </c>
      <c r="C1006" s="25" t="s">
        <v>22</v>
      </c>
      <c r="D1006" s="26" t="s">
        <v>23</v>
      </c>
      <c r="E1006" s="27" t="str">
        <f>HYPERLINK("https://www.compass.com/building/3111-brighton-2nd-st-brooklyn-ny-11235/294840093114160069/","3111 Brighton 2nd St")</f>
        <v>3111 Brighton 2nd St</v>
      </c>
      <c r="F1006" s="25" t="s">
        <v>74</v>
      </c>
      <c r="G1006" s="28">
        <v>399999.0</v>
      </c>
      <c r="H1006" s="28">
        <v>364.0</v>
      </c>
      <c r="I1006" s="28">
        <v>1069.0</v>
      </c>
      <c r="J1006" s="29"/>
      <c r="K1006" s="25" t="s">
        <v>25</v>
      </c>
      <c r="L1006" s="26">
        <v>4.0</v>
      </c>
      <c r="M1006" s="26">
        <v>2.0</v>
      </c>
      <c r="N1006" s="26">
        <v>1.0</v>
      </c>
      <c r="O1006" s="30"/>
      <c r="P1006" s="34">
        <v>1100.0</v>
      </c>
      <c r="Q1006" s="35">
        <v>9.0</v>
      </c>
      <c r="R1006" s="32">
        <v>45861.0</v>
      </c>
      <c r="S1006" s="32">
        <v>45854.0</v>
      </c>
      <c r="T1006" s="29"/>
      <c r="U1006" s="33"/>
      <c r="V1006" s="1"/>
    </row>
    <row r="1007" ht="24.0" customHeight="1">
      <c r="A1007" s="1"/>
      <c r="B1007" s="24" t="str">
        <f>HYPERLINK("https://www.compass.com/listing/25-25-31st-avenue-unit-3-queens-ny-11106/1857580901848249593/view?agent_id=610d3f3370540700019b0833","25-25 31st Avenue, Unit 3")</f>
        <v>25-25 31st Avenue, Unit 3</v>
      </c>
      <c r="C1007" s="25" t="s">
        <v>22</v>
      </c>
      <c r="D1007" s="26" t="s">
        <v>23</v>
      </c>
      <c r="E1007" s="27" t="str">
        <f>HYPERLINK("https://www.compass.com/building/25-25-31st-ave-queens-ny-11106/293532859031905429/","25-25 31st Ave")</f>
        <v>25-25 31st Ave</v>
      </c>
      <c r="F1007" s="25" t="s">
        <v>68</v>
      </c>
      <c r="G1007" s="28">
        <v>879000.0</v>
      </c>
      <c r="H1007" s="28">
        <v>1009.0</v>
      </c>
      <c r="I1007" s="28">
        <v>1460.0</v>
      </c>
      <c r="J1007" s="28">
        <v>9708.0</v>
      </c>
      <c r="K1007" s="25" t="s">
        <v>28</v>
      </c>
      <c r="L1007" s="26">
        <v>4.0</v>
      </c>
      <c r="M1007" s="26">
        <v>2.0</v>
      </c>
      <c r="N1007" s="26">
        <v>1.0</v>
      </c>
      <c r="O1007" s="30"/>
      <c r="P1007" s="26">
        <v>871.0</v>
      </c>
      <c r="Q1007" s="35">
        <v>48.0</v>
      </c>
      <c r="R1007" s="32">
        <v>45862.0</v>
      </c>
      <c r="S1007" s="32">
        <v>45814.0</v>
      </c>
      <c r="T1007" s="29"/>
      <c r="U1007" s="33"/>
      <c r="V1007" s="1"/>
    </row>
    <row r="1008" ht="24.0" customHeight="1">
      <c r="A1008" s="1"/>
      <c r="B1008" s="24" t="str">
        <f>HYPERLINK("https://www.compass.com/listing/191-09-39th-avenue-unit-164-queens-ny-11358/1878567354133645969/view?agent_id=610d3f3370540700019b0833","191-09 39th Avenue, Unit 164")</f>
        <v>191-09 39th Avenue, Unit 164</v>
      </c>
      <c r="C1008" s="25" t="s">
        <v>22</v>
      </c>
      <c r="D1008" s="26" t="s">
        <v>23</v>
      </c>
      <c r="E1008" s="27" t="str">
        <f>HYPERLINK("https://www.compass.com/building/191-09-39th-ave-queens-ny-11358/445082011997223485/","191-09 39th Ave")</f>
        <v>191-09 39th Ave</v>
      </c>
      <c r="F1008" s="25" t="s">
        <v>175</v>
      </c>
      <c r="G1008" s="28">
        <v>349000.0</v>
      </c>
      <c r="H1008" s="28">
        <v>436.0</v>
      </c>
      <c r="I1008" s="28">
        <v>1174.0</v>
      </c>
      <c r="J1008" s="29"/>
      <c r="K1008" s="25" t="s">
        <v>25</v>
      </c>
      <c r="L1008" s="26">
        <v>5.0</v>
      </c>
      <c r="M1008" s="26">
        <v>2.0</v>
      </c>
      <c r="N1008" s="26">
        <v>1.0</v>
      </c>
      <c r="O1008" s="30"/>
      <c r="P1008" s="26">
        <v>800.0</v>
      </c>
      <c r="Q1008" s="35">
        <v>19.0</v>
      </c>
      <c r="R1008" s="32">
        <v>45853.0</v>
      </c>
      <c r="S1008" s="32">
        <v>45844.0</v>
      </c>
      <c r="T1008" s="29"/>
      <c r="U1008" s="33"/>
      <c r="V1008" s="1"/>
    </row>
    <row r="1009" ht="24.0" customHeight="1">
      <c r="A1009" s="1"/>
      <c r="B1009" s="24" t="str">
        <f>HYPERLINK("https://www.compass.com/listing/217-22-73rd-avenue-unit-uppr-queens-ny-11364/1879886492471182385/view?agent_id=610d3f3370540700019b0833","217-22 73rd Avenue, Unit UPPR")</f>
        <v>217-22 73rd Avenue, Unit UPPR</v>
      </c>
      <c r="C1009" s="25" t="s">
        <v>22</v>
      </c>
      <c r="D1009" s="26" t="s">
        <v>23</v>
      </c>
      <c r="E1009" s="27" t="str">
        <f>HYPERLINK("https://www.compass.com/building/217-22-73rd-ave-queens-ny-11364/307435047816297445/","217-22 73rd Ave")</f>
        <v>217-22 73rd Ave</v>
      </c>
      <c r="F1009" s="25" t="s">
        <v>37</v>
      </c>
      <c r="G1009" s="28">
        <v>365000.0</v>
      </c>
      <c r="H1009" s="29"/>
      <c r="I1009" s="28">
        <v>1138.0</v>
      </c>
      <c r="J1009" s="29"/>
      <c r="K1009" s="25" t="s">
        <v>25</v>
      </c>
      <c r="L1009" s="26">
        <v>3.0</v>
      </c>
      <c r="M1009" s="26">
        <v>2.0</v>
      </c>
      <c r="N1009" s="26">
        <v>1.0</v>
      </c>
      <c r="O1009" s="30"/>
      <c r="P1009" s="30"/>
      <c r="Q1009" s="35">
        <v>18.0</v>
      </c>
      <c r="R1009" s="32">
        <v>45860.0</v>
      </c>
      <c r="S1009" s="32">
        <v>45845.0</v>
      </c>
      <c r="T1009" s="29"/>
      <c r="U1009" s="33"/>
      <c r="V1009" s="1"/>
    </row>
    <row r="1010" ht="24.0" customHeight="1">
      <c r="A1010" s="1"/>
      <c r="B1010" s="24" t="str">
        <f>HYPERLINK("https://www.compass.com/listing/92-11-35th-avenue-unit-2p-queens-ny-11372/1843517910834657729/view?agent_id=610d3f3370540700019b0833","92-11 35th Avenue, Unit 2P")</f>
        <v>92-11 35th Avenue, Unit 2P</v>
      </c>
      <c r="C1010" s="25" t="s">
        <v>22</v>
      </c>
      <c r="D1010" s="26" t="s">
        <v>23</v>
      </c>
      <c r="E1010" s="27" t="str">
        <f>HYPERLINK("https://www.compass.com/building/92-11-35th-ave-queens-ny-11372/293530798689180565/","92-11 35th Ave")</f>
        <v>92-11 35th Ave</v>
      </c>
      <c r="F1010" s="25" t="s">
        <v>33</v>
      </c>
      <c r="G1010" s="28">
        <v>438000.0</v>
      </c>
      <c r="H1010" s="28">
        <v>438.0</v>
      </c>
      <c r="I1010" s="28">
        <v>738.0</v>
      </c>
      <c r="J1010" s="29"/>
      <c r="K1010" s="25" t="s">
        <v>25</v>
      </c>
      <c r="L1010" s="26">
        <v>4.0</v>
      </c>
      <c r="M1010" s="26">
        <v>2.0</v>
      </c>
      <c r="N1010" s="26">
        <v>1.0</v>
      </c>
      <c r="O1010" s="30"/>
      <c r="P1010" s="34">
        <v>1000.0</v>
      </c>
      <c r="Q1010" s="35">
        <v>67.0</v>
      </c>
      <c r="R1010" s="32">
        <v>45827.0</v>
      </c>
      <c r="S1010" s="32">
        <v>45795.0</v>
      </c>
      <c r="T1010" s="29"/>
      <c r="U1010" s="33"/>
      <c r="V1010" s="1"/>
    </row>
    <row r="1011" ht="24.0" customHeight="1">
      <c r="A1011" s="1"/>
      <c r="B1011" s="24" t="str">
        <f>HYPERLINK("https://www.compass.com/listing/55-25-98th-street-unit-1e-queens-ny-11368/1877967858505381609/view?agent_id=610d3f3370540700019b0833","55-25 98th Street, Unit 1E")</f>
        <v>55-25 98th Street, Unit 1E</v>
      </c>
      <c r="C1011" s="25" t="s">
        <v>22</v>
      </c>
      <c r="D1011" s="26" t="s">
        <v>23</v>
      </c>
      <c r="E1011" s="27" t="str">
        <f>HYPERLINK("https://www.compass.com/building/55-25-98th-st-queens-ny-11368/307450461263062661/","55-25 98th St")</f>
        <v>55-25 98th St</v>
      </c>
      <c r="F1011" s="25" t="s">
        <v>153</v>
      </c>
      <c r="G1011" s="28">
        <v>325000.0</v>
      </c>
      <c r="H1011" s="28">
        <v>325.0</v>
      </c>
      <c r="I1011" s="28">
        <v>735.0</v>
      </c>
      <c r="J1011" s="29"/>
      <c r="K1011" s="25" t="s">
        <v>25</v>
      </c>
      <c r="L1011" s="26">
        <v>4.0</v>
      </c>
      <c r="M1011" s="26">
        <v>2.0</v>
      </c>
      <c r="N1011" s="26">
        <v>1.0</v>
      </c>
      <c r="O1011" s="30"/>
      <c r="P1011" s="34">
        <v>1000.0</v>
      </c>
      <c r="Q1011" s="35">
        <v>21.0</v>
      </c>
      <c r="R1011" s="32">
        <v>45860.0</v>
      </c>
      <c r="S1011" s="32">
        <v>45842.0</v>
      </c>
      <c r="T1011" s="29"/>
      <c r="U1011" s="33"/>
      <c r="V1011" s="1"/>
    </row>
    <row r="1012" ht="24.0" customHeight="1">
      <c r="A1012" s="1"/>
      <c r="B1012" s="24" t="str">
        <f>HYPERLINK("https://www.compass.com/listing/949-todt-hill-road-staten-island-ny-10304/1872646663311452721/view?agent_id=610d3f3370540700019b0833","949 Todt Hill Road")</f>
        <v>949 Todt Hill Road</v>
      </c>
      <c r="C1012" s="25" t="s">
        <v>22</v>
      </c>
      <c r="D1012" s="26" t="s">
        <v>23</v>
      </c>
      <c r="E1012" s="27" t="str">
        <f>HYPERLINK("https://www.compass.com/building/949-todt-hill-rd-staten-island-ny-10304/293530582774711157/","949 Todt Hill Rd")</f>
        <v>949 Todt Hill Rd</v>
      </c>
      <c r="F1012" s="25" t="s">
        <v>244</v>
      </c>
      <c r="G1012" s="28">
        <v>999000.0</v>
      </c>
      <c r="H1012" s="28">
        <v>918.0</v>
      </c>
      <c r="I1012" s="28">
        <v>815.0</v>
      </c>
      <c r="J1012" s="28">
        <v>9783.0</v>
      </c>
      <c r="K1012" s="25" t="s">
        <v>97</v>
      </c>
      <c r="L1012" s="26">
        <v>5.0</v>
      </c>
      <c r="M1012" s="26">
        <v>2.0</v>
      </c>
      <c r="N1012" s="26">
        <v>1.0</v>
      </c>
      <c r="O1012" s="26">
        <v>0.0</v>
      </c>
      <c r="P1012" s="34">
        <v>1088.0</v>
      </c>
      <c r="Q1012" s="35">
        <v>28.0</v>
      </c>
      <c r="R1012" s="32">
        <v>45840.0</v>
      </c>
      <c r="S1012" s="32">
        <v>45834.0</v>
      </c>
      <c r="T1012" s="29"/>
      <c r="U1012" s="33"/>
      <c r="V1012" s="1"/>
    </row>
    <row r="1013" ht="24.0" customHeight="1">
      <c r="A1013" s="1"/>
      <c r="B1013" s="24" t="str">
        <f>HYPERLINK("https://www.compass.com/listing/150-11-72nd-road-unit-6a-queens-ny-11367/1855110584815295233/view?agent_id=610d3f3370540700019b0833","150-11 72nd Road, Unit 6A")</f>
        <v>150-11 72nd Road, Unit 6A</v>
      </c>
      <c r="C1013" s="25" t="s">
        <v>22</v>
      </c>
      <c r="D1013" s="26" t="s">
        <v>23</v>
      </c>
      <c r="E1013" s="27" t="str">
        <f>HYPERLINK("https://www.compass.com/building/150-11-72nd-rd-queens-ny-11367/294842824939831109/","150-11 72nd Rd")</f>
        <v>150-11 72nd Rd</v>
      </c>
      <c r="F1013" s="25" t="s">
        <v>142</v>
      </c>
      <c r="G1013" s="28">
        <v>315000.0</v>
      </c>
      <c r="H1013" s="28">
        <v>371.0</v>
      </c>
      <c r="I1013" s="28">
        <v>1150.0</v>
      </c>
      <c r="J1013" s="29"/>
      <c r="K1013" s="25" t="s">
        <v>25</v>
      </c>
      <c r="L1013" s="26">
        <v>4.0</v>
      </c>
      <c r="M1013" s="26">
        <v>2.0</v>
      </c>
      <c r="N1013" s="26">
        <v>1.0</v>
      </c>
      <c r="O1013" s="30"/>
      <c r="P1013" s="26">
        <v>850.0</v>
      </c>
      <c r="Q1013" s="35">
        <v>52.0</v>
      </c>
      <c r="R1013" s="32">
        <v>45827.0</v>
      </c>
      <c r="S1013" s="32">
        <v>45811.0</v>
      </c>
      <c r="T1013" s="29"/>
      <c r="U1013" s="33"/>
      <c r="V1013" s="1"/>
    </row>
    <row r="1014" ht="24.0" customHeight="1">
      <c r="A1014" s="1"/>
      <c r="B1014" s="24" t="str">
        <f>HYPERLINK("https://www.compass.com/listing/100-west-141st-street-unit-71-manhattan-ny-10030/1861826767964820137/view?agent_id=610d3f3370540700019b0833","100 West 141st Street, Unit 71")</f>
        <v>100 West 141st Street, Unit 71</v>
      </c>
      <c r="C1014" s="25" t="s">
        <v>22</v>
      </c>
      <c r="D1014" s="26" t="s">
        <v>23</v>
      </c>
      <c r="E1014" s="27" t="str">
        <f>HYPERLINK("https://www.compass.com/building/100-w-141st-st-manhattan-ny-10030/294842394805287829/","100 W 141st St")</f>
        <v>100 W 141st St</v>
      </c>
      <c r="F1014" s="25" t="s">
        <v>32</v>
      </c>
      <c r="G1014" s="28">
        <v>349000.0</v>
      </c>
      <c r="H1014" s="28">
        <v>447.0</v>
      </c>
      <c r="I1014" s="28">
        <v>793.0</v>
      </c>
      <c r="J1014" s="28">
        <v>0.0</v>
      </c>
      <c r="K1014" s="25" t="s">
        <v>25</v>
      </c>
      <c r="L1014" s="26">
        <v>4.0</v>
      </c>
      <c r="M1014" s="26">
        <v>2.0</v>
      </c>
      <c r="N1014" s="26">
        <v>1.0</v>
      </c>
      <c r="O1014" s="30"/>
      <c r="P1014" s="26">
        <v>780.0</v>
      </c>
      <c r="Q1014" s="35">
        <v>1553.0</v>
      </c>
      <c r="R1014" s="32">
        <v>44309.0</v>
      </c>
      <c r="S1014" s="32">
        <v>44308.0</v>
      </c>
      <c r="T1014" s="29"/>
      <c r="U1014" s="33"/>
      <c r="V1014" s="1"/>
    </row>
    <row r="1015" ht="24.0" customHeight="1">
      <c r="A1015" s="1"/>
      <c r="B1015" s="24" t="str">
        <f>HYPERLINK("https://www.compass.com/listing/550-grand-street-unit-gge-manhattan-ny-10002/1816850474790396825/view?agent_id=610d3f3370540700019b0833","550 Grand Street, Unit GGE")</f>
        <v>550 Grand Street, Unit GGE</v>
      </c>
      <c r="C1015" s="25" t="s">
        <v>22</v>
      </c>
      <c r="D1015" s="26" t="s">
        <v>23</v>
      </c>
      <c r="E1015" s="27" t="str">
        <f>HYPERLINK("https://www.compass.com/building/hillman-coop-manhattan-ny/282059477803367701/","Hillman Coop")</f>
        <v>Hillman Coop</v>
      </c>
      <c r="F1015" s="25" t="s">
        <v>119</v>
      </c>
      <c r="G1015" s="28">
        <v>799000.0</v>
      </c>
      <c r="H1015" s="28">
        <v>799.0</v>
      </c>
      <c r="I1015" s="28">
        <v>1527.0</v>
      </c>
      <c r="J1015" s="28">
        <v>0.0</v>
      </c>
      <c r="K1015" s="25" t="s">
        <v>25</v>
      </c>
      <c r="L1015" s="26">
        <v>4.0</v>
      </c>
      <c r="M1015" s="26">
        <v>2.0</v>
      </c>
      <c r="N1015" s="26">
        <v>1.0</v>
      </c>
      <c r="O1015" s="26">
        <v>0.0</v>
      </c>
      <c r="P1015" s="34">
        <v>1000.0</v>
      </c>
      <c r="Q1015" s="35">
        <v>105.0</v>
      </c>
      <c r="R1015" s="32">
        <v>45839.0</v>
      </c>
      <c r="S1015" s="32">
        <v>45758.0</v>
      </c>
      <c r="T1015" s="29"/>
      <c r="U1015" s="33"/>
      <c r="V1015" s="1"/>
    </row>
    <row r="1016" ht="24.0" customHeight="1">
      <c r="A1016" s="1"/>
      <c r="B1016" s="24" t="str">
        <f>HYPERLINK("https://www.compass.com/listing/6200-riverdale-avenue-unit-5d-bronx-ny-10471/1602808691610294361/view?agent_id=610d3f3370540700019b0833","6200 Riverdale Avenue, Unit 5D")</f>
        <v>6200 Riverdale Avenue, Unit 5D</v>
      </c>
      <c r="C1016" s="25" t="s">
        <v>22</v>
      </c>
      <c r="D1016" s="26" t="s">
        <v>23</v>
      </c>
      <c r="E1016" s="27" t="str">
        <f>HYPERLINK("https://www.compass.com/building/6200-riverdale-ave-bronx-ny-10471/293533820668371829/","6200 Riverdale Ave")</f>
        <v>6200 Riverdale Ave</v>
      </c>
      <c r="F1016" s="25" t="s">
        <v>75</v>
      </c>
      <c r="G1016" s="28">
        <v>325000.0</v>
      </c>
      <c r="H1016" s="29"/>
      <c r="I1016" s="28">
        <v>1226.0</v>
      </c>
      <c r="J1016" s="28">
        <v>0.0</v>
      </c>
      <c r="K1016" s="25" t="s">
        <v>25</v>
      </c>
      <c r="L1016" s="26">
        <v>5.0</v>
      </c>
      <c r="M1016" s="26">
        <v>2.0</v>
      </c>
      <c r="N1016" s="26">
        <v>1.0</v>
      </c>
      <c r="O1016" s="30"/>
      <c r="P1016" s="30"/>
      <c r="Q1016" s="35">
        <v>401.0</v>
      </c>
      <c r="R1016" s="32">
        <v>45463.0</v>
      </c>
      <c r="S1016" s="32">
        <v>45462.0</v>
      </c>
      <c r="T1016" s="29"/>
      <c r="U1016" s="33"/>
      <c r="V1016" s="1"/>
    </row>
    <row r="1017" ht="24.0" customHeight="1">
      <c r="A1017" s="1"/>
      <c r="B1017" s="24" t="str">
        <f>HYPERLINK("https://www.compass.com/listing/2620-east-13th-street-unit-4d-brooklyn-ny-11235/1881938905785246385/view?agent_id=610d3f3370540700019b0833","2620 East 13th Street, Unit 4D")</f>
        <v>2620 East 13th Street, Unit 4D</v>
      </c>
      <c r="C1017" s="25" t="s">
        <v>22</v>
      </c>
      <c r="D1017" s="26" t="s">
        <v>23</v>
      </c>
      <c r="E1017" s="27" t="str">
        <f>HYPERLINK("https://www.compass.com/building/2620-e-13th-st-brooklyn-ny-11235/293534107172878549/","2620 E 13th St")</f>
        <v>2620 E 13th St</v>
      </c>
      <c r="F1017" s="25" t="s">
        <v>70</v>
      </c>
      <c r="G1017" s="28">
        <v>430000.0</v>
      </c>
      <c r="H1017" s="28">
        <v>391.0</v>
      </c>
      <c r="I1017" s="28">
        <v>750.0</v>
      </c>
      <c r="J1017" s="29"/>
      <c r="K1017" s="25" t="s">
        <v>25</v>
      </c>
      <c r="L1017" s="26">
        <v>4.0</v>
      </c>
      <c r="M1017" s="26">
        <v>2.0</v>
      </c>
      <c r="N1017" s="26">
        <v>1.0</v>
      </c>
      <c r="O1017" s="30"/>
      <c r="P1017" s="34">
        <v>1100.0</v>
      </c>
      <c r="Q1017" s="35">
        <v>16.0</v>
      </c>
      <c r="R1017" s="32">
        <v>45861.0</v>
      </c>
      <c r="S1017" s="32">
        <v>45846.0</v>
      </c>
      <c r="T1017" s="29"/>
      <c r="U1017" s="33"/>
      <c r="V1017" s="1"/>
    </row>
    <row r="1018" ht="24.0" customHeight="1">
      <c r="A1018" s="1"/>
      <c r="B1018" s="24" t="str">
        <f>HYPERLINK("https://www.compass.com/listing/264-east-broadway-unit-a307-manhattan-ny-10002/1766242042099908393/view?agent_id=610d3f3370540700019b0833","264 East Broadway, Unit A307")</f>
        <v>264 East Broadway, Unit A307</v>
      </c>
      <c r="C1018" s="25" t="s">
        <v>22</v>
      </c>
      <c r="D1018" s="26" t="s">
        <v>23</v>
      </c>
      <c r="E1018" s="27" t="str">
        <f>HYPERLINK("https://www.compass.com/building/seward-park-manhattan-ny/282066475471115269/","Seward Park")</f>
        <v>Seward Park</v>
      </c>
      <c r="F1018" s="25" t="s">
        <v>119</v>
      </c>
      <c r="G1018" s="28">
        <v>1100000.0</v>
      </c>
      <c r="H1018" s="28">
        <v>1100.0</v>
      </c>
      <c r="I1018" s="28">
        <v>1447.0</v>
      </c>
      <c r="J1018" s="28">
        <v>0.0</v>
      </c>
      <c r="K1018" s="25" t="s">
        <v>25</v>
      </c>
      <c r="L1018" s="26">
        <v>5.0</v>
      </c>
      <c r="M1018" s="26">
        <v>2.0</v>
      </c>
      <c r="N1018" s="26">
        <v>1.0</v>
      </c>
      <c r="O1018" s="30"/>
      <c r="P1018" s="34">
        <v>1000.0</v>
      </c>
      <c r="Q1018" s="35">
        <v>174.0</v>
      </c>
      <c r="R1018" s="32">
        <v>45696.0</v>
      </c>
      <c r="S1018" s="32">
        <v>45688.0</v>
      </c>
      <c r="T1018" s="29"/>
      <c r="U1018" s="33"/>
      <c r="V1018" s="1"/>
    </row>
    <row r="1019" ht="24.0" customHeight="1">
      <c r="A1019" s="1"/>
      <c r="B1019" s="24" t="str">
        <f>HYPERLINK("https://www.compass.com/listing/34-20-78th-street-unit-4h-queens-ny-11372/1780702971939755569/view?agent_id=610d3f3370540700019b0833","34-20 78th Street, Unit 4H")</f>
        <v>34-20 78th Street, Unit 4H</v>
      </c>
      <c r="C1019" s="25" t="s">
        <v>22</v>
      </c>
      <c r="D1019" s="26" t="s">
        <v>23</v>
      </c>
      <c r="E1019" s="27" t="str">
        <f>HYPERLINK("https://www.compass.com/building/34-20-78th-st-queens-ny-11372/293530114161970149/","34-20 78th St")</f>
        <v>34-20 78th St</v>
      </c>
      <c r="F1019" s="25" t="s">
        <v>33</v>
      </c>
      <c r="G1019" s="28">
        <v>535000.0</v>
      </c>
      <c r="H1019" s="29"/>
      <c r="I1019" s="28">
        <v>995.0</v>
      </c>
      <c r="J1019" s="28">
        <v>0.0</v>
      </c>
      <c r="K1019" s="25" t="s">
        <v>25</v>
      </c>
      <c r="L1019" s="26">
        <v>5.0</v>
      </c>
      <c r="M1019" s="26">
        <v>2.0</v>
      </c>
      <c r="N1019" s="26">
        <v>1.0</v>
      </c>
      <c r="O1019" s="30"/>
      <c r="P1019" s="30"/>
      <c r="Q1019" s="35">
        <v>156.0</v>
      </c>
      <c r="R1019" s="32">
        <v>45709.0</v>
      </c>
      <c r="S1019" s="32">
        <v>45707.0</v>
      </c>
      <c r="T1019" s="29"/>
      <c r="U1019" s="33"/>
      <c r="V1019" s="1"/>
    </row>
    <row r="1020" ht="24.0" customHeight="1">
      <c r="A1020" s="1"/>
      <c r="B1020" s="24" t="str">
        <f>HYPERLINK("https://www.compass.com/listing/131-11-kew-gardens-kew-gardens-road-unit-4d-queens-ny-11418/1841776568186635617/view?agent_id=610d3f3370540700019b0833","131-11 Kew Gardens Kew Gardens Road, Unit 4D")</f>
        <v>131-11 Kew Gardens Kew Gardens Road, Unit 4D</v>
      </c>
      <c r="C1020" s="25" t="s">
        <v>22</v>
      </c>
      <c r="D1020" s="26" t="s">
        <v>23</v>
      </c>
      <c r="E1020" s="26" t="s">
        <v>245</v>
      </c>
      <c r="F1020" s="25" t="s">
        <v>246</v>
      </c>
      <c r="G1020" s="28">
        <v>275000.0</v>
      </c>
      <c r="H1020" s="28">
        <v>348.0</v>
      </c>
      <c r="I1020" s="28">
        <v>1782.0</v>
      </c>
      <c r="J1020" s="29"/>
      <c r="K1020" s="25" t="s">
        <v>25</v>
      </c>
      <c r="L1020" s="26">
        <v>5.0</v>
      </c>
      <c r="M1020" s="26">
        <v>2.0</v>
      </c>
      <c r="N1020" s="26">
        <v>1.0</v>
      </c>
      <c r="O1020" s="30"/>
      <c r="P1020" s="26">
        <v>790.0</v>
      </c>
      <c r="Q1020" s="35">
        <v>67.0</v>
      </c>
      <c r="R1020" s="32">
        <v>45806.0</v>
      </c>
      <c r="S1020" s="32">
        <v>45796.0</v>
      </c>
      <c r="T1020" s="29"/>
      <c r="U1020" s="33"/>
      <c r="V1020" s="1"/>
    </row>
    <row r="1021" ht="24.0" customHeight="1">
      <c r="A1021" s="1"/>
      <c r="B1021" s="24" t="str">
        <f>HYPERLINK("https://www.compass.com/listing/90-william-street-unit-12h-manhattan-ny-10038/1769173890887117313/view?agent_id=610d3f3370540700019b0833","90 William Street, Unit 12H")</f>
        <v>90 William Street, Unit 12H</v>
      </c>
      <c r="C1021" s="25" t="s">
        <v>22</v>
      </c>
      <c r="D1021" s="26" t="s">
        <v>23</v>
      </c>
      <c r="E1021" s="27" t="str">
        <f>HYPERLINK("https://www.compass.com/building/be-90william-manhattan-ny/282030888110276085/","Be@90William")</f>
        <v>Be@90William</v>
      </c>
      <c r="F1021" s="25" t="s">
        <v>80</v>
      </c>
      <c r="G1021" s="28">
        <v>1130000.0</v>
      </c>
      <c r="H1021" s="28">
        <v>1031.0</v>
      </c>
      <c r="I1021" s="28">
        <v>2527.0</v>
      </c>
      <c r="J1021" s="28">
        <v>15360.0</v>
      </c>
      <c r="K1021" s="25" t="s">
        <v>28</v>
      </c>
      <c r="L1021" s="26">
        <v>3.0</v>
      </c>
      <c r="M1021" s="26">
        <v>2.0</v>
      </c>
      <c r="N1021" s="26">
        <v>1.0</v>
      </c>
      <c r="O1021" s="26">
        <v>0.0</v>
      </c>
      <c r="P1021" s="34">
        <v>1096.0</v>
      </c>
      <c r="Q1021" s="35">
        <v>171.0</v>
      </c>
      <c r="R1021" s="32">
        <v>45692.0</v>
      </c>
      <c r="S1021" s="32">
        <v>45692.0</v>
      </c>
      <c r="T1021" s="29"/>
      <c r="U1021" s="33"/>
      <c r="V1021" s="1"/>
    </row>
    <row r="1022" ht="24.0" customHeight="1">
      <c r="A1022" s="1"/>
      <c r="B1022" s="24" t="str">
        <f>HYPERLINK("https://www.compass.com/listing/2652-cropsey-avenue-unit-12f-brooklyn-ny-11214/1831580468221618137/view?agent_id=610d3f3370540700019b0833","2652 Cropsey Avenue, Unit 12F")</f>
        <v>2652 Cropsey Avenue, Unit 12F</v>
      </c>
      <c r="C1022" s="25" t="s">
        <v>22</v>
      </c>
      <c r="D1022" s="26" t="s">
        <v>23</v>
      </c>
      <c r="E1022" s="27" t="str">
        <f>HYPERLINK("https://www.compass.com/building/2652-cropsey-ave-brooklyn-ny-11214/307458309459955621/","2652 Cropsey Ave")</f>
        <v>2652 Cropsey Ave</v>
      </c>
      <c r="F1022" s="25" t="s">
        <v>173</v>
      </c>
      <c r="G1022" s="28">
        <v>450000.0</v>
      </c>
      <c r="H1022" s="28">
        <v>450.0</v>
      </c>
      <c r="I1022" s="28">
        <v>1124.0</v>
      </c>
      <c r="J1022" s="29"/>
      <c r="K1022" s="25" t="s">
        <v>25</v>
      </c>
      <c r="L1022" s="26">
        <v>4.0</v>
      </c>
      <c r="M1022" s="26">
        <v>2.0</v>
      </c>
      <c r="N1022" s="26">
        <v>1.0</v>
      </c>
      <c r="O1022" s="30"/>
      <c r="P1022" s="34">
        <v>1000.0</v>
      </c>
      <c r="Q1022" s="35">
        <v>85.0</v>
      </c>
      <c r="R1022" s="32">
        <v>45780.0</v>
      </c>
      <c r="S1022" s="32">
        <v>45778.0</v>
      </c>
      <c r="T1022" s="29"/>
      <c r="U1022" s="33"/>
      <c r="V1022" s="1"/>
    </row>
    <row r="1023" ht="24.0" customHeight="1">
      <c r="A1023" s="1"/>
      <c r="B1023" s="24" t="str">
        <f>HYPERLINK("https://www.compass.com/listing/268-east-broadway-unit-a307-manhattan-ny-10002/1780336896306800073/view?agent_id=610d3f3370540700019b0833","268 East Broadway, Unit A307")</f>
        <v>268 East Broadway, Unit A307</v>
      </c>
      <c r="C1023" s="25" t="s">
        <v>22</v>
      </c>
      <c r="D1023" s="26" t="s">
        <v>23</v>
      </c>
      <c r="E1023" s="27" t="str">
        <f>HYPERLINK("https://www.compass.com/building/seward-park-cooperative-manhattan-ny/294848407130350677/","Seward Park Cooperative")</f>
        <v>Seward Park Cooperative</v>
      </c>
      <c r="F1023" s="25" t="s">
        <v>119</v>
      </c>
      <c r="G1023" s="28">
        <v>1100000.0</v>
      </c>
      <c r="H1023" s="28">
        <v>1100.0</v>
      </c>
      <c r="I1023" s="28">
        <v>1447.0</v>
      </c>
      <c r="J1023" s="28">
        <v>0.0</v>
      </c>
      <c r="K1023" s="25" t="s">
        <v>25</v>
      </c>
      <c r="L1023" s="26">
        <v>5.0</v>
      </c>
      <c r="M1023" s="26">
        <v>2.0</v>
      </c>
      <c r="N1023" s="26">
        <v>1.0</v>
      </c>
      <c r="O1023" s="26">
        <v>0.0</v>
      </c>
      <c r="P1023" s="34">
        <v>1000.0</v>
      </c>
      <c r="Q1023" s="35">
        <v>175.0</v>
      </c>
      <c r="R1023" s="32">
        <v>45863.0</v>
      </c>
      <c r="S1023" s="32">
        <v>45688.0</v>
      </c>
      <c r="T1023" s="29"/>
      <c r="U1023" s="33"/>
      <c r="V1023" s="1"/>
    </row>
    <row r="1024" ht="24.0" customHeight="1">
      <c r="A1024" s="1"/>
      <c r="B1024" s="24" t="str">
        <f>HYPERLINK("https://www.compass.com/listing/77-fulton-street-unit-2j-manhattan-ny-10038/1748211210745153913/view?agent_id=610d3f3370540700019b0833","77 Fulton Street, Unit 2J")</f>
        <v>77 Fulton Street, Unit 2J</v>
      </c>
      <c r="C1024" s="25" t="s">
        <v>22</v>
      </c>
      <c r="D1024" s="26" t="s">
        <v>23</v>
      </c>
      <c r="E1024" s="27" t="str">
        <f>HYPERLINK("https://www.compass.com/building/southbridge-towers-manhattan-ny/282060021083179093/","Southbridge Towers")</f>
        <v>Southbridge Towers</v>
      </c>
      <c r="F1024" s="25" t="s">
        <v>80</v>
      </c>
      <c r="G1024" s="28">
        <v>700000.0</v>
      </c>
      <c r="H1024" s="28">
        <v>718.0</v>
      </c>
      <c r="I1024" s="28">
        <v>1000.0</v>
      </c>
      <c r="J1024" s="29"/>
      <c r="K1024" s="25" t="s">
        <v>25</v>
      </c>
      <c r="L1024" s="26">
        <v>5.0</v>
      </c>
      <c r="M1024" s="26">
        <v>2.0</v>
      </c>
      <c r="N1024" s="26">
        <v>1.0</v>
      </c>
      <c r="O1024" s="30"/>
      <c r="P1024" s="26">
        <v>975.0</v>
      </c>
      <c r="Q1024" s="35">
        <v>200.0</v>
      </c>
      <c r="R1024" s="32">
        <v>45780.0</v>
      </c>
      <c r="S1024" s="32">
        <v>45663.0</v>
      </c>
      <c r="T1024" s="29"/>
      <c r="U1024" s="33"/>
      <c r="V1024" s="1"/>
    </row>
    <row r="1025" ht="24.0" customHeight="1">
      <c r="A1025" s="1"/>
      <c r="B1025" s="24" t="str">
        <f>HYPERLINK("https://www.compass.com/listing/12325-82nd-avenue-unit-4k-queens-ny-11415/1860499209089855097/view?agent_id=610d3f3370540700019b0833","12325 82nd Avenue, Unit 4K")</f>
        <v>12325 82nd Avenue, Unit 4K</v>
      </c>
      <c r="C1025" s="25" t="s">
        <v>22</v>
      </c>
      <c r="D1025" s="26" t="s">
        <v>23</v>
      </c>
      <c r="E1025" s="26" t="s">
        <v>247</v>
      </c>
      <c r="F1025" s="25" t="s">
        <v>91</v>
      </c>
      <c r="G1025" s="28">
        <v>395000.0</v>
      </c>
      <c r="H1025" s="28">
        <v>516.0</v>
      </c>
      <c r="I1025" s="28">
        <v>2306.0</v>
      </c>
      <c r="J1025" s="29"/>
      <c r="K1025" s="25" t="s">
        <v>25</v>
      </c>
      <c r="L1025" s="26">
        <v>5.0</v>
      </c>
      <c r="M1025" s="26">
        <v>2.0</v>
      </c>
      <c r="N1025" s="26">
        <v>1.0</v>
      </c>
      <c r="O1025" s="30"/>
      <c r="P1025" s="26">
        <v>765.0</v>
      </c>
      <c r="Q1025" s="35">
        <v>45.0</v>
      </c>
      <c r="R1025" s="32">
        <v>45830.0</v>
      </c>
      <c r="S1025" s="32">
        <v>45818.0</v>
      </c>
      <c r="T1025" s="29"/>
      <c r="U1025" s="33"/>
      <c r="V1025" s="1"/>
    </row>
    <row r="1026" ht="24.0" customHeight="1">
      <c r="A1026" s="1"/>
      <c r="B1026" s="24" t="str">
        <f>HYPERLINK("https://www.compass.com/listing/2685-east-7th-street-unit-6p-brooklyn-ny-11235/1880060277065347729/view?agent_id=610d3f3370540700019b0833","2685 East 7th Street, Unit 6P")</f>
        <v>2685 East 7th Street, Unit 6P</v>
      </c>
      <c r="C1026" s="25" t="s">
        <v>22</v>
      </c>
      <c r="D1026" s="26" t="s">
        <v>23</v>
      </c>
      <c r="E1026" s="27" t="str">
        <f>HYPERLINK("https://www.compass.com/building/2685-e-7th-st-brooklyn-ny-11235/307434193898149397/","2685 E 7th St")</f>
        <v>2685 E 7th St</v>
      </c>
      <c r="F1026" s="25" t="s">
        <v>70</v>
      </c>
      <c r="G1026" s="28">
        <v>435000.0</v>
      </c>
      <c r="H1026" s="28">
        <v>435.0</v>
      </c>
      <c r="I1026" s="28">
        <v>917.0</v>
      </c>
      <c r="J1026" s="29"/>
      <c r="K1026" s="25" t="s">
        <v>25</v>
      </c>
      <c r="L1026" s="26">
        <v>4.0</v>
      </c>
      <c r="M1026" s="26">
        <v>2.0</v>
      </c>
      <c r="N1026" s="26">
        <v>1.0</v>
      </c>
      <c r="O1026" s="30"/>
      <c r="P1026" s="34">
        <v>1000.0</v>
      </c>
      <c r="Q1026" s="35">
        <v>17.0</v>
      </c>
      <c r="R1026" s="32">
        <v>45862.0</v>
      </c>
      <c r="S1026" s="32">
        <v>45845.0</v>
      </c>
      <c r="T1026" s="29"/>
      <c r="U1026" s="33"/>
      <c r="V1026" s="1"/>
    </row>
    <row r="1027" ht="24.0" customHeight="1">
      <c r="A1027" s="1"/>
      <c r="B1027" s="24" t="str">
        <f>HYPERLINK("https://www.compass.com/listing/2400-east-3rd-street-unit-515-brooklyn-ny-11223/1876604987652524017/view?agent_id=610d3f3370540700019b0833","2400 East 3rd Street, Unit 515")</f>
        <v>2400 East 3rd Street, Unit 515</v>
      </c>
      <c r="C1027" s="25" t="s">
        <v>22</v>
      </c>
      <c r="D1027" s="26" t="s">
        <v>23</v>
      </c>
      <c r="E1027" s="27" t="str">
        <f>HYPERLINK("https://www.compass.com/building/2400-e-3rd-st-brooklyn-ny-11223/293531184909109141/","2400 E 3rd St")</f>
        <v>2400 E 3rd St</v>
      </c>
      <c r="F1027" s="25" t="s">
        <v>205</v>
      </c>
      <c r="G1027" s="28">
        <v>365000.0</v>
      </c>
      <c r="H1027" s="28">
        <v>395.0</v>
      </c>
      <c r="I1027" s="28">
        <v>1062.0</v>
      </c>
      <c r="J1027" s="29"/>
      <c r="K1027" s="25" t="s">
        <v>25</v>
      </c>
      <c r="L1027" s="26">
        <v>4.0</v>
      </c>
      <c r="M1027" s="26">
        <v>2.0</v>
      </c>
      <c r="N1027" s="26">
        <v>1.0</v>
      </c>
      <c r="O1027" s="30"/>
      <c r="P1027" s="26">
        <v>925.0</v>
      </c>
      <c r="Q1027" s="35">
        <v>23.0</v>
      </c>
      <c r="R1027" s="32">
        <v>45860.0</v>
      </c>
      <c r="S1027" s="32">
        <v>45840.0</v>
      </c>
      <c r="T1027" s="29"/>
      <c r="U1027" s="33"/>
      <c r="V1027" s="1"/>
    </row>
    <row r="1028" ht="24.0" customHeight="1">
      <c r="A1028" s="1"/>
      <c r="B1028" s="24" t="str">
        <f>HYPERLINK("https://www.compass.com/listing/87-50-204th-street-unit-b46-queens-ny-11423/1864822850430064473/view?agent_id=610d3f3370540700019b0833","87-50 204th Street, Unit B46")</f>
        <v>87-50 204th Street, Unit B46</v>
      </c>
      <c r="C1028" s="25" t="s">
        <v>22</v>
      </c>
      <c r="D1028" s="26" t="s">
        <v>23</v>
      </c>
      <c r="E1028" s="27" t="str">
        <f>HYPERLINK("https://www.compass.com/building/87-50-204th-st-queens-ny-11423/293529423284573925/","87-50 204th St")</f>
        <v>87-50 204th St</v>
      </c>
      <c r="F1028" s="25" t="s">
        <v>99</v>
      </c>
      <c r="G1028" s="28">
        <v>240000.0</v>
      </c>
      <c r="H1028" s="28">
        <v>270.0</v>
      </c>
      <c r="I1028" s="28">
        <v>1093.0</v>
      </c>
      <c r="J1028" s="29"/>
      <c r="K1028" s="25" t="s">
        <v>25</v>
      </c>
      <c r="L1028" s="26">
        <v>5.0</v>
      </c>
      <c r="M1028" s="26">
        <v>2.0</v>
      </c>
      <c r="N1028" s="26">
        <v>1.0</v>
      </c>
      <c r="O1028" s="30"/>
      <c r="P1028" s="26">
        <v>888.0</v>
      </c>
      <c r="Q1028" s="35">
        <v>39.0</v>
      </c>
      <c r="R1028" s="32">
        <v>45837.0</v>
      </c>
      <c r="S1028" s="32">
        <v>45824.0</v>
      </c>
      <c r="T1028" s="29"/>
      <c r="U1028" s="33"/>
      <c r="V1028" s="1"/>
    </row>
    <row r="1029" ht="24.0" customHeight="1">
      <c r="A1029" s="1"/>
      <c r="B1029" s="24" t="str">
        <f>HYPERLINK("https://www.compass.com/listing/477-fdr-drive-unit-m1605-manhattan-ny-10002/1780570896116182561/view?agent_id=610d3f3370540700019b0833","477 FDR Drive, Unit M1605")</f>
        <v>477 FDR Drive, Unit M1605</v>
      </c>
      <c r="C1029" s="25" t="s">
        <v>22</v>
      </c>
      <c r="D1029" s="26" t="s">
        <v>23</v>
      </c>
      <c r="E1029" s="27" t="str">
        <f>HYPERLINK("https://www.compass.com/building/east-river-coop-manhattan-ny/294844349158359685/","East River Coop")</f>
        <v>East River Coop</v>
      </c>
      <c r="F1029" s="25" t="s">
        <v>119</v>
      </c>
      <c r="G1029" s="28">
        <v>750000.0</v>
      </c>
      <c r="H1029" s="28">
        <v>685.0</v>
      </c>
      <c r="I1029" s="28">
        <v>1411.0</v>
      </c>
      <c r="J1029" s="28">
        <v>0.0</v>
      </c>
      <c r="K1029" s="25" t="s">
        <v>248</v>
      </c>
      <c r="L1029" s="26">
        <v>4.0</v>
      </c>
      <c r="M1029" s="26">
        <v>2.0</v>
      </c>
      <c r="N1029" s="26">
        <v>1.0</v>
      </c>
      <c r="O1029" s="26">
        <v>0.0</v>
      </c>
      <c r="P1029" s="34">
        <v>1095.0</v>
      </c>
      <c r="Q1029" s="35">
        <v>155.0</v>
      </c>
      <c r="R1029" s="32">
        <v>45863.0</v>
      </c>
      <c r="S1029" s="32">
        <v>45708.0</v>
      </c>
      <c r="T1029" s="29"/>
      <c r="U1029" s="33"/>
      <c r="V1029" s="1"/>
    </row>
    <row r="1030" ht="24.0" customHeight="1">
      <c r="A1030" s="1"/>
      <c r="B1030" s="24" t="str">
        <f>HYPERLINK("https://www.compass.com/listing/1347-bristow-street-unit-4b-bronx-ny-10459/1846125279524422233/view?agent_id=610d3f3370540700019b0833","1347 Bristow Street, Unit 4B")</f>
        <v>1347 Bristow Street, Unit 4B</v>
      </c>
      <c r="C1030" s="25" t="s">
        <v>22</v>
      </c>
      <c r="D1030" s="26" t="s">
        <v>23</v>
      </c>
      <c r="E1030" s="27" t="str">
        <f>HYPERLINK("https://www.compass.com/building/1347-bristow-st-bronx-ny-10459/293529121705726053/","1347 Bristow St")</f>
        <v>1347 Bristow St</v>
      </c>
      <c r="F1030" s="25" t="s">
        <v>249</v>
      </c>
      <c r="G1030" s="28">
        <v>199000.0</v>
      </c>
      <c r="H1030" s="28">
        <v>241.0</v>
      </c>
      <c r="I1030" s="28">
        <v>586.0</v>
      </c>
      <c r="J1030" s="29"/>
      <c r="K1030" s="25" t="s">
        <v>25</v>
      </c>
      <c r="L1030" s="26">
        <v>5.0</v>
      </c>
      <c r="M1030" s="26">
        <v>2.0</v>
      </c>
      <c r="N1030" s="26">
        <v>1.0</v>
      </c>
      <c r="O1030" s="30"/>
      <c r="P1030" s="26">
        <v>825.0</v>
      </c>
      <c r="Q1030" s="35">
        <v>65.0</v>
      </c>
      <c r="R1030" s="32">
        <v>45848.0</v>
      </c>
      <c r="S1030" s="32">
        <v>45798.0</v>
      </c>
      <c r="T1030" s="29"/>
      <c r="U1030" s="33"/>
      <c r="V1030" s="1"/>
    </row>
    <row r="1031" ht="24.0" customHeight="1">
      <c r="A1031" s="1"/>
      <c r="B1031" s="24" t="str">
        <f>HYPERLINK("https://www.compass.com/listing/99-60-63rd-road-unit-1b-queens-ny-11374/1879857161124469409/view?agent_id=610d3f3370540700019b0833","99-60 63rd Road, Unit 1B")</f>
        <v>99-60 63rd Road, Unit 1B</v>
      </c>
      <c r="C1031" s="25" t="s">
        <v>22</v>
      </c>
      <c r="D1031" s="26" t="s">
        <v>23</v>
      </c>
      <c r="E1031" s="27" t="str">
        <f>HYPERLINK("https://www.compass.com/building/99-60-63rd-rd-queens-ny-11374/294843074106665285/","99-60 63rd Rd")</f>
        <v>99-60 63rd Rd</v>
      </c>
      <c r="F1031" s="25" t="s">
        <v>166</v>
      </c>
      <c r="G1031" s="28">
        <v>250000.0</v>
      </c>
      <c r="H1031" s="28">
        <v>250.0</v>
      </c>
      <c r="I1031" s="28">
        <v>1146.0</v>
      </c>
      <c r="J1031" s="29"/>
      <c r="K1031" s="25" t="s">
        <v>25</v>
      </c>
      <c r="L1031" s="26">
        <v>4.0</v>
      </c>
      <c r="M1031" s="26">
        <v>2.0</v>
      </c>
      <c r="N1031" s="26">
        <v>1.0</v>
      </c>
      <c r="O1031" s="30"/>
      <c r="P1031" s="34">
        <v>1000.0</v>
      </c>
      <c r="Q1031" s="35">
        <v>18.0</v>
      </c>
      <c r="R1031" s="32">
        <v>45861.0</v>
      </c>
      <c r="S1031" s="32">
        <v>45845.0</v>
      </c>
      <c r="T1031" s="29"/>
      <c r="U1031" s="33"/>
      <c r="V1031" s="1"/>
    </row>
    <row r="1032" ht="24.0" customHeight="1">
      <c r="A1032" s="1"/>
      <c r="B1032" s="24" t="str">
        <f>HYPERLINK("https://www.compass.com/listing/3021-avenue-z-unit-5e-brooklyn-ny-11235/1880737402400117025/view?agent_id=610d3f3370540700019b0833","3021 Avenue Z, Unit 5E")</f>
        <v>3021 Avenue Z, Unit 5E</v>
      </c>
      <c r="C1032" s="25" t="s">
        <v>22</v>
      </c>
      <c r="D1032" s="26" t="s">
        <v>23</v>
      </c>
      <c r="E1032" s="27" t="str">
        <f>HYPERLINK("https://www.compass.com/building/3021-avenue-z-brooklyn-ny-11235/389275242576282053/","3021 Avenue Z")</f>
        <v>3021 Avenue Z</v>
      </c>
      <c r="F1032" s="25" t="s">
        <v>70</v>
      </c>
      <c r="G1032" s="28">
        <v>249000.0</v>
      </c>
      <c r="H1032" s="28">
        <v>249.0</v>
      </c>
      <c r="I1032" s="28">
        <v>915.0</v>
      </c>
      <c r="J1032" s="29"/>
      <c r="K1032" s="25" t="s">
        <v>25</v>
      </c>
      <c r="L1032" s="26">
        <v>4.0</v>
      </c>
      <c r="M1032" s="26">
        <v>2.0</v>
      </c>
      <c r="N1032" s="26">
        <v>1.0</v>
      </c>
      <c r="O1032" s="30"/>
      <c r="P1032" s="34">
        <v>1000.0</v>
      </c>
      <c r="Q1032" s="35">
        <v>17.0</v>
      </c>
      <c r="R1032" s="32">
        <v>45847.0</v>
      </c>
      <c r="S1032" s="32">
        <v>45846.0</v>
      </c>
      <c r="T1032" s="29"/>
      <c r="U1032" s="33"/>
      <c r="V1032" s="1"/>
    </row>
    <row r="1033" ht="24.0" customHeight="1">
      <c r="A1033" s="1"/>
      <c r="B1033" s="24" t="str">
        <f>HYPERLINK("https://www.compass.com/listing/577-grand-street-unit-f504-manhattan-ny-10002/1791452878072500217/view?agent_id=610d3f3370540700019b0833","577 Grand Street, Unit F504")</f>
        <v>577 Grand Street, Unit F504</v>
      </c>
      <c r="C1033" s="25" t="s">
        <v>22</v>
      </c>
      <c r="D1033" s="26" t="s">
        <v>23</v>
      </c>
      <c r="E1033" s="27" t="str">
        <f>HYPERLINK("https://www.compass.com/building/east-river-housing-coop-manhattan-ny/294837933232059413/","East River Housing Coop")</f>
        <v>East River Housing Coop</v>
      </c>
      <c r="F1033" s="25" t="s">
        <v>119</v>
      </c>
      <c r="G1033" s="28">
        <v>850000.0</v>
      </c>
      <c r="H1033" s="28">
        <v>850.0</v>
      </c>
      <c r="I1033" s="28">
        <v>1473.0</v>
      </c>
      <c r="J1033" s="28">
        <v>0.0</v>
      </c>
      <c r="K1033" s="25" t="s">
        <v>25</v>
      </c>
      <c r="L1033" s="26">
        <v>4.0</v>
      </c>
      <c r="M1033" s="26">
        <v>2.0</v>
      </c>
      <c r="N1033" s="26">
        <v>1.0</v>
      </c>
      <c r="O1033" s="26">
        <v>0.0</v>
      </c>
      <c r="P1033" s="34">
        <v>1000.0</v>
      </c>
      <c r="Q1033" s="35">
        <v>140.0</v>
      </c>
      <c r="R1033" s="32">
        <v>45863.0</v>
      </c>
      <c r="S1033" s="32">
        <v>45723.0</v>
      </c>
      <c r="T1033" s="29"/>
      <c r="U1033" s="33"/>
      <c r="V1033" s="1"/>
    </row>
    <row r="1034" ht="24.0" customHeight="1">
      <c r="A1034" s="1"/>
      <c r="B1034" s="24" t="str">
        <f>HYPERLINK("https://www.compass.com/listing/1655-flatbush-avenue-unit-b1912-brooklyn-ny-11210/1842248349909024089/view?agent_id=610d3f3370540700019b0833","1655 Flatbush Avenue, Unit B1912")</f>
        <v>1655 Flatbush Avenue, Unit B1912</v>
      </c>
      <c r="C1034" s="25" t="s">
        <v>22</v>
      </c>
      <c r="D1034" s="26" t="s">
        <v>23</v>
      </c>
      <c r="E1034" s="27" t="str">
        <f>HYPERLINK("https://www.compass.com/building/philip-howard-apartments-brooklyn-ny/293416486054242853/","Philip Howard Apartments")</f>
        <v>Philip Howard Apartments</v>
      </c>
      <c r="F1034" s="25" t="s">
        <v>123</v>
      </c>
      <c r="G1034" s="28">
        <v>560000.0</v>
      </c>
      <c r="H1034" s="29"/>
      <c r="I1034" s="28">
        <v>1135.0</v>
      </c>
      <c r="J1034" s="28">
        <v>0.0</v>
      </c>
      <c r="K1034" s="25" t="s">
        <v>25</v>
      </c>
      <c r="L1034" s="26">
        <v>5.0</v>
      </c>
      <c r="M1034" s="26">
        <v>2.0</v>
      </c>
      <c r="N1034" s="26">
        <v>1.0</v>
      </c>
      <c r="O1034" s="26">
        <v>0.0</v>
      </c>
      <c r="P1034" s="30"/>
      <c r="Q1034" s="35">
        <v>70.0</v>
      </c>
      <c r="R1034" s="32">
        <v>45863.0</v>
      </c>
      <c r="S1034" s="32">
        <v>45793.0</v>
      </c>
      <c r="T1034" s="29"/>
      <c r="U1034" s="33"/>
      <c r="V1034" s="1"/>
    </row>
    <row r="1035" ht="24.0" customHeight="1">
      <c r="A1035" s="1"/>
      <c r="B1035" s="24" t="str">
        <f>HYPERLINK("https://www.compass.com/listing/1920-mcgraw-avenue-unit-7d-bronx-ny-10462/1856033169908106305/view?agent_id=610d3f3370540700019b0833","1920 McGraw Avenue, Unit 7D")</f>
        <v>1920 McGraw Avenue, Unit 7D</v>
      </c>
      <c r="C1035" s="25" t="s">
        <v>22</v>
      </c>
      <c r="D1035" s="26" t="s">
        <v>23</v>
      </c>
      <c r="E1035" s="27" t="str">
        <f>HYPERLINK("https://www.compass.com/building/1920-mcgraw-ave-bronx-ny-10462/307455629635409125/","1920 Mcgraw Ave")</f>
        <v>1920 Mcgraw Ave</v>
      </c>
      <c r="F1035" s="25" t="s">
        <v>129</v>
      </c>
      <c r="G1035" s="28">
        <v>349000.0</v>
      </c>
      <c r="H1035" s="28">
        <v>421.0</v>
      </c>
      <c r="I1035" s="28">
        <v>0.0</v>
      </c>
      <c r="J1035" s="28">
        <v>0.0</v>
      </c>
      <c r="K1035" s="25" t="s">
        <v>28</v>
      </c>
      <c r="L1035" s="26">
        <v>5.0</v>
      </c>
      <c r="M1035" s="26">
        <v>2.0</v>
      </c>
      <c r="N1035" s="26">
        <v>1.0</v>
      </c>
      <c r="O1035" s="30"/>
      <c r="P1035" s="26">
        <v>829.0</v>
      </c>
      <c r="Q1035" s="35">
        <v>51.0</v>
      </c>
      <c r="R1035" s="32">
        <v>45851.0</v>
      </c>
      <c r="S1035" s="32">
        <v>45812.0</v>
      </c>
      <c r="T1035" s="29"/>
      <c r="U1035" s="33"/>
      <c r="V1035" s="1"/>
    </row>
    <row r="1036" ht="24.0" customHeight="1">
      <c r="A1036" s="1"/>
      <c r="B1036" s="24" t="str">
        <f>HYPERLINK("https://www.compass.com/listing/3215-netherland-avenue-unit-6c-bronx-ny-10463/1845071328062031321/view?agent_id=610d3f3370540700019b0833","3215 Netherland Avenue, Unit 6C")</f>
        <v>3215 Netherland Avenue, Unit 6C</v>
      </c>
      <c r="C1036" s="25" t="s">
        <v>22</v>
      </c>
      <c r="D1036" s="26" t="s">
        <v>23</v>
      </c>
      <c r="E1036" s="27" t="str">
        <f>HYPERLINK("https://www.compass.com/building/3215-netherland-ave-bronx-ny-10463/293529240211643573/","3215 Netherland Ave")</f>
        <v>3215 Netherland Ave</v>
      </c>
      <c r="F1036" s="25" t="s">
        <v>84</v>
      </c>
      <c r="G1036" s="28">
        <v>260000.0</v>
      </c>
      <c r="H1036" s="28">
        <v>267.0</v>
      </c>
      <c r="I1036" s="28">
        <v>836.0</v>
      </c>
      <c r="J1036" s="28">
        <v>0.0</v>
      </c>
      <c r="K1036" s="25" t="s">
        <v>25</v>
      </c>
      <c r="L1036" s="26">
        <v>4.0</v>
      </c>
      <c r="M1036" s="26">
        <v>2.0</v>
      </c>
      <c r="N1036" s="26">
        <v>1.0</v>
      </c>
      <c r="O1036" s="26">
        <v>0.0</v>
      </c>
      <c r="P1036" s="26">
        <v>975.0</v>
      </c>
      <c r="Q1036" s="35">
        <v>66.0</v>
      </c>
      <c r="R1036" s="32">
        <v>45836.0</v>
      </c>
      <c r="S1036" s="32">
        <v>45797.0</v>
      </c>
      <c r="T1036" s="29"/>
      <c r="U1036" s="33"/>
      <c r="V1036" s="1"/>
    </row>
    <row r="1037" ht="24.0" customHeight="1">
      <c r="A1037" s="1"/>
      <c r="B1037" s="24" t="str">
        <f>HYPERLINK("https://www.compass.com/listing/1275-east-51st-street-unit-3y-brooklyn-ny-11234/1776340407485307473/view?agent_id=610d3f3370540700019b0833","1275 East 51st Street, Unit 3Y")</f>
        <v>1275 East 51st Street, Unit 3Y</v>
      </c>
      <c r="C1037" s="25" t="s">
        <v>22</v>
      </c>
      <c r="D1037" s="26" t="s">
        <v>23</v>
      </c>
      <c r="E1037" s="27" t="str">
        <f>HYPERLINK("https://www.compass.com/building/1275-e-51st-st-brooklyn-ny-11234/293534817830607365/","1275 E 51st St")</f>
        <v>1275 E 51st St</v>
      </c>
      <c r="F1037" s="25" t="s">
        <v>123</v>
      </c>
      <c r="G1037" s="28">
        <v>230000.0</v>
      </c>
      <c r="H1037" s="28">
        <v>273.0</v>
      </c>
      <c r="I1037" s="28">
        <v>995.0</v>
      </c>
      <c r="J1037" s="29"/>
      <c r="K1037" s="25" t="s">
        <v>25</v>
      </c>
      <c r="L1037" s="26">
        <v>4.0</v>
      </c>
      <c r="M1037" s="26">
        <v>2.0</v>
      </c>
      <c r="N1037" s="26">
        <v>1.0</v>
      </c>
      <c r="O1037" s="30"/>
      <c r="P1037" s="26">
        <v>842.0</v>
      </c>
      <c r="Q1037" s="35">
        <v>51.0</v>
      </c>
      <c r="R1037" s="32">
        <v>45860.0</v>
      </c>
      <c r="S1037" s="32">
        <v>45702.0</v>
      </c>
      <c r="T1037" s="29"/>
      <c r="U1037" s="33"/>
      <c r="V1037" s="1"/>
    </row>
    <row r="1038" ht="24.0" customHeight="1">
      <c r="A1038" s="1"/>
      <c r="B1038" s="24" t="str">
        <f>HYPERLINK("https://www.compass.com/listing/144-45-sanford-avenue-unit-6a-queens-ny-11355/1878766138381785009/view?agent_id=610d3f3370540700019b0833","144-45 Sanford Avenue, Unit 6A")</f>
        <v>144-45 Sanford Avenue, Unit 6A</v>
      </c>
      <c r="C1038" s="25" t="s">
        <v>22</v>
      </c>
      <c r="D1038" s="26" t="s">
        <v>23</v>
      </c>
      <c r="E1038" s="27" t="str">
        <f>HYPERLINK("https://www.compass.com/building/144-45-sanford-ave-queens-ny-11355/381297489329430117/","144-45 Sanford Ave")</f>
        <v>144-45 Sanford Ave</v>
      </c>
      <c r="F1038" s="25" t="s">
        <v>160</v>
      </c>
      <c r="G1038" s="28">
        <v>418000.0</v>
      </c>
      <c r="H1038" s="28">
        <v>523.0</v>
      </c>
      <c r="I1038" s="28">
        <v>1876.0</v>
      </c>
      <c r="J1038" s="29"/>
      <c r="K1038" s="25" t="s">
        <v>25</v>
      </c>
      <c r="L1038" s="26">
        <v>6.0</v>
      </c>
      <c r="M1038" s="26">
        <v>2.0</v>
      </c>
      <c r="N1038" s="26">
        <v>1.0</v>
      </c>
      <c r="O1038" s="30"/>
      <c r="P1038" s="26">
        <v>800.0</v>
      </c>
      <c r="Q1038" s="35">
        <v>13.0</v>
      </c>
      <c r="R1038" s="32">
        <v>45862.0</v>
      </c>
      <c r="S1038" s="32">
        <v>45844.0</v>
      </c>
      <c r="T1038" s="29"/>
      <c r="U1038" s="33"/>
      <c r="V1038" s="1"/>
    </row>
    <row r="1039" ht="24.0" customHeight="1">
      <c r="A1039" s="1"/>
      <c r="B1039" s="24" t="str">
        <f>HYPERLINK("https://www.compass.com/listing/1275-east-51st-street-unit-2d-brooklyn-ny-11234/1777347747344702825/view?agent_id=610d3f3370540700019b0833","1275 East 51st Street, Unit 2D")</f>
        <v>1275 East 51st Street, Unit 2D</v>
      </c>
      <c r="C1039" s="25" t="s">
        <v>22</v>
      </c>
      <c r="D1039" s="26" t="s">
        <v>23</v>
      </c>
      <c r="E1039" s="27" t="str">
        <f>HYPERLINK("https://www.compass.com/building/1275-e-51st-st-brooklyn-ny-11234/293534817830607365/","1275 E 51st St")</f>
        <v>1275 E 51st St</v>
      </c>
      <c r="F1039" s="25" t="s">
        <v>123</v>
      </c>
      <c r="G1039" s="28">
        <v>249999.0</v>
      </c>
      <c r="H1039" s="28">
        <v>263.0</v>
      </c>
      <c r="I1039" s="28">
        <v>1048.0</v>
      </c>
      <c r="J1039" s="29"/>
      <c r="K1039" s="25" t="s">
        <v>25</v>
      </c>
      <c r="L1039" s="26">
        <v>4.0</v>
      </c>
      <c r="M1039" s="26">
        <v>2.0</v>
      </c>
      <c r="N1039" s="26">
        <v>1.0</v>
      </c>
      <c r="O1039" s="30"/>
      <c r="P1039" s="26">
        <v>950.0</v>
      </c>
      <c r="Q1039" s="35">
        <v>159.0</v>
      </c>
      <c r="R1039" s="32">
        <v>45837.0</v>
      </c>
      <c r="S1039" s="32">
        <v>45703.0</v>
      </c>
      <c r="T1039" s="29"/>
      <c r="U1039" s="33"/>
      <c r="V1039" s="1"/>
    </row>
    <row r="1040" ht="24.0" customHeight="1">
      <c r="A1040" s="1"/>
      <c r="B1040" s="24" t="str">
        <f>HYPERLINK("https://www.compass.com/listing/100-beekman-street-unit-4k-manhattan-ny-10038/1748684007246646889/view?agent_id=610d3f3370540700019b0833","100 Beekman Street, Unit 4K")</f>
        <v>100 Beekman Street, Unit 4K</v>
      </c>
      <c r="C1040" s="25" t="s">
        <v>22</v>
      </c>
      <c r="D1040" s="26" t="s">
        <v>23</v>
      </c>
      <c r="E1040" s="27" t="str">
        <f>HYPERLINK("https://www.compass.com/building/southbridge-towers-manhattan-ny/282059138173797781/","Southbridge Towers")</f>
        <v>Southbridge Towers</v>
      </c>
      <c r="F1040" s="25" t="s">
        <v>80</v>
      </c>
      <c r="G1040" s="28">
        <v>1050000.0</v>
      </c>
      <c r="H1040" s="28">
        <v>1173.0</v>
      </c>
      <c r="I1040" s="28">
        <v>1018.0</v>
      </c>
      <c r="J1040" s="28">
        <v>0.0</v>
      </c>
      <c r="K1040" s="25" t="s">
        <v>25</v>
      </c>
      <c r="L1040" s="26">
        <v>4.0</v>
      </c>
      <c r="M1040" s="26">
        <v>2.0</v>
      </c>
      <c r="N1040" s="26">
        <v>1.0</v>
      </c>
      <c r="O1040" s="26">
        <v>0.0</v>
      </c>
      <c r="P1040" s="26">
        <v>895.0</v>
      </c>
      <c r="Q1040" s="35">
        <v>241.0</v>
      </c>
      <c r="R1040" s="32">
        <v>45854.0</v>
      </c>
      <c r="S1040" s="32">
        <v>45622.0</v>
      </c>
      <c r="T1040" s="29"/>
      <c r="U1040" s="33"/>
      <c r="V1040" s="1"/>
    </row>
    <row r="1041" ht="24.0" customHeight="1">
      <c r="A1041" s="1"/>
      <c r="B1041" s="24" t="str">
        <f>HYPERLINK("https://www.compass.com/listing/38-delancey-street-unit-15a-manhattan-ny-10002/1820421545122559889/view?agent_id=610d3f3370540700019b0833","38 Delancey Street, Unit 15A")</f>
        <v>38 Delancey Street, Unit 15A</v>
      </c>
      <c r="C1041" s="25" t="s">
        <v>22</v>
      </c>
      <c r="D1041" s="26" t="s">
        <v>23</v>
      </c>
      <c r="E1041" s="27" t="str">
        <f>HYPERLINK("https://www.compass.com/building/38-delancey-st-manhattan-ny-10002/282059246630110693/","38 Delancey St")</f>
        <v>38 Delancey St</v>
      </c>
      <c r="F1041" s="25" t="s">
        <v>119</v>
      </c>
      <c r="G1041" s="28">
        <v>1499000.0</v>
      </c>
      <c r="H1041" s="28">
        <v>1782.0</v>
      </c>
      <c r="I1041" s="28">
        <v>2909.0</v>
      </c>
      <c r="J1041" s="28">
        <v>19764.0</v>
      </c>
      <c r="K1041" s="25" t="s">
        <v>28</v>
      </c>
      <c r="L1041" s="26">
        <v>4.0</v>
      </c>
      <c r="M1041" s="26">
        <v>2.0</v>
      </c>
      <c r="N1041" s="26">
        <v>1.0</v>
      </c>
      <c r="O1041" s="26">
        <v>0.0</v>
      </c>
      <c r="P1041" s="26">
        <v>841.0</v>
      </c>
      <c r="Q1041" s="35">
        <v>100.0</v>
      </c>
      <c r="R1041" s="32">
        <v>45846.0</v>
      </c>
      <c r="S1041" s="32">
        <v>45763.0</v>
      </c>
      <c r="T1041" s="29"/>
      <c r="U1041" s="33"/>
      <c r="V1041" s="1"/>
    </row>
    <row r="1042" ht="24.0" customHeight="1">
      <c r="A1042" s="1"/>
      <c r="B1042" s="24" t="str">
        <f>HYPERLINK("https://www.compass.com/listing/2286-brigham-street-unit-1e-brooklyn-ny-11229/1870498149042689809/view?agent_id=610d3f3370540700019b0833","2286 Brigham Street, Unit 1E")</f>
        <v>2286 Brigham Street, Unit 1E</v>
      </c>
      <c r="C1042" s="25" t="s">
        <v>22</v>
      </c>
      <c r="D1042" s="26" t="s">
        <v>23</v>
      </c>
      <c r="E1042" s="27" t="str">
        <f>HYPERLINK("https://www.compass.com/building/2286-brigham-st-brooklyn-ny-11229/307444157844623509/","2286 Brigham St")</f>
        <v>2286 Brigham St</v>
      </c>
      <c r="F1042" s="25" t="s">
        <v>70</v>
      </c>
      <c r="G1042" s="28">
        <v>239000.0</v>
      </c>
      <c r="H1042" s="28">
        <v>239.0</v>
      </c>
      <c r="I1042" s="28">
        <v>1046.0</v>
      </c>
      <c r="J1042" s="29"/>
      <c r="K1042" s="25" t="s">
        <v>25</v>
      </c>
      <c r="L1042" s="26">
        <v>5.0</v>
      </c>
      <c r="M1042" s="26">
        <v>2.0</v>
      </c>
      <c r="N1042" s="26">
        <v>1.0</v>
      </c>
      <c r="O1042" s="30"/>
      <c r="P1042" s="34">
        <v>1000.0</v>
      </c>
      <c r="Q1042" s="35">
        <v>31.0</v>
      </c>
      <c r="R1042" s="32">
        <v>45833.0</v>
      </c>
      <c r="S1042" s="32">
        <v>45832.0</v>
      </c>
      <c r="T1042" s="29"/>
      <c r="U1042" s="33"/>
      <c r="V1042" s="1"/>
    </row>
    <row r="1043" ht="24.0" customHeight="1">
      <c r="A1043" s="1"/>
      <c r="B1043" s="24" t="str">
        <f>HYPERLINK("https://www.compass.com/listing/3184-grand-unit-6d-bronx-ny-10458/1867465859328619801/view?agent_id=610d3f3370540700019b0833","3184 Grand, Unit 6D")</f>
        <v>3184 Grand, Unit 6D</v>
      </c>
      <c r="C1043" s="25" t="s">
        <v>22</v>
      </c>
      <c r="D1043" s="26" t="s">
        <v>23</v>
      </c>
      <c r="E1043" s="26" t="s">
        <v>250</v>
      </c>
      <c r="F1043" s="25" t="s">
        <v>238</v>
      </c>
      <c r="G1043" s="28">
        <v>245000.0</v>
      </c>
      <c r="H1043" s="28">
        <v>250.0</v>
      </c>
      <c r="I1043" s="28">
        <v>836.0</v>
      </c>
      <c r="J1043" s="29"/>
      <c r="K1043" s="25" t="s">
        <v>25</v>
      </c>
      <c r="L1043" s="26">
        <v>4.0</v>
      </c>
      <c r="M1043" s="26">
        <v>2.0</v>
      </c>
      <c r="N1043" s="26">
        <v>1.0</v>
      </c>
      <c r="O1043" s="30"/>
      <c r="P1043" s="26">
        <v>980.0</v>
      </c>
      <c r="Q1043" s="35">
        <v>35.0</v>
      </c>
      <c r="R1043" s="32">
        <v>45863.0</v>
      </c>
      <c r="S1043" s="32">
        <v>45828.0</v>
      </c>
      <c r="T1043" s="29"/>
      <c r="U1043" s="33"/>
      <c r="V1043" s="1"/>
    </row>
    <row r="1044" ht="24.0" customHeight="1">
      <c r="A1044" s="1"/>
      <c r="B1044" s="24" t="str">
        <f>HYPERLINK("https://www.compass.com/listing/12399-flatlands-avenue-unit-7c-brooklyn-ny-11207/1856835630264432409/view?agent_id=610d3f3370540700019b0833","12399 Flatlands Avenue, Unit 7C")</f>
        <v>12399 Flatlands Avenue, Unit 7C</v>
      </c>
      <c r="C1044" s="25" t="s">
        <v>22</v>
      </c>
      <c r="D1044" s="26" t="s">
        <v>23</v>
      </c>
      <c r="E1044" s="27" t="str">
        <f>HYPERLINK("https://www.compass.com/building/meadowwood-at-gateway-brooklyn-ny/294841805430184405/","Meadowwood at Gateway")</f>
        <v>Meadowwood at Gateway</v>
      </c>
      <c r="F1044" s="25" t="s">
        <v>85</v>
      </c>
      <c r="G1044" s="28">
        <v>395000.0</v>
      </c>
      <c r="H1044" s="28">
        <v>440.0</v>
      </c>
      <c r="I1044" s="28">
        <v>1015.0</v>
      </c>
      <c r="J1044" s="28">
        <v>3479.0</v>
      </c>
      <c r="K1044" s="25" t="s">
        <v>28</v>
      </c>
      <c r="L1044" s="26">
        <v>4.0</v>
      </c>
      <c r="M1044" s="26">
        <v>2.0</v>
      </c>
      <c r="N1044" s="26">
        <v>1.0</v>
      </c>
      <c r="O1044" s="30"/>
      <c r="P1044" s="26">
        <v>898.0</v>
      </c>
      <c r="Q1044" s="35">
        <v>49.0</v>
      </c>
      <c r="R1044" s="32">
        <v>45859.0</v>
      </c>
      <c r="S1044" s="32">
        <v>45813.0</v>
      </c>
      <c r="T1044" s="29"/>
      <c r="U1044" s="33"/>
      <c r="V1044" s="1"/>
    </row>
    <row r="1045" ht="24.0" customHeight="1">
      <c r="A1045" s="1"/>
      <c r="B1045" s="24" t="str">
        <f>HYPERLINK("https://www.compass.com/listing/2930-west-5th-street-unit-15d-brooklyn-ny-11224/1881798999851246217/view?agent_id=610d3f3370540700019b0833","2930 West 5th Street, Unit 15D")</f>
        <v>2930 West 5th Street, Unit 15D</v>
      </c>
      <c r="C1045" s="25" t="s">
        <v>22</v>
      </c>
      <c r="D1045" s="26" t="s">
        <v>23</v>
      </c>
      <c r="E1045" s="27" t="str">
        <f>HYPERLINK("https://www.compass.com/building/2930-w-5th-st-brooklyn-ny-11224/293535414059291925/","2930 W 5th St")</f>
        <v>2930 W 5th St</v>
      </c>
      <c r="F1045" s="25" t="s">
        <v>183</v>
      </c>
      <c r="G1045" s="28">
        <v>489000.0</v>
      </c>
      <c r="H1045" s="28">
        <v>445.0</v>
      </c>
      <c r="I1045" s="28">
        <v>1226.0</v>
      </c>
      <c r="J1045" s="28">
        <v>0.0</v>
      </c>
      <c r="K1045" s="25" t="s">
        <v>25</v>
      </c>
      <c r="L1045" s="26">
        <v>6.0</v>
      </c>
      <c r="M1045" s="26">
        <v>2.0</v>
      </c>
      <c r="N1045" s="26">
        <v>1.0</v>
      </c>
      <c r="O1045" s="30"/>
      <c r="P1045" s="34">
        <v>1100.0</v>
      </c>
      <c r="Q1045" s="35">
        <v>16.0</v>
      </c>
      <c r="R1045" s="32">
        <v>45863.0</v>
      </c>
      <c r="S1045" s="32">
        <v>45847.0</v>
      </c>
      <c r="T1045" s="29"/>
      <c r="U1045" s="33"/>
      <c r="V1045" s="1"/>
    </row>
    <row r="1046" ht="24.0" customHeight="1">
      <c r="A1046" s="1"/>
      <c r="B1046" s="24" t="str">
        <f>HYPERLINK("https://www.compass.com/listing/1190-east-53rd-street-unit-7b-brooklyn-ny-11234/1703874791581576929/view?agent_id=610d3f3370540700019b0833","1190 East 53rd Street, Unit 7B")</f>
        <v>1190 East 53rd Street, Unit 7B</v>
      </c>
      <c r="C1046" s="25" t="s">
        <v>22</v>
      </c>
      <c r="D1046" s="26" t="s">
        <v>23</v>
      </c>
      <c r="E1046" s="27" t="str">
        <f>HYPERLINK("https://www.compass.com/building/1190-e-53rd-st-brooklyn-ny-11234/293531084556151669/","1190 E 53rd St")</f>
        <v>1190 E 53rd St</v>
      </c>
      <c r="F1046" s="25" t="s">
        <v>123</v>
      </c>
      <c r="G1046" s="28">
        <v>254900.0</v>
      </c>
      <c r="H1046" s="28">
        <v>283.0</v>
      </c>
      <c r="I1046" s="28">
        <v>1417.0</v>
      </c>
      <c r="J1046" s="29"/>
      <c r="K1046" s="25" t="s">
        <v>25</v>
      </c>
      <c r="L1046" s="26">
        <v>4.0</v>
      </c>
      <c r="M1046" s="26">
        <v>2.0</v>
      </c>
      <c r="N1046" s="26">
        <v>1.0</v>
      </c>
      <c r="O1046" s="30"/>
      <c r="P1046" s="26">
        <v>900.0</v>
      </c>
      <c r="Q1046" s="35">
        <v>261.0</v>
      </c>
      <c r="R1046" s="32">
        <v>45811.0</v>
      </c>
      <c r="S1046" s="32">
        <v>45602.0</v>
      </c>
      <c r="T1046" s="29"/>
      <c r="U1046" s="33"/>
      <c r="V1046" s="1"/>
    </row>
    <row r="1047" ht="24.0" customHeight="1">
      <c r="A1047" s="1"/>
      <c r="B1047" s="24" t="str">
        <f>HYPERLINK("https://www.compass.com/listing/1275-east-51st-street-unit-3b-brooklyn-ny-11234/1561666484174457769/view?agent_id=610d3f3370540700019b0833","1275 East 51st Street, Unit 3B")</f>
        <v>1275 East 51st Street, Unit 3B</v>
      </c>
      <c r="C1047" s="25" t="s">
        <v>22</v>
      </c>
      <c r="D1047" s="26" t="s">
        <v>23</v>
      </c>
      <c r="E1047" s="27" t="str">
        <f>HYPERLINK("https://www.compass.com/building/1275-e-51st-st-brooklyn-ny-11234/293534817830607365/","1275 E 51st St")</f>
        <v>1275 E 51st St</v>
      </c>
      <c r="F1047" s="25" t="s">
        <v>123</v>
      </c>
      <c r="G1047" s="28">
        <v>290000.0</v>
      </c>
      <c r="H1047" s="28">
        <v>305.0</v>
      </c>
      <c r="I1047" s="28">
        <v>1044.0</v>
      </c>
      <c r="J1047" s="29"/>
      <c r="K1047" s="25" t="s">
        <v>25</v>
      </c>
      <c r="L1047" s="26">
        <v>4.0</v>
      </c>
      <c r="M1047" s="26">
        <v>2.0</v>
      </c>
      <c r="N1047" s="26">
        <v>1.0</v>
      </c>
      <c r="O1047" s="30"/>
      <c r="P1047" s="26">
        <v>950.0</v>
      </c>
      <c r="Q1047" s="35">
        <v>74.0</v>
      </c>
      <c r="R1047" s="32">
        <v>45863.0</v>
      </c>
      <c r="S1047" s="32">
        <v>45406.0</v>
      </c>
      <c r="T1047" s="29"/>
      <c r="U1047" s="33"/>
      <c r="V1047" s="1"/>
    </row>
    <row r="1048" ht="24.0" customHeight="1">
      <c r="A1048" s="1"/>
      <c r="B1048" s="24" t="str">
        <f>HYPERLINK("https://www.compass.com/listing/2736-independence-avenue-unit-6c-bronx-ny-10463/1859435694866649657/view?agent_id=610d3f3370540700019b0833","2736 Independence Avenue, Unit 6C")</f>
        <v>2736 Independence Avenue, Unit 6C</v>
      </c>
      <c r="C1048" s="25" t="s">
        <v>22</v>
      </c>
      <c r="D1048" s="26" t="s">
        <v>23</v>
      </c>
      <c r="E1048" s="27" t="str">
        <f>HYPERLINK("https://www.compass.com/building/the-markchester-bronx-ny/307453423615933061/","The Markchester")</f>
        <v>The Markchester</v>
      </c>
      <c r="F1048" s="25" t="s">
        <v>89</v>
      </c>
      <c r="G1048" s="28">
        <v>309000.0</v>
      </c>
      <c r="H1048" s="28">
        <v>334.0</v>
      </c>
      <c r="I1048" s="28">
        <v>1318.0</v>
      </c>
      <c r="J1048" s="29"/>
      <c r="K1048" s="25" t="s">
        <v>25</v>
      </c>
      <c r="L1048" s="26">
        <v>5.0</v>
      </c>
      <c r="M1048" s="26">
        <v>2.0</v>
      </c>
      <c r="N1048" s="26">
        <v>1.0</v>
      </c>
      <c r="O1048" s="30"/>
      <c r="P1048" s="26">
        <v>925.0</v>
      </c>
      <c r="Q1048" s="35">
        <v>46.0</v>
      </c>
      <c r="R1048" s="32">
        <v>45857.0</v>
      </c>
      <c r="S1048" s="32">
        <v>45817.0</v>
      </c>
      <c r="T1048" s="29"/>
      <c r="U1048" s="33"/>
      <c r="V1048" s="1"/>
    </row>
    <row r="1049" ht="24.0" customHeight="1">
      <c r="A1049" s="1"/>
      <c r="B1049" s="24" t="str">
        <f>HYPERLINK("https://www.compass.com/listing/21543-48th-avenue-unit-1e-queens-ny-11361/1880509483651574777/view?agent_id=610d3f3370540700019b0833","21543 48th Avenue, Unit 1E")</f>
        <v>21543 48th Avenue, Unit 1E</v>
      </c>
      <c r="C1049" s="25" t="s">
        <v>22</v>
      </c>
      <c r="D1049" s="26" t="s">
        <v>23</v>
      </c>
      <c r="E1049" s="26" t="s">
        <v>251</v>
      </c>
      <c r="F1049" s="25" t="s">
        <v>252</v>
      </c>
      <c r="G1049" s="28">
        <v>368888.0</v>
      </c>
      <c r="H1049" s="28">
        <v>434.0</v>
      </c>
      <c r="I1049" s="28">
        <v>1397.0</v>
      </c>
      <c r="J1049" s="29"/>
      <c r="K1049" s="25" t="s">
        <v>25</v>
      </c>
      <c r="L1049" s="26">
        <v>4.0</v>
      </c>
      <c r="M1049" s="26">
        <v>2.0</v>
      </c>
      <c r="N1049" s="26">
        <v>1.0</v>
      </c>
      <c r="O1049" s="30"/>
      <c r="P1049" s="26">
        <v>850.0</v>
      </c>
      <c r="Q1049" s="35">
        <v>17.0</v>
      </c>
      <c r="R1049" s="32">
        <v>45860.0</v>
      </c>
      <c r="S1049" s="32">
        <v>45846.0</v>
      </c>
      <c r="T1049" s="29"/>
      <c r="U1049" s="33"/>
      <c r="V1049" s="1"/>
    </row>
    <row r="1050" ht="24.0" customHeight="1">
      <c r="A1050" s="1"/>
      <c r="B1050" s="24" t="str">
        <f>HYPERLINK("https://www.compass.com/listing/1270-east-51st-street-unit-4f-brooklyn-ny-11234/1608103940144558681/view?agent_id=610d3f3370540700019b0833","1270 East 51st Street, Unit 4F")</f>
        <v>1270 East 51st Street, Unit 4F</v>
      </c>
      <c r="C1050" s="25" t="s">
        <v>22</v>
      </c>
      <c r="D1050" s="26" t="s">
        <v>23</v>
      </c>
      <c r="E1050" s="27" t="str">
        <f>HYPERLINK("https://www.compass.com/building/kings-village-brooklyn-ny/293535463686315381/","King's Village ")</f>
        <v>King's Village </v>
      </c>
      <c r="F1050" s="25" t="s">
        <v>123</v>
      </c>
      <c r="G1050" s="28">
        <v>199900.0</v>
      </c>
      <c r="H1050" s="28">
        <v>222.0</v>
      </c>
      <c r="I1050" s="28">
        <v>1036.0</v>
      </c>
      <c r="J1050" s="28">
        <v>0.0</v>
      </c>
      <c r="K1050" s="25" t="s">
        <v>25</v>
      </c>
      <c r="L1050" s="26">
        <v>5.0</v>
      </c>
      <c r="M1050" s="26">
        <v>2.0</v>
      </c>
      <c r="N1050" s="26">
        <v>1.0</v>
      </c>
      <c r="O1050" s="30"/>
      <c r="P1050" s="26">
        <v>900.0</v>
      </c>
      <c r="Q1050" s="35">
        <v>237.0</v>
      </c>
      <c r="R1050" s="32">
        <v>45791.0</v>
      </c>
      <c r="S1050" s="32">
        <v>45470.0</v>
      </c>
      <c r="T1050" s="29"/>
      <c r="U1050" s="33"/>
      <c r="V1050" s="1"/>
    </row>
    <row r="1051" ht="24.0" customHeight="1">
      <c r="A1051" s="1"/>
      <c r="B1051" s="24" t="str">
        <f>HYPERLINK("https://www.compass.com/listing/12421-flatlands-avenue-unit-152l-brooklyn-ny-11208/1853821351076711465/view?agent_id=610d3f3370540700019b0833","12421 Flatlands Avenue, Unit 152L")</f>
        <v>12421 Flatlands Avenue, Unit 152L</v>
      </c>
      <c r="C1051" s="25" t="s">
        <v>22</v>
      </c>
      <c r="D1051" s="26" t="s">
        <v>23</v>
      </c>
      <c r="E1051" s="27" t="str">
        <f>HYPERLINK("https://www.compass.com/building/12421-flatlands-ave-brooklyn-ny-11208/307444744871033573/","12421 Flatlands Ave")</f>
        <v>12421 Flatlands Ave</v>
      </c>
      <c r="F1051" s="25" t="s">
        <v>85</v>
      </c>
      <c r="G1051" s="28">
        <v>375000.0</v>
      </c>
      <c r="H1051" s="28">
        <v>464.0</v>
      </c>
      <c r="I1051" s="28">
        <v>737.0</v>
      </c>
      <c r="J1051" s="28">
        <v>2688.0</v>
      </c>
      <c r="K1051" s="25" t="s">
        <v>28</v>
      </c>
      <c r="L1051" s="26">
        <v>5.0</v>
      </c>
      <c r="M1051" s="26">
        <v>2.0</v>
      </c>
      <c r="N1051" s="26">
        <v>1.0</v>
      </c>
      <c r="O1051" s="30"/>
      <c r="P1051" s="26">
        <v>808.0</v>
      </c>
      <c r="Q1051" s="35">
        <v>55.0</v>
      </c>
      <c r="R1051" s="32">
        <v>45860.0</v>
      </c>
      <c r="S1051" s="32">
        <v>45808.0</v>
      </c>
      <c r="T1051" s="29"/>
      <c r="U1051" s="33"/>
      <c r="V1051" s="1"/>
    </row>
    <row r="1052" ht="24.0" customHeight="1">
      <c r="A1052" s="1"/>
      <c r="B1052" s="24" t="str">
        <f>HYPERLINK("https://www.compass.com/listing/3321-bruckner-boulevard-unit-2d-bronx-ny-10461/1854414835714612753/view?agent_id=610d3f3370540700019b0833","3321 Bruckner Boulevard, Unit 2D")</f>
        <v>3321 Bruckner Boulevard, Unit 2D</v>
      </c>
      <c r="C1052" s="25" t="s">
        <v>22</v>
      </c>
      <c r="D1052" s="26" t="s">
        <v>23</v>
      </c>
      <c r="E1052" s="27" t="str">
        <f>HYPERLINK("https://www.compass.com/building/3321-bruckner-blvd-bronx-ny-10461/293530892406748053/","3321 Bruckner Blvd")</f>
        <v>3321 Bruckner Blvd</v>
      </c>
      <c r="F1052" s="25" t="s">
        <v>253</v>
      </c>
      <c r="G1052" s="28">
        <v>179000.0</v>
      </c>
      <c r="H1052" s="29"/>
      <c r="I1052" s="28">
        <v>1240.0</v>
      </c>
      <c r="J1052" s="28">
        <v>0.0</v>
      </c>
      <c r="K1052" s="25" t="s">
        <v>25</v>
      </c>
      <c r="L1052" s="26">
        <v>5.0</v>
      </c>
      <c r="M1052" s="26">
        <v>2.0</v>
      </c>
      <c r="N1052" s="26">
        <v>1.0</v>
      </c>
      <c r="O1052" s="26">
        <v>0.0</v>
      </c>
      <c r="P1052" s="30"/>
      <c r="Q1052" s="35">
        <v>53.0</v>
      </c>
      <c r="R1052" s="32">
        <v>45859.0</v>
      </c>
      <c r="S1052" s="32">
        <v>45810.0</v>
      </c>
      <c r="T1052" s="29"/>
      <c r="U1052" s="33"/>
      <c r="V1052" s="1"/>
    </row>
    <row r="1053" ht="24.0" customHeight="1">
      <c r="A1053" s="1"/>
      <c r="B1053" s="24" t="str">
        <f>HYPERLINK("https://www.compass.com/listing/2560-stillwell-avenue-unit-3a-brooklyn-ny-11223/1874890793747955657/view?agent_id=610d3f3370540700019b0833","2560 Stillwell Avenue, Unit 3A")</f>
        <v>2560 Stillwell Avenue, Unit 3A</v>
      </c>
      <c r="C1053" s="25" t="s">
        <v>22</v>
      </c>
      <c r="D1053" s="26" t="s">
        <v>23</v>
      </c>
      <c r="E1053" s="27" t="str">
        <f>HYPERLINK("https://www.compass.com/building/2560-stillwell-ave-brooklyn-ny-11223/293531145667186325/","2560 Stillwell Ave")</f>
        <v>2560 Stillwell Ave</v>
      </c>
      <c r="F1053" s="25" t="s">
        <v>173</v>
      </c>
      <c r="G1053" s="28">
        <v>475000.0</v>
      </c>
      <c r="H1053" s="28">
        <v>600.0</v>
      </c>
      <c r="I1053" s="28">
        <v>816.0</v>
      </c>
      <c r="J1053" s="28">
        <v>6736.0</v>
      </c>
      <c r="K1053" s="25" t="s">
        <v>28</v>
      </c>
      <c r="L1053" s="26">
        <v>4.0</v>
      </c>
      <c r="M1053" s="26">
        <v>2.0</v>
      </c>
      <c r="N1053" s="26">
        <v>1.0</v>
      </c>
      <c r="O1053" s="26">
        <v>0.0</v>
      </c>
      <c r="P1053" s="26">
        <v>792.0</v>
      </c>
      <c r="Q1053" s="35">
        <v>25.0</v>
      </c>
      <c r="R1053" s="32">
        <v>45862.0</v>
      </c>
      <c r="S1053" s="32">
        <v>45838.0</v>
      </c>
      <c r="T1053" s="29"/>
      <c r="U1053" s="33"/>
      <c r="V1053" s="1"/>
    </row>
    <row r="1054" ht="24.0" customHeight="1">
      <c r="A1054" s="1"/>
      <c r="B1054" s="24" t="str">
        <f>HYPERLINK("https://www.compass.com/listing/153-bay-26th-street-unit-3f-brooklyn-ny-11214/1856110523921942769/view?agent_id=610d3f3370540700019b0833","153 Bay 26th Street, Unit 3F")</f>
        <v>153 Bay 26th Street, Unit 3F</v>
      </c>
      <c r="C1054" s="25" t="s">
        <v>22</v>
      </c>
      <c r="D1054" s="26" t="s">
        <v>23</v>
      </c>
      <c r="E1054" s="27" t="str">
        <f>HYPERLINK("https://www.compass.com/building/153-bay-26th-st-brooklyn-ny-11214/307437519838545253/","153 Bay 26th St")</f>
        <v>153 Bay 26th St</v>
      </c>
      <c r="F1054" s="25" t="s">
        <v>214</v>
      </c>
      <c r="G1054" s="28">
        <v>388800.0</v>
      </c>
      <c r="H1054" s="28">
        <v>533.0</v>
      </c>
      <c r="I1054" s="28">
        <v>774.0</v>
      </c>
      <c r="J1054" s="29"/>
      <c r="K1054" s="36"/>
      <c r="L1054" s="26">
        <v>4.0</v>
      </c>
      <c r="M1054" s="26">
        <v>2.0</v>
      </c>
      <c r="N1054" s="26">
        <v>1.0</v>
      </c>
      <c r="O1054" s="26">
        <v>0.0</v>
      </c>
      <c r="P1054" s="26">
        <v>730.0</v>
      </c>
      <c r="Q1054" s="35">
        <v>51.0</v>
      </c>
      <c r="R1054" s="32">
        <v>45827.0</v>
      </c>
      <c r="S1054" s="32">
        <v>45811.0</v>
      </c>
      <c r="T1054" s="29"/>
      <c r="U1054" s="33"/>
      <c r="V1054" s="1"/>
    </row>
    <row r="1055" ht="24.0" customHeight="1">
      <c r="A1055" s="1"/>
      <c r="B1055" s="24" t="str">
        <f>HYPERLINK("https://www.compass.com/listing/1711-davidson-avenue-unit-1n-bronx-ny-10453/1811880034152134257/view?agent_id=610d3f3370540700019b0833","1711 Davidson Avenue, Unit 1N")</f>
        <v>1711 Davidson Avenue, Unit 1N</v>
      </c>
      <c r="C1055" s="25" t="s">
        <v>22</v>
      </c>
      <c r="D1055" s="26" t="s">
        <v>23</v>
      </c>
      <c r="E1055" s="27" t="str">
        <f>HYPERLINK("https://www.compass.com/building/1711-davidson-ave-bronx-ny-10453/293531793326456789/","1711 Davidson Ave")</f>
        <v>1711 Davidson Ave</v>
      </c>
      <c r="F1055" s="25" t="s">
        <v>254</v>
      </c>
      <c r="G1055" s="28">
        <v>198000.0</v>
      </c>
      <c r="H1055" s="28">
        <v>243.0</v>
      </c>
      <c r="I1055" s="28">
        <v>770.0</v>
      </c>
      <c r="J1055" s="29"/>
      <c r="K1055" s="25" t="s">
        <v>25</v>
      </c>
      <c r="L1055" s="26">
        <v>5.0</v>
      </c>
      <c r="M1055" s="26">
        <v>2.0</v>
      </c>
      <c r="N1055" s="26">
        <v>1.0</v>
      </c>
      <c r="O1055" s="30"/>
      <c r="P1055" s="26">
        <v>815.0</v>
      </c>
      <c r="Q1055" s="35">
        <v>111.0</v>
      </c>
      <c r="R1055" s="32">
        <v>45772.0</v>
      </c>
      <c r="S1055" s="32">
        <v>45751.0</v>
      </c>
      <c r="T1055" s="29"/>
      <c r="U1055" s="33"/>
      <c r="V1055" s="1"/>
    </row>
    <row r="1056" ht="24.0" customHeight="1">
      <c r="A1056" s="1"/>
      <c r="B1056" s="24" t="str">
        <f>HYPERLINK("https://www.compass.com/listing/2630-kingsbridge-terrace-unit-5z-bronx-ny-10463/1816346708915520681/view?agent_id=610d3f3370540700019b0833","2630 Kingsbridge Terrace, Unit 5Z")</f>
        <v>2630 Kingsbridge Terrace, Unit 5Z</v>
      </c>
      <c r="C1056" s="25" t="s">
        <v>22</v>
      </c>
      <c r="D1056" s="26" t="s">
        <v>23</v>
      </c>
      <c r="E1056" s="27" t="str">
        <f>HYPERLINK("https://www.compass.com/building/2630-kingsbridge-ter-bronx-ny-10463/293529723034707957/","2630 Kingsbridge Ter")</f>
        <v>2630 Kingsbridge Ter</v>
      </c>
      <c r="F1056" s="25" t="s">
        <v>238</v>
      </c>
      <c r="G1056" s="28">
        <v>235000.0</v>
      </c>
      <c r="H1056" s="28">
        <v>235.0</v>
      </c>
      <c r="I1056" s="28">
        <v>1349.0</v>
      </c>
      <c r="J1056" s="29"/>
      <c r="K1056" s="25" t="s">
        <v>25</v>
      </c>
      <c r="L1056" s="26">
        <v>5.0</v>
      </c>
      <c r="M1056" s="26">
        <v>2.0</v>
      </c>
      <c r="N1056" s="26">
        <v>1.0</v>
      </c>
      <c r="O1056" s="30"/>
      <c r="P1056" s="34">
        <v>1000.0</v>
      </c>
      <c r="Q1056" s="35">
        <v>103.0</v>
      </c>
      <c r="R1056" s="32">
        <v>45841.0</v>
      </c>
      <c r="S1056" s="32">
        <v>45757.0</v>
      </c>
      <c r="T1056" s="29"/>
      <c r="U1056" s="33"/>
      <c r="V1056" s="1"/>
    </row>
    <row r="1057" ht="24.0" customHeight="1">
      <c r="A1057" s="1"/>
      <c r="B1057" s="24" t="str">
        <f>HYPERLINK("https://www.compass.com/listing/1270-east-51st-street-unit-3n-brooklyn-ny-11234/1768241058887540353/view?agent_id=610d3f3370540700019b0833","1270 East 51st Street, Unit 3N")</f>
        <v>1270 East 51st Street, Unit 3N</v>
      </c>
      <c r="C1057" s="25" t="s">
        <v>22</v>
      </c>
      <c r="D1057" s="26" t="s">
        <v>23</v>
      </c>
      <c r="E1057" s="27" t="str">
        <f>HYPERLINK("https://www.compass.com/building/kings-village-brooklyn-ny/293535463686315381/","King's Village ")</f>
        <v>King's Village </v>
      </c>
      <c r="F1057" s="25" t="s">
        <v>123</v>
      </c>
      <c r="G1057" s="28">
        <v>250000.0</v>
      </c>
      <c r="H1057" s="28">
        <v>278.0</v>
      </c>
      <c r="I1057" s="28">
        <v>1300.0</v>
      </c>
      <c r="J1057" s="29"/>
      <c r="K1057" s="25" t="s">
        <v>25</v>
      </c>
      <c r="L1057" s="26">
        <v>4.0</v>
      </c>
      <c r="M1057" s="26">
        <v>2.0</v>
      </c>
      <c r="N1057" s="26">
        <v>1.0</v>
      </c>
      <c r="O1057" s="26">
        <v>0.0</v>
      </c>
      <c r="P1057" s="26">
        <v>900.0</v>
      </c>
      <c r="Q1057" s="35">
        <v>174.0</v>
      </c>
      <c r="R1057" s="32">
        <v>45833.0</v>
      </c>
      <c r="S1057" s="32">
        <v>45689.0</v>
      </c>
      <c r="T1057" s="29"/>
      <c r="U1057" s="33"/>
      <c r="V1057" s="1"/>
    </row>
    <row r="1058" ht="24.0" customHeight="1">
      <c r="A1058" s="1"/>
      <c r="B1058" s="24" t="str">
        <f>HYPERLINK("https://www.compass.com/listing/210-15-23rd-avenue-unit-3c-queens-ny-11360/1878501759858153953/view?agent_id=610d3f3370540700019b0833","210-15 23rd Avenue, Unit 3C")</f>
        <v>210-15 23rd Avenue, Unit 3C</v>
      </c>
      <c r="C1058" s="25" t="s">
        <v>22</v>
      </c>
      <c r="D1058" s="26" t="s">
        <v>23</v>
      </c>
      <c r="E1058" s="27" t="str">
        <f>HYPERLINK("https://www.compass.com/building/210-15-23rd-ave-queens-ny-11360/307433873495339093/","210-15 23rd Ave")</f>
        <v>210-15 23rd Ave</v>
      </c>
      <c r="F1058" s="25" t="s">
        <v>79</v>
      </c>
      <c r="G1058" s="28">
        <v>355000.0</v>
      </c>
      <c r="H1058" s="28">
        <v>330.0</v>
      </c>
      <c r="I1058" s="28">
        <v>1642.0</v>
      </c>
      <c r="J1058" s="29"/>
      <c r="K1058" s="25" t="s">
        <v>25</v>
      </c>
      <c r="L1058" s="26">
        <v>5.0</v>
      </c>
      <c r="M1058" s="26">
        <v>2.0</v>
      </c>
      <c r="N1058" s="26">
        <v>1.0</v>
      </c>
      <c r="O1058" s="30"/>
      <c r="P1058" s="34">
        <v>1075.0</v>
      </c>
      <c r="Q1058" s="35">
        <v>20.0</v>
      </c>
      <c r="R1058" s="32">
        <v>45861.0</v>
      </c>
      <c r="S1058" s="32">
        <v>45843.0</v>
      </c>
      <c r="T1058" s="29"/>
      <c r="U1058" s="33"/>
      <c r="V1058" s="1"/>
    </row>
    <row r="1059" ht="24.0" customHeight="1">
      <c r="A1059" s="1"/>
      <c r="B1059" s="24" t="str">
        <f>HYPERLINK("https://www.compass.com/listing/255-31-75th-avenue-unit-2-queens-ny-11004/1877172585272840553/view?agent_id=610d3f3370540700019b0833","255-31 75th Avenue, Unit 2")</f>
        <v>255-31 75th Avenue, Unit 2</v>
      </c>
      <c r="C1059" s="25" t="s">
        <v>22</v>
      </c>
      <c r="D1059" s="26" t="s">
        <v>23</v>
      </c>
      <c r="E1059" s="27" t="str">
        <f>HYPERLINK("https://www.compass.com/building/255-31-75th-ave-queens-ny-11004/307455076004048149/","255-31 75th Ave")</f>
        <v>255-31 75th Ave</v>
      </c>
      <c r="F1059" s="25" t="s">
        <v>92</v>
      </c>
      <c r="G1059" s="28">
        <v>479000.0</v>
      </c>
      <c r="H1059" s="28">
        <v>625.0</v>
      </c>
      <c r="I1059" s="28">
        <v>865.0</v>
      </c>
      <c r="J1059" s="29"/>
      <c r="K1059" s="25" t="s">
        <v>25</v>
      </c>
      <c r="L1059" s="26">
        <v>5.0</v>
      </c>
      <c r="M1059" s="26">
        <v>2.0</v>
      </c>
      <c r="N1059" s="26">
        <v>1.0</v>
      </c>
      <c r="O1059" s="30"/>
      <c r="P1059" s="26">
        <v>766.0</v>
      </c>
      <c r="Q1059" s="35">
        <v>22.0</v>
      </c>
      <c r="R1059" s="32">
        <v>45862.0</v>
      </c>
      <c r="S1059" s="32">
        <v>45841.0</v>
      </c>
      <c r="T1059" s="29"/>
      <c r="U1059" s="33"/>
      <c r="V1059" s="1"/>
    </row>
    <row r="1060" ht="24.0" customHeight="1">
      <c r="A1060" s="1"/>
      <c r="B1060" s="24" t="str">
        <f>HYPERLINK("https://www.compass.com/listing/12421-flatlands-avenue-unit-2l-brooklyn-ny-11208/1852544627681144921/view?agent_id=610d3f3370540700019b0833","12421 Flatlands Avenue, Unit 2L")</f>
        <v>12421 Flatlands Avenue, Unit 2L</v>
      </c>
      <c r="C1060" s="25" t="s">
        <v>22</v>
      </c>
      <c r="D1060" s="26" t="s">
        <v>23</v>
      </c>
      <c r="E1060" s="27" t="str">
        <f>HYPERLINK("https://www.compass.com/building/12421-flatlands-ave-brooklyn-ny-11208/307444744871033573/","12421 Flatlands Ave")</f>
        <v>12421 Flatlands Ave</v>
      </c>
      <c r="F1060" s="25" t="s">
        <v>85</v>
      </c>
      <c r="G1060" s="28">
        <v>375000.0</v>
      </c>
      <c r="H1060" s="28">
        <v>464.0</v>
      </c>
      <c r="I1060" s="28">
        <v>737.0</v>
      </c>
      <c r="J1060" s="28">
        <v>2689.0</v>
      </c>
      <c r="K1060" s="25" t="s">
        <v>28</v>
      </c>
      <c r="L1060" s="26">
        <v>5.0</v>
      </c>
      <c r="M1060" s="26">
        <v>2.0</v>
      </c>
      <c r="N1060" s="26">
        <v>1.0</v>
      </c>
      <c r="O1060" s="30"/>
      <c r="P1060" s="26">
        <v>808.0</v>
      </c>
      <c r="Q1060" s="35">
        <v>56.0</v>
      </c>
      <c r="R1060" s="32">
        <v>45844.0</v>
      </c>
      <c r="S1060" s="32">
        <v>45807.0</v>
      </c>
      <c r="T1060" s="29"/>
      <c r="U1060" s="33"/>
      <c r="V1060" s="1"/>
    </row>
    <row r="1061" ht="24.0" customHeight="1">
      <c r="A1061" s="1"/>
      <c r="B1061" s="24" t="str">
        <f>HYPERLINK("https://www.compass.com/listing/880-boynton-avenue-unit-8f-bronx-ny-10473/1808755442201799705/view?agent_id=610d3f3370540700019b0833","880 Boynton Avenue, Unit 8F")</f>
        <v>880 Boynton Avenue, Unit 8F</v>
      </c>
      <c r="C1061" s="25" t="s">
        <v>22</v>
      </c>
      <c r="D1061" s="26" t="s">
        <v>23</v>
      </c>
      <c r="E1061" s="27" t="str">
        <f>HYPERLINK("https://www.compass.com/building/880-boynton-ave-bronx-ny-10473/293534524933979765/","880 Boynton Ave")</f>
        <v>880 Boynton Ave</v>
      </c>
      <c r="F1061" s="25" t="s">
        <v>121</v>
      </c>
      <c r="G1061" s="28">
        <v>375000.0</v>
      </c>
      <c r="H1061" s="28">
        <v>417.0</v>
      </c>
      <c r="I1061" s="28">
        <v>845.0</v>
      </c>
      <c r="J1061" s="29"/>
      <c r="K1061" s="25" t="s">
        <v>25</v>
      </c>
      <c r="L1061" s="26">
        <v>4.0</v>
      </c>
      <c r="M1061" s="26">
        <v>2.0</v>
      </c>
      <c r="N1061" s="26">
        <v>1.0</v>
      </c>
      <c r="O1061" s="30"/>
      <c r="P1061" s="26">
        <v>900.0</v>
      </c>
      <c r="Q1061" s="35">
        <v>116.0</v>
      </c>
      <c r="R1061" s="32">
        <v>45862.0</v>
      </c>
      <c r="S1061" s="32">
        <v>45747.0</v>
      </c>
      <c r="T1061" s="29"/>
      <c r="U1061" s="33"/>
      <c r="V1061" s="1"/>
    </row>
    <row r="1062" ht="24.0" customHeight="1">
      <c r="A1062" s="1"/>
      <c r="B1062" s="24" t="str">
        <f>HYPERLINK("https://www.compass.com/listing/150-11-72nd-road-unit-3g-queens-ny-11367/1871842091050947929/view?agent_id=610d3f3370540700019b0833","150-11 72nd Road, Unit 3G")</f>
        <v>150-11 72nd Road, Unit 3G</v>
      </c>
      <c r="C1062" s="25" t="s">
        <v>22</v>
      </c>
      <c r="D1062" s="26" t="s">
        <v>23</v>
      </c>
      <c r="E1062" s="27" t="str">
        <f>HYPERLINK("https://www.compass.com/building/150-11-72nd-rd-queens-ny-11367/294842824939831109/","150-11 72nd Rd")</f>
        <v>150-11 72nd Rd</v>
      </c>
      <c r="F1062" s="25" t="s">
        <v>142</v>
      </c>
      <c r="G1062" s="28">
        <v>409888.0</v>
      </c>
      <c r="H1062" s="28">
        <v>482.0</v>
      </c>
      <c r="I1062" s="28">
        <v>1254.0</v>
      </c>
      <c r="J1062" s="29"/>
      <c r="K1062" s="25" t="s">
        <v>25</v>
      </c>
      <c r="L1062" s="26">
        <v>6.0</v>
      </c>
      <c r="M1062" s="26">
        <v>2.0</v>
      </c>
      <c r="N1062" s="26">
        <v>1.0</v>
      </c>
      <c r="O1062" s="30"/>
      <c r="P1062" s="26">
        <v>850.0</v>
      </c>
      <c r="Q1062" s="35">
        <v>29.0</v>
      </c>
      <c r="R1062" s="32">
        <v>45852.0</v>
      </c>
      <c r="S1062" s="32">
        <v>45834.0</v>
      </c>
      <c r="T1062" s="29"/>
      <c r="U1062" s="33"/>
      <c r="V1062" s="1"/>
    </row>
    <row r="1063" ht="24.0" customHeight="1">
      <c r="A1063" s="1"/>
      <c r="B1063" s="24" t="str">
        <f>HYPERLINK("https://www.compass.com/listing/100-avenue-p-unit-1h-brooklyn-ny-11204/1874980315038194857/view?agent_id=610d3f3370540700019b0833","100 Avenue P, Unit 1H")</f>
        <v>100 Avenue P, Unit 1H</v>
      </c>
      <c r="C1063" s="25" t="s">
        <v>22</v>
      </c>
      <c r="D1063" s="26" t="s">
        <v>23</v>
      </c>
      <c r="E1063" s="27" t="str">
        <f>HYPERLINK("https://www.compass.com/building/100-avenue-p-brooklyn-ny-11204/293528908266024629/","100 Avenue P")</f>
        <v>100 Avenue P</v>
      </c>
      <c r="F1063" s="25" t="s">
        <v>173</v>
      </c>
      <c r="G1063" s="28">
        <v>699999.0</v>
      </c>
      <c r="H1063" s="28">
        <v>560.0</v>
      </c>
      <c r="I1063" s="28">
        <v>746.0</v>
      </c>
      <c r="J1063" s="29"/>
      <c r="K1063" s="25" t="s">
        <v>25</v>
      </c>
      <c r="L1063" s="26">
        <v>4.0</v>
      </c>
      <c r="M1063" s="26">
        <v>2.0</v>
      </c>
      <c r="N1063" s="26">
        <v>1.0</v>
      </c>
      <c r="O1063" s="30"/>
      <c r="P1063" s="34">
        <v>1250.0</v>
      </c>
      <c r="Q1063" s="35">
        <v>25.0</v>
      </c>
      <c r="R1063" s="32">
        <v>45839.0</v>
      </c>
      <c r="S1063" s="32">
        <v>45838.0</v>
      </c>
      <c r="T1063" s="29"/>
      <c r="U1063" s="33"/>
      <c r="V1063" s="1"/>
    </row>
    <row r="1064" ht="24.0" customHeight="1">
      <c r="A1064" s="1"/>
      <c r="B1064" s="24" t="str">
        <f>HYPERLINK("https://www.compass.com/listing/56-05-31st-avenue-unit-i5c-queens-ny-11377/1851004219800826929/view?agent_id=610d3f3370540700019b0833","56-05 31st Avenue, Unit I5C")</f>
        <v>56-05 31st Avenue, Unit I5C</v>
      </c>
      <c r="C1064" s="25" t="s">
        <v>22</v>
      </c>
      <c r="D1064" s="26" t="s">
        <v>23</v>
      </c>
      <c r="E1064" s="27" t="str">
        <f>HYPERLINK("https://www.compass.com/building/56-05-31st-ave-queens-ny-11377/294844032429540725/","56-05 31st Ave")</f>
        <v>56-05 31st Ave</v>
      </c>
      <c r="F1064" s="25" t="s">
        <v>137</v>
      </c>
      <c r="G1064" s="28">
        <v>395000.0</v>
      </c>
      <c r="H1064" s="28">
        <v>494.0</v>
      </c>
      <c r="I1064" s="28">
        <v>856.0</v>
      </c>
      <c r="J1064" s="29"/>
      <c r="K1064" s="25" t="s">
        <v>25</v>
      </c>
      <c r="L1064" s="26">
        <v>5.0</v>
      </c>
      <c r="M1064" s="26">
        <v>2.0</v>
      </c>
      <c r="N1064" s="26">
        <v>1.0</v>
      </c>
      <c r="O1064" s="30"/>
      <c r="P1064" s="26">
        <v>800.0</v>
      </c>
      <c r="Q1064" s="35">
        <v>58.0</v>
      </c>
      <c r="R1064" s="32">
        <v>45834.0</v>
      </c>
      <c r="S1064" s="32">
        <v>45805.0</v>
      </c>
      <c r="T1064" s="29"/>
      <c r="U1064" s="33"/>
      <c r="V1064" s="1"/>
    </row>
    <row r="1065" ht="24.0" customHeight="1">
      <c r="A1065" s="1"/>
      <c r="B1065" s="24" t="str">
        <f>HYPERLINK("https://www.compass.com/listing/2835-bedford-avenue-unit-1b-brooklyn-ny-11210/1818926227879502249/view?agent_id=610d3f3370540700019b0833","2835 Bedford Avenue, Unit 1B")</f>
        <v>2835 Bedford Avenue, Unit 1B</v>
      </c>
      <c r="C1065" s="25" t="s">
        <v>22</v>
      </c>
      <c r="D1065" s="26" t="s">
        <v>23</v>
      </c>
      <c r="E1065" s="27" t="str">
        <f>HYPERLINK("https://www.compass.com/building/2835-bedford-ave-brooklyn-ny-11210/293535494933892853/","2835 Bedford Ave")</f>
        <v>2835 Bedford Ave</v>
      </c>
      <c r="F1065" s="25" t="s">
        <v>112</v>
      </c>
      <c r="G1065" s="28">
        <v>489000.0</v>
      </c>
      <c r="H1065" s="29"/>
      <c r="I1065" s="28">
        <v>1087.0</v>
      </c>
      <c r="J1065" s="28">
        <v>0.0</v>
      </c>
      <c r="K1065" s="25" t="s">
        <v>25</v>
      </c>
      <c r="L1065" s="26">
        <v>4.0</v>
      </c>
      <c r="M1065" s="26">
        <v>2.0</v>
      </c>
      <c r="N1065" s="26">
        <v>1.0</v>
      </c>
      <c r="O1065" s="26">
        <v>0.0</v>
      </c>
      <c r="P1065" s="30"/>
      <c r="Q1065" s="35">
        <v>102.0</v>
      </c>
      <c r="R1065" s="32">
        <v>45859.0</v>
      </c>
      <c r="S1065" s="32">
        <v>45761.0</v>
      </c>
      <c r="T1065" s="29"/>
      <c r="U1065" s="33"/>
      <c r="V1065" s="1"/>
    </row>
    <row r="1066" ht="24.0" customHeight="1">
      <c r="A1066" s="1"/>
      <c r="B1066" s="24" t="str">
        <f>HYPERLINK("https://www.compass.com/listing/40-tehama-street-unit-6h-brooklyn-ny-11218/1804774409701097257/view?agent_id=610d3f3370540700019b0833","40 Tehama Street, Unit 6H")</f>
        <v>40 Tehama Street, Unit 6H</v>
      </c>
      <c r="C1066" s="25" t="s">
        <v>22</v>
      </c>
      <c r="D1066" s="26" t="s">
        <v>23</v>
      </c>
      <c r="E1066" s="27" t="str">
        <f>HYPERLINK("https://www.compass.com/building/40-tehama-st-brooklyn-ny-11218/293416582045084437/","40 Tehama St")</f>
        <v>40 Tehama St</v>
      </c>
      <c r="F1066" s="25" t="s">
        <v>117</v>
      </c>
      <c r="G1066" s="28">
        <v>339900.0</v>
      </c>
      <c r="H1066" s="28">
        <v>415.0</v>
      </c>
      <c r="I1066" s="28">
        <v>1275.0</v>
      </c>
      <c r="J1066" s="29"/>
      <c r="K1066" s="25" t="s">
        <v>25</v>
      </c>
      <c r="L1066" s="26">
        <v>4.0</v>
      </c>
      <c r="M1066" s="26">
        <v>2.0</v>
      </c>
      <c r="N1066" s="26">
        <v>1.0</v>
      </c>
      <c r="O1066" s="30"/>
      <c r="P1066" s="26">
        <v>820.0</v>
      </c>
      <c r="Q1066" s="35">
        <v>122.0</v>
      </c>
      <c r="R1066" s="32">
        <v>45854.0</v>
      </c>
      <c r="S1066" s="32">
        <v>45741.0</v>
      </c>
      <c r="T1066" s="29"/>
      <c r="U1066" s="33"/>
      <c r="V1066" s="1"/>
    </row>
    <row r="1067" ht="24.0" customHeight="1">
      <c r="A1067" s="1"/>
      <c r="B1067" s="24" t="str">
        <f>HYPERLINK("https://www.compass.com/listing/53-11-90th-street-unit-1f-queens-ny-11373/1874890268826123745/view?agent_id=610d3f3370540700019b0833","53-11 90th Street, Unit 1F")</f>
        <v>53-11 90th Street, Unit 1F</v>
      </c>
      <c r="C1067" s="25" t="s">
        <v>22</v>
      </c>
      <c r="D1067" s="26" t="s">
        <v>23</v>
      </c>
      <c r="E1067" s="27" t="str">
        <f>HYPERLINK("https://www.compass.com/building/53-11-90th-st-queens-ny-11373/293530703914648597/","53-11 90th St")</f>
        <v>53-11 90th St</v>
      </c>
      <c r="F1067" s="25" t="s">
        <v>151</v>
      </c>
      <c r="G1067" s="28">
        <v>599000.0</v>
      </c>
      <c r="H1067" s="28">
        <v>749.0</v>
      </c>
      <c r="I1067" s="28">
        <v>451.0</v>
      </c>
      <c r="J1067" s="28">
        <v>5417.0</v>
      </c>
      <c r="K1067" s="25" t="s">
        <v>28</v>
      </c>
      <c r="L1067" s="26">
        <v>4.0</v>
      </c>
      <c r="M1067" s="26">
        <v>2.0</v>
      </c>
      <c r="N1067" s="26">
        <v>1.0</v>
      </c>
      <c r="O1067" s="30"/>
      <c r="P1067" s="26">
        <v>800.0</v>
      </c>
      <c r="Q1067" s="35">
        <v>17.0</v>
      </c>
      <c r="R1067" s="32">
        <v>45862.0</v>
      </c>
      <c r="S1067" s="32">
        <v>45846.0</v>
      </c>
      <c r="T1067" s="29"/>
      <c r="U1067" s="33"/>
      <c r="V1067" s="1"/>
    </row>
    <row r="1068" ht="24.0" customHeight="1">
      <c r="A1068" s="1"/>
      <c r="B1068" s="24" t="str">
        <f>HYPERLINK("https://www.compass.com/listing/147-37-roosevelt-avenue-unit-5a-queens-ny-11354/1875717712521645409/view?agent_id=610d3f3370540700019b0833","147-37 Roosevelt Avenue, Unit 5A")</f>
        <v>147-37 Roosevelt Avenue, Unit 5A</v>
      </c>
      <c r="C1068" s="25" t="s">
        <v>22</v>
      </c>
      <c r="D1068" s="26" t="s">
        <v>23</v>
      </c>
      <c r="E1068" s="27" t="str">
        <f>HYPERLINK("https://www.compass.com/building/147-37-roosevelt-ave-queens-ny-11354/293534125913035333/","147-37 Roosevelt Ave")</f>
        <v>147-37 Roosevelt Ave</v>
      </c>
      <c r="F1068" s="25" t="s">
        <v>160</v>
      </c>
      <c r="G1068" s="28">
        <v>588000.0</v>
      </c>
      <c r="H1068" s="28">
        <v>626.0</v>
      </c>
      <c r="I1068" s="28">
        <v>895.0</v>
      </c>
      <c r="J1068" s="28">
        <v>4928.0</v>
      </c>
      <c r="K1068" s="25" t="s">
        <v>28</v>
      </c>
      <c r="L1068" s="26">
        <v>5.0</v>
      </c>
      <c r="M1068" s="26">
        <v>2.0</v>
      </c>
      <c r="N1068" s="26">
        <v>1.0</v>
      </c>
      <c r="O1068" s="30"/>
      <c r="P1068" s="26">
        <v>939.0</v>
      </c>
      <c r="Q1068" s="35">
        <v>24.0</v>
      </c>
      <c r="R1068" s="32">
        <v>45858.0</v>
      </c>
      <c r="S1068" s="32">
        <v>45839.0</v>
      </c>
      <c r="T1068" s="29"/>
      <c r="U1068" s="33"/>
      <c r="V1068" s="1"/>
    </row>
    <row r="1069" ht="24.0" customHeight="1">
      <c r="A1069" s="1"/>
      <c r="B1069" s="24" t="str">
        <f>HYPERLINK("https://www.compass.com/listing/20-west-street-unit-5f-manhattan-ny-10004/1781303132114257193/view?agent_id=610d3f3370540700019b0833","20 West Street, Unit 5F")</f>
        <v>20 West Street, Unit 5F</v>
      </c>
      <c r="C1069" s="25" t="s">
        <v>22</v>
      </c>
      <c r="D1069" s="26" t="s">
        <v>23</v>
      </c>
      <c r="E1069" s="27" t="str">
        <f>HYPERLINK("https://www.compass.com/building/downtown-athletic-club-building-manhattan-ny/281895518366345781/","Downtown Athletic Club Building")</f>
        <v>Downtown Athletic Club Building</v>
      </c>
      <c r="F1069" s="25" t="s">
        <v>80</v>
      </c>
      <c r="G1069" s="28">
        <v>525000.0</v>
      </c>
      <c r="H1069" s="28">
        <v>394.0</v>
      </c>
      <c r="I1069" s="28">
        <v>4274.0</v>
      </c>
      <c r="J1069" s="28">
        <v>26724.0</v>
      </c>
      <c r="K1069" s="25" t="s">
        <v>28</v>
      </c>
      <c r="L1069" s="26">
        <v>4.0</v>
      </c>
      <c r="M1069" s="26">
        <v>2.0</v>
      </c>
      <c r="N1069" s="26">
        <v>1.0</v>
      </c>
      <c r="O1069" s="26">
        <v>0.0</v>
      </c>
      <c r="P1069" s="34">
        <v>1332.0</v>
      </c>
      <c r="Q1069" s="35">
        <v>316.0</v>
      </c>
      <c r="R1069" s="32">
        <v>45863.0</v>
      </c>
      <c r="S1069" s="32">
        <v>45547.0</v>
      </c>
      <c r="T1069" s="29"/>
      <c r="U1069" s="33"/>
      <c r="V1069" s="1"/>
    </row>
    <row r="1070" ht="24.0" customHeight="1">
      <c r="A1070" s="1"/>
      <c r="B1070" s="24" t="str">
        <f>HYPERLINK("https://www.compass.com/listing/3655-shore-parkway-unit-2j-brooklyn-ny-11235/1876517487542319001/view?agent_id=610d3f3370540700019b0833","3655 Shore Parkway, Unit 2J")</f>
        <v>3655 Shore Parkway, Unit 2J</v>
      </c>
      <c r="C1070" s="25" t="s">
        <v>22</v>
      </c>
      <c r="D1070" s="26" t="s">
        <v>23</v>
      </c>
      <c r="E1070" s="27" t="str">
        <f>HYPERLINK("https://www.compass.com/building/3655-shore-pkwy-brooklyn-ny-11235/307450470683257541/","3655 Shore Pkwy")</f>
        <v>3655 Shore Pkwy</v>
      </c>
      <c r="F1070" s="25" t="s">
        <v>70</v>
      </c>
      <c r="G1070" s="28">
        <v>318000.0</v>
      </c>
      <c r="H1070" s="28">
        <v>318.0</v>
      </c>
      <c r="I1070" s="28">
        <v>813.0</v>
      </c>
      <c r="J1070" s="29"/>
      <c r="K1070" s="25" t="s">
        <v>25</v>
      </c>
      <c r="L1070" s="26">
        <v>4.0</v>
      </c>
      <c r="M1070" s="26">
        <v>2.0</v>
      </c>
      <c r="N1070" s="26">
        <v>1.0</v>
      </c>
      <c r="O1070" s="30"/>
      <c r="P1070" s="34">
        <v>1000.0</v>
      </c>
      <c r="Q1070" s="35">
        <v>23.0</v>
      </c>
      <c r="R1070" s="32">
        <v>45841.0</v>
      </c>
      <c r="S1070" s="32">
        <v>45840.0</v>
      </c>
      <c r="T1070" s="29"/>
      <c r="U1070" s="33"/>
      <c r="V1070" s="1"/>
    </row>
    <row r="1071" ht="24.0" customHeight="1">
      <c r="A1071" s="1"/>
      <c r="B1071" s="24" t="str">
        <f>HYPERLINK("https://www.compass.com/listing/86-04-grand-avenue-unit-2d-queens-ny-11373/1833546853944557489/view?agent_id=610d3f3370540700019b0833","86-04 Grand Avenue, Unit 2D")</f>
        <v>86-04 Grand Avenue, Unit 2D</v>
      </c>
      <c r="C1071" s="25" t="s">
        <v>22</v>
      </c>
      <c r="D1071" s="26" t="s">
        <v>23</v>
      </c>
      <c r="E1071" s="27" t="str">
        <f>HYPERLINK("https://www.compass.com/building/86-04-grand-ave-queens-ny-11373/293527176328790117/","86-04 Grand Ave")</f>
        <v>86-04 Grand Ave</v>
      </c>
      <c r="F1071" s="25" t="s">
        <v>255</v>
      </c>
      <c r="G1071" s="28">
        <v>570000.0</v>
      </c>
      <c r="H1071" s="28">
        <v>716.0</v>
      </c>
      <c r="I1071" s="28">
        <v>619.0</v>
      </c>
      <c r="J1071" s="29"/>
      <c r="K1071" s="25" t="s">
        <v>25</v>
      </c>
      <c r="L1071" s="26">
        <v>2.0</v>
      </c>
      <c r="M1071" s="26">
        <v>2.0</v>
      </c>
      <c r="N1071" s="26">
        <v>1.0</v>
      </c>
      <c r="O1071" s="30"/>
      <c r="P1071" s="26">
        <v>796.0</v>
      </c>
      <c r="Q1071" s="35">
        <v>81.0</v>
      </c>
      <c r="R1071" s="32">
        <v>45795.0</v>
      </c>
      <c r="S1071" s="32">
        <v>45781.0</v>
      </c>
      <c r="T1071" s="29"/>
      <c r="U1071" s="33"/>
      <c r="V1071" s="1"/>
    </row>
    <row r="1072" ht="24.0" customHeight="1">
      <c r="A1072" s="1"/>
      <c r="B1072" s="24" t="str">
        <f>HYPERLINK("https://www.compass.com/listing/144-bard-avenue-unit-25b-staten-island-ny-10310/1880721067254932569/view?agent_id=610d3f3370540700019b0833","144 Bard Avenue, Unit 25B")</f>
        <v>144 Bard Avenue, Unit 25B</v>
      </c>
      <c r="C1072" s="25" t="s">
        <v>22</v>
      </c>
      <c r="D1072" s="26" t="s">
        <v>23</v>
      </c>
      <c r="E1072" s="27" t="str">
        <f>HYPERLINK("https://www.compass.com/building/144-bard-ave-staten-island-ny-10310/307436681363814581/","144 Bard Ave")</f>
        <v>144 Bard Ave</v>
      </c>
      <c r="F1072" s="25" t="s">
        <v>256</v>
      </c>
      <c r="G1072" s="28">
        <v>299000.0</v>
      </c>
      <c r="H1072" s="28">
        <v>299.0</v>
      </c>
      <c r="I1072" s="28">
        <v>0.0</v>
      </c>
      <c r="J1072" s="29"/>
      <c r="K1072" s="25" t="s">
        <v>25</v>
      </c>
      <c r="L1072" s="26">
        <v>4.0</v>
      </c>
      <c r="M1072" s="26">
        <v>2.0</v>
      </c>
      <c r="N1072" s="26">
        <v>1.0</v>
      </c>
      <c r="O1072" s="26">
        <v>0.0</v>
      </c>
      <c r="P1072" s="34">
        <v>1000.0</v>
      </c>
      <c r="Q1072" s="35">
        <v>17.0</v>
      </c>
      <c r="R1072" s="32">
        <v>45862.0</v>
      </c>
      <c r="S1072" s="32">
        <v>45846.0</v>
      </c>
      <c r="T1072" s="29"/>
      <c r="U1072" s="33"/>
      <c r="V1072" s="1"/>
    </row>
    <row r="1073" ht="24.0" customHeight="1">
      <c r="A1073" s="1"/>
      <c r="B1073" s="24" t="str">
        <f>HYPERLINK("https://www.compass.com/listing/1655-flatbush-avenue-unit-b1806-brooklyn-ny-11210/1612394952214166873/view?agent_id=610d3f3370540700019b0833","1655 Flatbush Avenue, Unit B1806")</f>
        <v>1655 Flatbush Avenue, Unit B1806</v>
      </c>
      <c r="C1073" s="25" t="s">
        <v>22</v>
      </c>
      <c r="D1073" s="26" t="s">
        <v>23</v>
      </c>
      <c r="E1073" s="27" t="str">
        <f>HYPERLINK("https://www.compass.com/building/philip-howard-apartments-brooklyn-ny/293416486054242853/","Philip Howard Apartments")</f>
        <v>Philip Howard Apartments</v>
      </c>
      <c r="F1073" s="25" t="s">
        <v>123</v>
      </c>
      <c r="G1073" s="28">
        <v>525000.0</v>
      </c>
      <c r="H1073" s="28">
        <v>536.0</v>
      </c>
      <c r="I1073" s="28">
        <v>1034.0</v>
      </c>
      <c r="J1073" s="28">
        <v>0.0</v>
      </c>
      <c r="K1073" s="25" t="s">
        <v>25</v>
      </c>
      <c r="L1073" s="26">
        <v>4.0</v>
      </c>
      <c r="M1073" s="26">
        <v>2.0</v>
      </c>
      <c r="N1073" s="26">
        <v>1.0</v>
      </c>
      <c r="O1073" s="26">
        <v>0.0</v>
      </c>
      <c r="P1073" s="26">
        <v>980.0</v>
      </c>
      <c r="Q1073" s="35">
        <v>152.0</v>
      </c>
      <c r="R1073" s="32">
        <v>45863.0</v>
      </c>
      <c r="S1073" s="32">
        <v>45711.0</v>
      </c>
      <c r="T1073" s="29"/>
      <c r="U1073" s="33"/>
      <c r="V1073" s="1"/>
    </row>
    <row r="1074" ht="24.0" customHeight="1">
      <c r="A1074" s="1"/>
      <c r="B1074" s="24" t="str">
        <f>HYPERLINK("https://www.compass.com/listing/57-pennyfield-camp-bronx-ny-10465/1856599637850572929/view?agent_id=610d3f3370540700019b0833","57 Pennyfield Camp")</f>
        <v>57 Pennyfield Camp</v>
      </c>
      <c r="C1074" s="25" t="s">
        <v>22</v>
      </c>
      <c r="D1074" s="26" t="s">
        <v>23</v>
      </c>
      <c r="E1074" s="26" t="s">
        <v>257</v>
      </c>
      <c r="F1074" s="25" t="s">
        <v>208</v>
      </c>
      <c r="G1074" s="28">
        <v>460000.0</v>
      </c>
      <c r="H1074" s="28">
        <v>540.0</v>
      </c>
      <c r="I1074" s="28">
        <v>281.0</v>
      </c>
      <c r="J1074" s="28">
        <v>3367.0</v>
      </c>
      <c r="K1074" s="25" t="s">
        <v>97</v>
      </c>
      <c r="L1074" s="26">
        <v>5.0</v>
      </c>
      <c r="M1074" s="26">
        <v>2.0</v>
      </c>
      <c r="N1074" s="26">
        <v>1.0</v>
      </c>
      <c r="O1074" s="30"/>
      <c r="P1074" s="26">
        <v>852.0</v>
      </c>
      <c r="Q1074" s="35">
        <v>50.0</v>
      </c>
      <c r="R1074" s="32">
        <v>45830.0</v>
      </c>
      <c r="S1074" s="32">
        <v>45813.0</v>
      </c>
      <c r="T1074" s="29"/>
      <c r="U1074" s="33"/>
      <c r="V1074" s="1"/>
    </row>
    <row r="1075" ht="24.0" customHeight="1">
      <c r="A1075" s="1"/>
      <c r="B1075" s="24" t="str">
        <f>HYPERLINK("https://www.compass.com/listing/3215-avenue-h-unit-11m-brooklyn-ny-11210/1785163464494866113/view?agent_id=610d3f3370540700019b0833","3215 Avenue H, Unit 11M")</f>
        <v>3215 Avenue H, Unit 11M</v>
      </c>
      <c r="C1075" s="25" t="s">
        <v>22</v>
      </c>
      <c r="D1075" s="26" t="s">
        <v>23</v>
      </c>
      <c r="E1075" s="27" t="str">
        <f>HYPERLINK("https://www.compass.com/building/norma-apartments-brooklyn-ny/389266833911156325/","Norma Apartments")</f>
        <v>Norma Apartments</v>
      </c>
      <c r="F1075" s="25" t="s">
        <v>112</v>
      </c>
      <c r="G1075" s="28">
        <v>499000.0</v>
      </c>
      <c r="H1075" s="29"/>
      <c r="I1075" s="28">
        <v>939.0</v>
      </c>
      <c r="J1075" s="28">
        <v>0.0</v>
      </c>
      <c r="K1075" s="25" t="s">
        <v>25</v>
      </c>
      <c r="L1075" s="26">
        <v>4.0</v>
      </c>
      <c r="M1075" s="26">
        <v>2.0</v>
      </c>
      <c r="N1075" s="26">
        <v>1.0</v>
      </c>
      <c r="O1075" s="26">
        <v>0.0</v>
      </c>
      <c r="P1075" s="30"/>
      <c r="Q1075" s="35">
        <v>75.0</v>
      </c>
      <c r="R1075" s="32">
        <v>45863.0</v>
      </c>
      <c r="S1075" s="32">
        <v>45714.0</v>
      </c>
      <c r="T1075" s="29"/>
      <c r="U1075" s="33"/>
      <c r="V1075" s="1"/>
    </row>
    <row r="1076" ht="24.0" customHeight="1">
      <c r="A1076" s="1"/>
      <c r="B1076" s="24" t="str">
        <f>HYPERLINK("https://www.compass.com/listing/7423-ridge-boulevard-unit-2b-brooklyn-ny-11209/1861939217003443313/view?agent_id=610d3f3370540700019b0833","7423 Ridge Boulevard, Unit 2B")</f>
        <v>7423 Ridge Boulevard, Unit 2B</v>
      </c>
      <c r="C1076" s="25" t="s">
        <v>22</v>
      </c>
      <c r="D1076" s="26" t="s">
        <v>23</v>
      </c>
      <c r="E1076" s="27" t="str">
        <f>HYPERLINK("https://www.compass.com/building/7423-ridge-blvd-brooklyn-ny-11209/293529960331614565/","7423 Ridge Blvd")</f>
        <v>7423 Ridge Blvd</v>
      </c>
      <c r="F1076" s="25" t="s">
        <v>55</v>
      </c>
      <c r="G1076" s="28">
        <v>488000.0</v>
      </c>
      <c r="H1076" s="28">
        <v>514.0</v>
      </c>
      <c r="I1076" s="28">
        <v>996.0</v>
      </c>
      <c r="J1076" s="29"/>
      <c r="K1076" s="25" t="s">
        <v>25</v>
      </c>
      <c r="L1076" s="26">
        <v>4.0</v>
      </c>
      <c r="M1076" s="26">
        <v>2.0</v>
      </c>
      <c r="N1076" s="26">
        <v>1.0</v>
      </c>
      <c r="O1076" s="30"/>
      <c r="P1076" s="26">
        <v>950.0</v>
      </c>
      <c r="Q1076" s="35">
        <v>43.0</v>
      </c>
      <c r="R1076" s="32">
        <v>45822.0</v>
      </c>
      <c r="S1076" s="32">
        <v>45820.0</v>
      </c>
      <c r="T1076" s="29"/>
      <c r="U1076" s="33"/>
      <c r="V1076" s="1"/>
    </row>
    <row r="1077" ht="24.0" customHeight="1">
      <c r="A1077" s="1"/>
      <c r="B1077" s="24" t="str">
        <f>HYPERLINK("https://www.compass.com/listing/3220-avenue-h-unit-4b-brooklyn-ny-11210/1783577951958372001/view?agent_id=610d3f3370540700019b0833","3220 Avenue H, Unit 4B")</f>
        <v>3220 Avenue H, Unit 4B</v>
      </c>
      <c r="C1077" s="25" t="s">
        <v>22</v>
      </c>
      <c r="D1077" s="26" t="s">
        <v>23</v>
      </c>
      <c r="E1077" s="27" t="str">
        <f>HYPERLINK("https://www.compass.com/building/3220-avenue-h-brooklyn-ny-11210/389279714922460133/","3220 Avenue H")</f>
        <v>3220 Avenue H</v>
      </c>
      <c r="F1077" s="25" t="s">
        <v>112</v>
      </c>
      <c r="G1077" s="28">
        <v>499000.0</v>
      </c>
      <c r="H1077" s="29"/>
      <c r="I1077" s="28">
        <v>1221.0</v>
      </c>
      <c r="J1077" s="28">
        <v>0.0</v>
      </c>
      <c r="K1077" s="25" t="s">
        <v>25</v>
      </c>
      <c r="L1077" s="26">
        <v>4.0</v>
      </c>
      <c r="M1077" s="26">
        <v>2.0</v>
      </c>
      <c r="N1077" s="26">
        <v>1.0</v>
      </c>
      <c r="O1077" s="26">
        <v>0.0</v>
      </c>
      <c r="P1077" s="30"/>
      <c r="Q1077" s="35">
        <v>151.0</v>
      </c>
      <c r="R1077" s="32">
        <v>45863.0</v>
      </c>
      <c r="S1077" s="32">
        <v>45712.0</v>
      </c>
      <c r="T1077" s="29"/>
      <c r="U1077" s="33"/>
      <c r="V1077" s="1"/>
    </row>
    <row r="1078" ht="24.0" customHeight="1">
      <c r="A1078" s="1"/>
      <c r="B1078" s="24" t="str">
        <f>HYPERLINK("https://www.compass.com/listing/1655-flatbush-avenue-unit-a602-brooklyn-ny-11210/1801684411233188553/view?agent_id=610d3f3370540700019b0833","1655 Flatbush Avenue, Unit A602")</f>
        <v>1655 Flatbush Avenue, Unit A602</v>
      </c>
      <c r="C1078" s="25" t="s">
        <v>22</v>
      </c>
      <c r="D1078" s="26" t="s">
        <v>23</v>
      </c>
      <c r="E1078" s="27" t="str">
        <f>HYPERLINK("https://www.compass.com/building/philip-howard-apartments-brooklyn-ny/293416486054242853/","Philip Howard Apartments")</f>
        <v>Philip Howard Apartments</v>
      </c>
      <c r="F1078" s="25" t="s">
        <v>123</v>
      </c>
      <c r="G1078" s="28">
        <v>469000.0</v>
      </c>
      <c r="H1078" s="29"/>
      <c r="I1078" s="28">
        <v>1005.0</v>
      </c>
      <c r="J1078" s="28">
        <v>0.0</v>
      </c>
      <c r="K1078" s="25" t="s">
        <v>25</v>
      </c>
      <c r="L1078" s="26">
        <v>5.0</v>
      </c>
      <c r="M1078" s="26">
        <v>2.0</v>
      </c>
      <c r="N1078" s="26">
        <v>1.0</v>
      </c>
      <c r="O1078" s="26">
        <v>0.0</v>
      </c>
      <c r="P1078" s="30"/>
      <c r="Q1078" s="35">
        <v>126.0</v>
      </c>
      <c r="R1078" s="32">
        <v>45853.0</v>
      </c>
      <c r="S1078" s="32">
        <v>45737.0</v>
      </c>
      <c r="T1078" s="29"/>
      <c r="U1078" s="33"/>
      <c r="V1078" s="1"/>
    </row>
    <row r="1079" ht="24.0" customHeight="1">
      <c r="A1079" s="1"/>
      <c r="B1079" s="24" t="str">
        <f>HYPERLINK("https://www.compass.com/listing/760-brady-avenue-unit-417-bronx-ny-10462/1840287855321146305/view?agent_id=610d3f3370540700019b0833","760 Brady Avenue, Unit 417")</f>
        <v>760 Brady Avenue, Unit 417</v>
      </c>
      <c r="C1079" s="25" t="s">
        <v>22</v>
      </c>
      <c r="D1079" s="26" t="s">
        <v>23</v>
      </c>
      <c r="E1079" s="27" t="str">
        <f>HYPERLINK("https://www.compass.com/building/brady-court-bronx-ny/307438862661851349/","Brady Court")</f>
        <v>Brady Court</v>
      </c>
      <c r="F1079" s="25" t="s">
        <v>147</v>
      </c>
      <c r="G1079" s="28">
        <v>220000.0</v>
      </c>
      <c r="H1079" s="28">
        <v>259.0</v>
      </c>
      <c r="I1079" s="28">
        <v>990.0</v>
      </c>
      <c r="J1079" s="29"/>
      <c r="K1079" s="25" t="s">
        <v>25</v>
      </c>
      <c r="L1079" s="26">
        <v>4.0</v>
      </c>
      <c r="M1079" s="26">
        <v>2.0</v>
      </c>
      <c r="N1079" s="26">
        <v>1.0</v>
      </c>
      <c r="O1079" s="30"/>
      <c r="P1079" s="26">
        <v>850.0</v>
      </c>
      <c r="Q1079" s="35">
        <v>72.0</v>
      </c>
      <c r="R1079" s="32">
        <v>45861.0</v>
      </c>
      <c r="S1079" s="32">
        <v>45790.0</v>
      </c>
      <c r="T1079" s="29"/>
      <c r="U1079" s="33"/>
      <c r="V1079" s="1"/>
    </row>
    <row r="1080" ht="24.0" customHeight="1">
      <c r="A1080" s="1"/>
      <c r="B1080" s="24" t="str">
        <f>HYPERLINK("https://www.compass.com/listing/2265-west-7th-street-unit-2b-brooklyn-ny-11223/1875645285808129537/view?agent_id=610d3f3370540700019b0833","2265 West 7th Street, Unit 2B")</f>
        <v>2265 West 7th Street, Unit 2B</v>
      </c>
      <c r="C1080" s="25" t="s">
        <v>22</v>
      </c>
      <c r="D1080" s="26" t="s">
        <v>23</v>
      </c>
      <c r="E1080" s="27" t="str">
        <f>HYPERLINK("https://www.compass.com/building/2265-w-7th-st-brooklyn-ny-11223/293528880382279365/","2265 W 7th St")</f>
        <v>2265 W 7th St</v>
      </c>
      <c r="F1080" s="25" t="s">
        <v>173</v>
      </c>
      <c r="G1080" s="28">
        <v>528000.0</v>
      </c>
      <c r="H1080" s="28">
        <v>746.0</v>
      </c>
      <c r="I1080" s="28">
        <v>689.0</v>
      </c>
      <c r="J1080" s="28">
        <v>5502.0</v>
      </c>
      <c r="K1080" s="25" t="s">
        <v>28</v>
      </c>
      <c r="L1080" s="26">
        <v>3.0</v>
      </c>
      <c r="M1080" s="26">
        <v>2.0</v>
      </c>
      <c r="N1080" s="26">
        <v>1.0</v>
      </c>
      <c r="O1080" s="30"/>
      <c r="P1080" s="26">
        <v>708.0</v>
      </c>
      <c r="Q1080" s="35">
        <v>24.0</v>
      </c>
      <c r="R1080" s="32">
        <v>45840.0</v>
      </c>
      <c r="S1080" s="32">
        <v>45839.0</v>
      </c>
      <c r="T1080" s="29"/>
      <c r="U1080" s="33"/>
      <c r="V1080" s="1"/>
    </row>
    <row r="1081" ht="24.0" customHeight="1">
      <c r="A1081" s="1"/>
      <c r="B1081" s="24" t="str">
        <f>HYPERLINK("https://www.compass.com/listing/4901-henry-hudson-parkway-west-unit-8d-bronx-ny-10471/1810850595276520225/view?agent_id=610d3f3370540700019b0833","4901 Henry Hudson Parkway West, Unit 8D")</f>
        <v>4901 Henry Hudson Parkway West, Unit 8D</v>
      </c>
      <c r="C1081" s="25" t="s">
        <v>22</v>
      </c>
      <c r="D1081" s="26" t="s">
        <v>23</v>
      </c>
      <c r="E1081" s="27" t="str">
        <f>HYPERLINK("https://www.compass.com/building/windsor-north-bronx-ny/293528534956157461/","Windsor North")</f>
        <v>Windsor North</v>
      </c>
      <c r="F1081" s="25" t="s">
        <v>76</v>
      </c>
      <c r="G1081" s="28">
        <v>410000.0</v>
      </c>
      <c r="H1081" s="29"/>
      <c r="I1081" s="28">
        <v>1583.0</v>
      </c>
      <c r="J1081" s="28">
        <v>0.0</v>
      </c>
      <c r="K1081" s="25" t="s">
        <v>25</v>
      </c>
      <c r="L1081" s="26">
        <v>40.0</v>
      </c>
      <c r="M1081" s="26">
        <v>2.0</v>
      </c>
      <c r="N1081" s="26">
        <v>1.0</v>
      </c>
      <c r="O1081" s="30"/>
      <c r="P1081" s="26">
        <v>0.0</v>
      </c>
      <c r="Q1081" s="35">
        <v>113.0</v>
      </c>
      <c r="R1081" s="32">
        <v>45750.0</v>
      </c>
      <c r="S1081" s="32">
        <v>45750.0</v>
      </c>
      <c r="T1081" s="29"/>
      <c r="U1081" s="33"/>
      <c r="V1081" s="1"/>
    </row>
    <row r="1082" ht="24.0" customHeight="1">
      <c r="A1082" s="1"/>
      <c r="B1082" s="24" t="str">
        <f>HYPERLINK("https://www.compass.com/listing/50-kenilworth-place-unit-5m-brooklyn-ny-11210/1813879665405122361/view?agent_id=610d3f3370540700019b0833","50 Kenilworth Place, Unit 5M")</f>
        <v>50 Kenilworth Place, Unit 5M</v>
      </c>
      <c r="C1082" s="25" t="s">
        <v>22</v>
      </c>
      <c r="D1082" s="26" t="s">
        <v>23</v>
      </c>
      <c r="E1082" s="27" t="str">
        <f>HYPERLINK("https://www.compass.com/building/50-kenilworth-pl-brooklyn-ny-11210/293532481896842693/","50 Kenilworth Pl")</f>
        <v>50 Kenilworth Pl</v>
      </c>
      <c r="F1082" s="25" t="s">
        <v>112</v>
      </c>
      <c r="G1082" s="28">
        <v>349999.0</v>
      </c>
      <c r="H1082" s="28">
        <v>442.0</v>
      </c>
      <c r="I1082" s="28">
        <v>654.0</v>
      </c>
      <c r="J1082" s="29"/>
      <c r="K1082" s="25" t="s">
        <v>25</v>
      </c>
      <c r="L1082" s="26">
        <v>5.0</v>
      </c>
      <c r="M1082" s="26">
        <v>2.0</v>
      </c>
      <c r="N1082" s="26">
        <v>1.0</v>
      </c>
      <c r="O1082" s="26">
        <v>0.0</v>
      </c>
      <c r="P1082" s="26">
        <v>792.0</v>
      </c>
      <c r="Q1082" s="35">
        <v>109.0</v>
      </c>
      <c r="R1082" s="32">
        <v>45859.0</v>
      </c>
      <c r="S1082" s="32">
        <v>45754.0</v>
      </c>
      <c r="T1082" s="29"/>
      <c r="U1082" s="33"/>
      <c r="V1082" s="1"/>
    </row>
    <row r="1083" ht="24.0" customHeight="1">
      <c r="A1083" s="1"/>
      <c r="B1083" s="24" t="str">
        <f>HYPERLINK("https://www.compass.com/listing/21-58-35th-street-unit-5g-queens-ny-11105/1826961102354109561/view?agent_id=610d3f3370540700019b0833","21-58 35th Street, Unit 5G")</f>
        <v>21-58 35th Street, Unit 5G</v>
      </c>
      <c r="C1083" s="25" t="s">
        <v>22</v>
      </c>
      <c r="D1083" s="26" t="s">
        <v>23</v>
      </c>
      <c r="E1083" s="27" t="str">
        <f>HYPERLINK("https://www.compass.com/building/21-58-35th-st-queens-ny-11105/307455432805107301/","21-58 35th St")</f>
        <v>21-58 35th St</v>
      </c>
      <c r="F1083" s="25" t="s">
        <v>68</v>
      </c>
      <c r="G1083" s="28">
        <v>299000.0</v>
      </c>
      <c r="H1083" s="29"/>
      <c r="I1083" s="28">
        <v>1219.0</v>
      </c>
      <c r="J1083" s="29"/>
      <c r="K1083" s="25" t="s">
        <v>25</v>
      </c>
      <c r="L1083" s="26">
        <v>4.0</v>
      </c>
      <c r="M1083" s="26">
        <v>2.0</v>
      </c>
      <c r="N1083" s="26">
        <v>1.0</v>
      </c>
      <c r="O1083" s="30"/>
      <c r="P1083" s="30"/>
      <c r="Q1083" s="35">
        <v>91.0</v>
      </c>
      <c r="R1083" s="32">
        <v>45843.0</v>
      </c>
      <c r="S1083" s="32">
        <v>45772.0</v>
      </c>
      <c r="T1083" s="29"/>
      <c r="U1083" s="33"/>
      <c r="V1083" s="1"/>
    </row>
    <row r="1084" ht="24.0" customHeight="1">
      <c r="A1084" s="1"/>
      <c r="B1084" s="24" t="str">
        <f>HYPERLINK("https://www.compass.com/listing/99-72-66th-road-unit-5b-queens-ny-11374/1877117923970743609/view?agent_id=610d3f3370540700019b0833","99-72 66th Road, Unit 5B")</f>
        <v>99-72 66th Road, Unit 5B</v>
      </c>
      <c r="C1084" s="25" t="s">
        <v>22</v>
      </c>
      <c r="D1084" s="26" t="s">
        <v>23</v>
      </c>
      <c r="E1084" s="27" t="str">
        <f>HYPERLINK("https://www.compass.com/building/99-72-66th-rd-queens-ny-11374/294845722683530805/","99-72 66th Rd")</f>
        <v>99-72 66th Rd</v>
      </c>
      <c r="F1084" s="25" t="s">
        <v>166</v>
      </c>
      <c r="G1084" s="28">
        <v>455000.0</v>
      </c>
      <c r="H1084" s="28">
        <v>535.0</v>
      </c>
      <c r="I1084" s="28">
        <v>905.0</v>
      </c>
      <c r="J1084" s="29"/>
      <c r="K1084" s="25" t="s">
        <v>25</v>
      </c>
      <c r="L1084" s="26">
        <v>3.0</v>
      </c>
      <c r="M1084" s="26">
        <v>2.0</v>
      </c>
      <c r="N1084" s="26">
        <v>1.0</v>
      </c>
      <c r="O1084" s="30"/>
      <c r="P1084" s="26">
        <v>850.0</v>
      </c>
      <c r="Q1084" s="35">
        <v>21.0</v>
      </c>
      <c r="R1084" s="32">
        <v>45860.0</v>
      </c>
      <c r="S1084" s="32">
        <v>45841.0</v>
      </c>
      <c r="T1084" s="29"/>
      <c r="U1084" s="33"/>
      <c r="V1084" s="1"/>
    </row>
    <row r="1085" ht="24.0" customHeight="1">
      <c r="A1085" s="1"/>
      <c r="B1085" s="24" t="str">
        <f>HYPERLINK("https://www.compass.com/listing/2785-ocean-parkway-unit-2g-brooklyn-ny-11235/1882873425699882417/view?agent_id=610d3f3370540700019b0833","2785 Ocean Parkway, Unit 2G")</f>
        <v>2785 Ocean Parkway, Unit 2G</v>
      </c>
      <c r="C1085" s="25" t="s">
        <v>22</v>
      </c>
      <c r="D1085" s="26" t="s">
        <v>23</v>
      </c>
      <c r="E1085" s="27" t="str">
        <f>HYPERLINK("https://www.compass.com/building/2785-ocean-pkwy-brooklyn-ny-11235/293528488491638533/","2785 Ocean Pkwy")</f>
        <v>2785 Ocean Pkwy</v>
      </c>
      <c r="F1085" s="25" t="s">
        <v>74</v>
      </c>
      <c r="G1085" s="28">
        <v>398000.0</v>
      </c>
      <c r="H1085" s="28">
        <v>419.0</v>
      </c>
      <c r="I1085" s="28">
        <v>943.0</v>
      </c>
      <c r="J1085" s="29"/>
      <c r="K1085" s="25" t="s">
        <v>25</v>
      </c>
      <c r="L1085" s="26">
        <v>4.0</v>
      </c>
      <c r="M1085" s="26">
        <v>2.0</v>
      </c>
      <c r="N1085" s="26">
        <v>1.0</v>
      </c>
      <c r="O1085" s="30"/>
      <c r="P1085" s="26">
        <v>950.0</v>
      </c>
      <c r="Q1085" s="35">
        <v>14.0</v>
      </c>
      <c r="R1085" s="32">
        <v>45858.0</v>
      </c>
      <c r="S1085" s="32">
        <v>45849.0</v>
      </c>
      <c r="T1085" s="29"/>
      <c r="U1085" s="33"/>
      <c r="V1085" s="1"/>
    </row>
    <row r="1086" ht="24.0" customHeight="1">
      <c r="A1086" s="1"/>
      <c r="B1086" s="24" t="str">
        <f>HYPERLINK("https://www.compass.com/listing/103-26-68th-avenue-unit-2e-queens-ny-11375/1854444081740736457/view?agent_id=610d3f3370540700019b0833","103-26 68th Avenue, Unit 2E")</f>
        <v>103-26 68th Avenue, Unit 2E</v>
      </c>
      <c r="C1086" s="25" t="s">
        <v>22</v>
      </c>
      <c r="D1086" s="26" t="s">
        <v>23</v>
      </c>
      <c r="E1086" s="27" t="str">
        <f>HYPERLINK("https://www.compass.com/building/103-26-68th-ave-queens-ny-11375/293533648701970565/","103-26 68th Ave")</f>
        <v>103-26 68th Ave</v>
      </c>
      <c r="F1086" s="25" t="s">
        <v>165</v>
      </c>
      <c r="G1086" s="28">
        <v>458000.0</v>
      </c>
      <c r="H1086" s="28">
        <v>436.0</v>
      </c>
      <c r="I1086" s="28">
        <v>1166.0</v>
      </c>
      <c r="J1086" s="29"/>
      <c r="K1086" s="25" t="s">
        <v>25</v>
      </c>
      <c r="L1086" s="26">
        <v>5.0</v>
      </c>
      <c r="M1086" s="26">
        <v>2.0</v>
      </c>
      <c r="N1086" s="26">
        <v>1.0</v>
      </c>
      <c r="O1086" s="30"/>
      <c r="P1086" s="34">
        <v>1050.0</v>
      </c>
      <c r="Q1086" s="35">
        <v>43.0</v>
      </c>
      <c r="R1086" s="32">
        <v>45843.0</v>
      </c>
      <c r="S1086" s="32">
        <v>45820.0</v>
      </c>
      <c r="T1086" s="29"/>
      <c r="U1086" s="33"/>
      <c r="V1086" s="1"/>
    </row>
    <row r="1087" ht="24.0" customHeight="1">
      <c r="A1087" s="1"/>
      <c r="B1087" s="24" t="str">
        <f>HYPERLINK("https://www.compass.com/listing/1480-thieriot-avenue-unit-2c-bronx-ny-10460/1842989375825569849/view?agent_id=610d3f3370540700019b0833","1480 Thieriot Avenue, Unit 2C")</f>
        <v>1480 Thieriot Avenue, Unit 2C</v>
      </c>
      <c r="C1087" s="25" t="s">
        <v>22</v>
      </c>
      <c r="D1087" s="26" t="s">
        <v>23</v>
      </c>
      <c r="E1087" s="27" t="str">
        <f>HYPERLINK("https://www.compass.com/building/1480-thieriot-ave-bronx-ny-10460/307442462926563989/","1480 Thieriot Ave")</f>
        <v>1480 Thieriot Ave</v>
      </c>
      <c r="F1087" s="25" t="s">
        <v>228</v>
      </c>
      <c r="G1087" s="28">
        <v>169000.0</v>
      </c>
      <c r="H1087" s="28">
        <v>188.0</v>
      </c>
      <c r="I1087" s="28">
        <v>2112.0</v>
      </c>
      <c r="J1087" s="29"/>
      <c r="K1087" s="25" t="s">
        <v>25</v>
      </c>
      <c r="L1087" s="26">
        <v>6.0</v>
      </c>
      <c r="M1087" s="26">
        <v>2.0</v>
      </c>
      <c r="N1087" s="26">
        <v>1.0</v>
      </c>
      <c r="O1087" s="30"/>
      <c r="P1087" s="26">
        <v>900.0</v>
      </c>
      <c r="Q1087" s="35">
        <v>67.0</v>
      </c>
      <c r="R1087" s="32">
        <v>45856.0</v>
      </c>
      <c r="S1087" s="32">
        <v>45796.0</v>
      </c>
      <c r="T1087" s="29"/>
      <c r="U1087" s="33"/>
      <c r="V1087" s="1"/>
    </row>
    <row r="1088" ht="24.0" customHeight="1">
      <c r="A1088" s="1"/>
      <c r="B1088" s="24" t="str">
        <f>HYPERLINK("https://www.compass.com/listing/65-35-108th-street-unit-e6-queens-ny-11375/1882379221857500353/view?agent_id=610d3f3370540700019b0833","65-35 108th Street, Unit E6")</f>
        <v>65-35 108th Street, Unit E6</v>
      </c>
      <c r="C1088" s="25" t="s">
        <v>22</v>
      </c>
      <c r="D1088" s="26" t="s">
        <v>23</v>
      </c>
      <c r="E1088" s="27" t="str">
        <f>HYPERLINK("https://www.compass.com/building/65-35-108th-st-queens-ny-11375/293535102229570581/","65-35 108th St")</f>
        <v>65-35 108th St</v>
      </c>
      <c r="F1088" s="25" t="s">
        <v>83</v>
      </c>
      <c r="G1088" s="28">
        <v>449500.0</v>
      </c>
      <c r="H1088" s="28">
        <v>562.0</v>
      </c>
      <c r="I1088" s="28">
        <v>956.0</v>
      </c>
      <c r="J1088" s="29"/>
      <c r="K1088" s="25" t="s">
        <v>25</v>
      </c>
      <c r="L1088" s="26">
        <v>4.0</v>
      </c>
      <c r="M1088" s="26">
        <v>2.0</v>
      </c>
      <c r="N1088" s="30"/>
      <c r="O1088" s="30"/>
      <c r="P1088" s="26">
        <v>800.0</v>
      </c>
      <c r="Q1088" s="35">
        <v>15.0</v>
      </c>
      <c r="R1088" s="32">
        <v>45863.0</v>
      </c>
      <c r="S1088" s="32">
        <v>45848.0</v>
      </c>
      <c r="T1088" s="29"/>
      <c r="U1088" s="33"/>
      <c r="V1088" s="1"/>
    </row>
    <row r="1089" ht="24.0" customHeight="1">
      <c r="A1089" s="1"/>
      <c r="B1089" s="24" t="str">
        <f>HYPERLINK("https://www.compass.com/listing/4015-7th-avenue-unit-1-brooklyn-ny-11232/1859508424316334073/view?agent_id=610d3f3370540700019b0833","4015 7th Avenue, Unit 1")</f>
        <v>4015 7th Avenue, Unit 1</v>
      </c>
      <c r="C1089" s="25" t="s">
        <v>22</v>
      </c>
      <c r="D1089" s="26" t="s">
        <v>23</v>
      </c>
      <c r="E1089" s="27" t="str">
        <f>HYPERLINK("https://www.compass.com/building/4015-7th-ave-brooklyn-ny-11232/293416930231037125/","4015 7th Ave")</f>
        <v>4015 7th Ave</v>
      </c>
      <c r="F1089" s="25" t="s">
        <v>128</v>
      </c>
      <c r="G1089" s="28">
        <v>599000.0</v>
      </c>
      <c r="H1089" s="29"/>
      <c r="I1089" s="28">
        <v>328.0</v>
      </c>
      <c r="J1089" s="28">
        <v>0.0</v>
      </c>
      <c r="K1089" s="25" t="s">
        <v>25</v>
      </c>
      <c r="L1089" s="26">
        <v>4.0</v>
      </c>
      <c r="M1089" s="26">
        <v>2.0</v>
      </c>
      <c r="N1089" s="26">
        <v>1.0</v>
      </c>
      <c r="O1089" s="26">
        <v>0.0</v>
      </c>
      <c r="P1089" s="30"/>
      <c r="Q1089" s="35">
        <v>46.0</v>
      </c>
      <c r="R1089" s="32">
        <v>45833.0</v>
      </c>
      <c r="S1089" s="32">
        <v>45817.0</v>
      </c>
      <c r="T1089" s="29"/>
      <c r="U1089" s="33"/>
      <c r="V1089" s="1"/>
    </row>
    <row r="1090" ht="24.0" customHeight="1">
      <c r="A1090" s="1"/>
      <c r="B1090" s="24" t="str">
        <f>HYPERLINK("https://www.compass.com/listing/3215-arlington-avenue-unit-3h-bronx-ny-10463/1649921076705060969/view?agent_id=610d3f3370540700019b0833","3215 Arlington Avenue, Unit 3H")</f>
        <v>3215 Arlington Avenue, Unit 3H</v>
      </c>
      <c r="C1090" s="25" t="s">
        <v>22</v>
      </c>
      <c r="D1090" s="26" t="s">
        <v>23</v>
      </c>
      <c r="E1090" s="27" t="str">
        <f>HYPERLINK("https://www.compass.com/building/3215-arlington-ave-bronx-ny-10463/293527916665422533/","3215 Arlington Ave")</f>
        <v>3215 Arlington Ave</v>
      </c>
      <c r="F1090" s="25" t="s">
        <v>84</v>
      </c>
      <c r="G1090" s="28">
        <v>340000.0</v>
      </c>
      <c r="H1090" s="28">
        <v>340.0</v>
      </c>
      <c r="I1090" s="28">
        <v>1032.0</v>
      </c>
      <c r="J1090" s="29"/>
      <c r="K1090" s="25" t="s">
        <v>25</v>
      </c>
      <c r="L1090" s="26">
        <v>4.0</v>
      </c>
      <c r="M1090" s="26">
        <v>2.0</v>
      </c>
      <c r="N1090" s="26">
        <v>1.0</v>
      </c>
      <c r="O1090" s="30"/>
      <c r="P1090" s="34">
        <v>1000.0</v>
      </c>
      <c r="Q1090" s="35">
        <v>179.0</v>
      </c>
      <c r="R1090" s="32">
        <v>45861.0</v>
      </c>
      <c r="S1090" s="32">
        <v>45684.0</v>
      </c>
      <c r="T1090" s="29"/>
      <c r="U1090" s="33"/>
      <c r="V1090" s="1"/>
    </row>
    <row r="1091" ht="24.0" customHeight="1">
      <c r="A1091" s="1"/>
      <c r="B1091" s="24" t="str">
        <f>HYPERLINK("https://www.compass.com/listing/37-27-86th-street-unit-3d-queens-ny-11372/1861078845310644361/view?agent_id=610d3f3370540700019b0833","37-27 86th Street, Unit 3D")</f>
        <v>37-27 86th Street, Unit 3D</v>
      </c>
      <c r="C1091" s="25" t="s">
        <v>22</v>
      </c>
      <c r="D1091" s="26" t="s">
        <v>23</v>
      </c>
      <c r="E1091" s="27" t="str">
        <f>HYPERLINK("https://www.compass.com/building/37-27-86th-st-queens-ny-11372/293528672831379253/","37-27 86th St")</f>
        <v>37-27 86th St</v>
      </c>
      <c r="F1091" s="25" t="s">
        <v>33</v>
      </c>
      <c r="G1091" s="28">
        <v>450000.0</v>
      </c>
      <c r="H1091" s="28">
        <v>500.0</v>
      </c>
      <c r="I1091" s="28">
        <v>1012.0</v>
      </c>
      <c r="J1091" s="29"/>
      <c r="K1091" s="25" t="s">
        <v>25</v>
      </c>
      <c r="L1091" s="26">
        <v>4.0</v>
      </c>
      <c r="M1091" s="26">
        <v>2.0</v>
      </c>
      <c r="N1091" s="26">
        <v>1.0</v>
      </c>
      <c r="O1091" s="30"/>
      <c r="P1091" s="26">
        <v>900.0</v>
      </c>
      <c r="Q1091" s="35">
        <v>44.0</v>
      </c>
      <c r="R1091" s="32">
        <v>45836.0</v>
      </c>
      <c r="S1091" s="32">
        <v>45819.0</v>
      </c>
      <c r="T1091" s="29"/>
      <c r="U1091" s="33"/>
      <c r="V1091" s="1"/>
    </row>
    <row r="1092" ht="24.0" customHeight="1">
      <c r="A1092" s="1"/>
      <c r="B1092" s="24" t="str">
        <f>HYPERLINK("https://www.compass.com/listing/88-10-34th-avenue-unit-1b-queens-ny-11372/1815399547519878137/view?agent_id=610d3f3370540700019b0833","88-10 34th Avenue, Unit 1B")</f>
        <v>88-10 34th Avenue, Unit 1B</v>
      </c>
      <c r="C1092" s="25" t="s">
        <v>22</v>
      </c>
      <c r="D1092" s="26" t="s">
        <v>23</v>
      </c>
      <c r="E1092" s="27" t="str">
        <f>HYPERLINK("https://www.compass.com/building/88-10-34th-ave-queens-ny-11372/293526247793777909/","88-10 34th Ave")</f>
        <v>88-10 34th Ave</v>
      </c>
      <c r="F1092" s="25" t="s">
        <v>33</v>
      </c>
      <c r="G1092" s="28">
        <v>585000.0</v>
      </c>
      <c r="H1092" s="28">
        <v>650.0</v>
      </c>
      <c r="I1092" s="28">
        <v>1000.0</v>
      </c>
      <c r="J1092" s="29"/>
      <c r="K1092" s="25" t="s">
        <v>25</v>
      </c>
      <c r="L1092" s="26">
        <v>6.0</v>
      </c>
      <c r="M1092" s="26">
        <v>2.0</v>
      </c>
      <c r="N1092" s="26">
        <v>1.0</v>
      </c>
      <c r="O1092" s="30"/>
      <c r="P1092" s="26">
        <v>900.0</v>
      </c>
      <c r="Q1092" s="35">
        <v>106.0</v>
      </c>
      <c r="R1092" s="32">
        <v>45788.0</v>
      </c>
      <c r="S1092" s="32">
        <v>45756.0</v>
      </c>
      <c r="T1092" s="29"/>
      <c r="U1092" s="33"/>
      <c r="V1092" s="1"/>
    </row>
    <row r="1093" ht="24.0" customHeight="1">
      <c r="A1093" s="1"/>
      <c r="B1093" s="24" t="str">
        <f>HYPERLINK("https://www.compass.com/listing/811-walton-avenue-unit-e22-bronx-ny-10451/1872842103922710905/view?agent_id=610d3f3370540700019b0833","811 Walton Avenue, Unit E22")</f>
        <v>811 Walton Avenue, Unit E22</v>
      </c>
      <c r="C1093" s="25" t="s">
        <v>22</v>
      </c>
      <c r="D1093" s="26" t="s">
        <v>23</v>
      </c>
      <c r="E1093" s="27" t="str">
        <f>HYPERLINK("https://www.compass.com/building/811-walton-ave-bronx-ny-10451/293417358620366149/","811 Walton Ave")</f>
        <v>811 Walton Ave</v>
      </c>
      <c r="F1093" s="25" t="s">
        <v>217</v>
      </c>
      <c r="G1093" s="28">
        <v>299000.0</v>
      </c>
      <c r="H1093" s="28">
        <v>399.0</v>
      </c>
      <c r="I1093" s="28">
        <v>909.0</v>
      </c>
      <c r="J1093" s="28">
        <v>0.0</v>
      </c>
      <c r="K1093" s="25" t="s">
        <v>25</v>
      </c>
      <c r="L1093" s="26">
        <v>4.0</v>
      </c>
      <c r="M1093" s="26">
        <v>2.0</v>
      </c>
      <c r="N1093" s="26">
        <v>1.0</v>
      </c>
      <c r="O1093" s="26">
        <v>0.0</v>
      </c>
      <c r="P1093" s="26">
        <v>750.0</v>
      </c>
      <c r="Q1093" s="35">
        <v>28.0</v>
      </c>
      <c r="R1093" s="32">
        <v>45851.0</v>
      </c>
      <c r="S1093" s="32">
        <v>45835.0</v>
      </c>
      <c r="T1093" s="29"/>
      <c r="U1093" s="33"/>
      <c r="V1093" s="1"/>
    </row>
    <row r="1094" ht="24.0" customHeight="1">
      <c r="A1094" s="1"/>
      <c r="B1094" s="24" t="str">
        <f>HYPERLINK("https://www.compass.com/listing/814-b-tilden-street-unit-5k-bronx-ny-10467/1801875768064803265/view?agent_id=610d3f3370540700019b0833","814 B Tilden Street, Unit 5K")</f>
        <v>814 B Tilden Street, Unit 5K</v>
      </c>
      <c r="C1094" s="25" t="s">
        <v>22</v>
      </c>
      <c r="D1094" s="26" t="s">
        <v>23</v>
      </c>
      <c r="E1094" s="26" t="s">
        <v>258</v>
      </c>
      <c r="F1094" s="25" t="s">
        <v>130</v>
      </c>
      <c r="G1094" s="28">
        <v>165000.0</v>
      </c>
      <c r="H1094" s="28">
        <v>172.0</v>
      </c>
      <c r="I1094" s="28">
        <v>1014.0</v>
      </c>
      <c r="J1094" s="29"/>
      <c r="K1094" s="25" t="s">
        <v>25</v>
      </c>
      <c r="L1094" s="26">
        <v>4.0</v>
      </c>
      <c r="M1094" s="26">
        <v>2.0</v>
      </c>
      <c r="N1094" s="26">
        <v>1.0</v>
      </c>
      <c r="O1094" s="30"/>
      <c r="P1094" s="26">
        <v>960.0</v>
      </c>
      <c r="Q1094" s="35">
        <v>126.0</v>
      </c>
      <c r="R1094" s="32">
        <v>45759.0</v>
      </c>
      <c r="S1094" s="32">
        <v>45737.0</v>
      </c>
      <c r="T1094" s="29"/>
      <c r="U1094" s="33"/>
      <c r="V1094" s="1"/>
    </row>
    <row r="1095" ht="24.0" customHeight="1">
      <c r="A1095" s="1"/>
      <c r="B1095" s="24" t="str">
        <f>HYPERLINK("https://www.compass.com/listing/37-16-80th-street-unit-1-queens-ny-11372/1866029047561022857/view?agent_id=610d3f3370540700019b0833","37-16 80th Street, Unit 1")</f>
        <v>37-16 80th Street, Unit 1</v>
      </c>
      <c r="C1095" s="25" t="s">
        <v>22</v>
      </c>
      <c r="D1095" s="26" t="s">
        <v>23</v>
      </c>
      <c r="E1095" s="27" t="str">
        <f>HYPERLINK("https://www.compass.com/building/37-16-80th-st-queens-ny-11372/293535121523376309/","37-16 80th St")</f>
        <v>37-16 80th St</v>
      </c>
      <c r="F1095" s="25" t="s">
        <v>33</v>
      </c>
      <c r="G1095" s="28">
        <v>780000.0</v>
      </c>
      <c r="H1095" s="29"/>
      <c r="I1095" s="28">
        <v>1228.0</v>
      </c>
      <c r="J1095" s="28">
        <v>0.0</v>
      </c>
      <c r="K1095" s="25" t="s">
        <v>25</v>
      </c>
      <c r="L1095" s="26">
        <v>5.0</v>
      </c>
      <c r="M1095" s="26">
        <v>2.0</v>
      </c>
      <c r="N1095" s="26">
        <v>1.0</v>
      </c>
      <c r="O1095" s="26">
        <v>0.0</v>
      </c>
      <c r="P1095" s="30"/>
      <c r="Q1095" s="35">
        <v>37.0</v>
      </c>
      <c r="R1095" s="32">
        <v>45861.0</v>
      </c>
      <c r="S1095" s="32">
        <v>45826.0</v>
      </c>
      <c r="T1095" s="29"/>
      <c r="U1095" s="33"/>
      <c r="V1095" s="1"/>
    </row>
    <row r="1096" ht="24.0" customHeight="1">
      <c r="A1096" s="1"/>
      <c r="B1096" s="24" t="str">
        <f>HYPERLINK("https://www.compass.com/listing/3215-avenue-h-unit-12s-brooklyn-ny-11210/1710399857048415897/view?agent_id=610d3f3370540700019b0833","3215 Avenue H, Unit 12S")</f>
        <v>3215 Avenue H, Unit 12S</v>
      </c>
      <c r="C1096" s="25" t="s">
        <v>22</v>
      </c>
      <c r="D1096" s="26" t="s">
        <v>23</v>
      </c>
      <c r="E1096" s="27" t="str">
        <f>HYPERLINK("https://www.compass.com/building/norma-apartments-brooklyn-ny/389266833911156325/","Norma Apartments")</f>
        <v>Norma Apartments</v>
      </c>
      <c r="F1096" s="25" t="s">
        <v>112</v>
      </c>
      <c r="G1096" s="28">
        <v>430000.0</v>
      </c>
      <c r="H1096" s="29"/>
      <c r="I1096" s="28">
        <v>903.0</v>
      </c>
      <c r="J1096" s="28">
        <v>0.0</v>
      </c>
      <c r="K1096" s="25" t="s">
        <v>25</v>
      </c>
      <c r="L1096" s="26">
        <v>4.0</v>
      </c>
      <c r="M1096" s="26">
        <v>2.0</v>
      </c>
      <c r="N1096" s="26">
        <v>1.0</v>
      </c>
      <c r="O1096" s="26">
        <v>0.0</v>
      </c>
      <c r="P1096" s="30"/>
      <c r="Q1096" s="35">
        <v>247.0</v>
      </c>
      <c r="R1096" s="32">
        <v>45850.0</v>
      </c>
      <c r="S1096" s="32">
        <v>45611.0</v>
      </c>
      <c r="T1096" s="29"/>
      <c r="U1096" s="33"/>
      <c r="V1096" s="1"/>
    </row>
    <row r="1097" ht="24.0" customHeight="1">
      <c r="A1097" s="1"/>
      <c r="B1097" s="24" t="str">
        <f>HYPERLINK("https://www.compass.com/listing/117-01-park-lane-south-unit-c-1f-queens-ny-11418/1839931100237867225/view?agent_id=610d3f3370540700019b0833","117-01 Park Lane South, Unit C 1F")</f>
        <v>117-01 Park Lane South, Unit C 1F</v>
      </c>
      <c r="C1097" s="25" t="s">
        <v>22</v>
      </c>
      <c r="D1097" s="26" t="s">
        <v>23</v>
      </c>
      <c r="E1097" s="27" t="str">
        <f>HYPERLINK("https://www.compass.com/building/117-01-park-ln-s-queens-ny-11418/436387211567998613/","117-01 Park Ln S")</f>
        <v>117-01 Park Ln S</v>
      </c>
      <c r="F1097" s="25" t="s">
        <v>168</v>
      </c>
      <c r="G1097" s="28">
        <v>379000.0</v>
      </c>
      <c r="H1097" s="28">
        <v>345.0</v>
      </c>
      <c r="I1097" s="28">
        <v>1038.0</v>
      </c>
      <c r="J1097" s="29"/>
      <c r="K1097" s="25" t="s">
        <v>25</v>
      </c>
      <c r="L1097" s="26">
        <v>4.0</v>
      </c>
      <c r="M1097" s="26">
        <v>2.0</v>
      </c>
      <c r="N1097" s="26">
        <v>1.0</v>
      </c>
      <c r="O1097" s="30"/>
      <c r="P1097" s="34">
        <v>1100.0</v>
      </c>
      <c r="Q1097" s="35">
        <v>73.0</v>
      </c>
      <c r="R1097" s="32">
        <v>45804.0</v>
      </c>
      <c r="S1097" s="32">
        <v>45790.0</v>
      </c>
      <c r="T1097" s="29"/>
      <c r="U1097" s="33"/>
      <c r="V1097" s="1"/>
    </row>
    <row r="1098" ht="24.0" customHeight="1">
      <c r="A1098" s="1"/>
      <c r="B1098" s="24" t="str">
        <f>HYPERLINK("https://www.compass.com/listing/2545-sedgwick-avenue-unit-3b-bronx-ny-10468/1847380170763049457/view?agent_id=610d3f3370540700019b0833","2545 Sedgwick Avenue, Unit 3B")</f>
        <v>2545 Sedgwick Avenue, Unit 3B</v>
      </c>
      <c r="C1098" s="25" t="s">
        <v>22</v>
      </c>
      <c r="D1098" s="26" t="s">
        <v>23</v>
      </c>
      <c r="E1098" s="27" t="str">
        <f>HYPERLINK("https://www.compass.com/building/2545-sedgwick-ave-bronx-ny-10468/293526101966288421/","2545 Sedgwick Ave")</f>
        <v>2545 Sedgwick Ave</v>
      </c>
      <c r="F1098" s="25" t="s">
        <v>238</v>
      </c>
      <c r="G1098" s="28">
        <v>199000.0</v>
      </c>
      <c r="H1098" s="28">
        <v>234.0</v>
      </c>
      <c r="I1098" s="28">
        <v>1071.0</v>
      </c>
      <c r="J1098" s="29"/>
      <c r="K1098" s="25" t="s">
        <v>25</v>
      </c>
      <c r="L1098" s="26">
        <v>4.0</v>
      </c>
      <c r="M1098" s="26">
        <v>2.0</v>
      </c>
      <c r="N1098" s="26">
        <v>1.0</v>
      </c>
      <c r="O1098" s="30"/>
      <c r="P1098" s="26">
        <v>850.0</v>
      </c>
      <c r="Q1098" s="35">
        <v>62.0</v>
      </c>
      <c r="R1098" s="32">
        <v>45855.0</v>
      </c>
      <c r="S1098" s="32">
        <v>45800.0</v>
      </c>
      <c r="T1098" s="29"/>
      <c r="U1098" s="33"/>
      <c r="V1098" s="1"/>
    </row>
    <row r="1099" ht="24.0" customHeight="1">
      <c r="A1099" s="1"/>
      <c r="B1099" s="24" t="str">
        <f>HYPERLINK("https://www.compass.com/listing/3531-bronxwood-avenue-unit-6k-bronx-ny-10467/1804602067821648617/view?agent_id=610d3f3370540700019b0833","3531 Bronxwood Avenue, Unit 6K")</f>
        <v>3531 Bronxwood Avenue, Unit 6K</v>
      </c>
      <c r="C1099" s="25" t="s">
        <v>22</v>
      </c>
      <c r="D1099" s="26" t="s">
        <v>23</v>
      </c>
      <c r="E1099" s="27" t="str">
        <f>HYPERLINK("https://www.compass.com/building/3531-bronxwood-ave-bronx-ny-10467/319516808880748837/","3531 Bronxwood Ave")</f>
        <v>3531 Bronxwood Ave</v>
      </c>
      <c r="F1099" s="25" t="s">
        <v>130</v>
      </c>
      <c r="G1099" s="28">
        <v>155000.0</v>
      </c>
      <c r="H1099" s="28">
        <v>161.0</v>
      </c>
      <c r="I1099" s="28">
        <v>1014.0</v>
      </c>
      <c r="J1099" s="29"/>
      <c r="K1099" s="25" t="s">
        <v>25</v>
      </c>
      <c r="L1099" s="26">
        <v>5.0</v>
      </c>
      <c r="M1099" s="26">
        <v>2.0</v>
      </c>
      <c r="N1099" s="26">
        <v>1.0</v>
      </c>
      <c r="O1099" s="30"/>
      <c r="P1099" s="26">
        <v>960.0</v>
      </c>
      <c r="Q1099" s="35">
        <v>122.0</v>
      </c>
      <c r="R1099" s="32">
        <v>45759.0</v>
      </c>
      <c r="S1099" s="32">
        <v>45741.0</v>
      </c>
      <c r="T1099" s="29"/>
      <c r="U1099" s="33"/>
      <c r="V1099" s="1"/>
    </row>
    <row r="1100" ht="24.0" customHeight="1">
      <c r="A1100" s="1"/>
      <c r="B1100" s="24" t="str">
        <f>HYPERLINK("https://www.compass.com/listing/745-east-231st-street-unit-1f-bronx-ny-10466/1835206969761317601/view?agent_id=610d3f3370540700019b0833","745 East 231st Street, Unit 1F")</f>
        <v>745 East 231st Street, Unit 1F</v>
      </c>
      <c r="C1100" s="25" t="s">
        <v>22</v>
      </c>
      <c r="D1100" s="26" t="s">
        <v>23</v>
      </c>
      <c r="E1100" s="27" t="str">
        <f>HYPERLINK("https://www.compass.com/building/745-e-231st-st-bronx-ny-10466/293527466683665205/","745 E 231st St")</f>
        <v>745 E 231st St</v>
      </c>
      <c r="F1100" s="25" t="s">
        <v>182</v>
      </c>
      <c r="G1100" s="28">
        <v>147000.0</v>
      </c>
      <c r="H1100" s="28">
        <v>163.0</v>
      </c>
      <c r="I1100" s="28">
        <v>2312.0</v>
      </c>
      <c r="J1100" s="29"/>
      <c r="K1100" s="25" t="s">
        <v>25</v>
      </c>
      <c r="L1100" s="26">
        <v>5.0</v>
      </c>
      <c r="M1100" s="26">
        <v>2.0</v>
      </c>
      <c r="N1100" s="26">
        <v>1.0</v>
      </c>
      <c r="O1100" s="30"/>
      <c r="P1100" s="26">
        <v>900.0</v>
      </c>
      <c r="Q1100" s="35">
        <v>72.0</v>
      </c>
      <c r="R1100" s="32">
        <v>45856.0</v>
      </c>
      <c r="S1100" s="32">
        <v>45783.0</v>
      </c>
      <c r="T1100" s="29"/>
      <c r="U1100" s="33"/>
      <c r="V1100" s="1"/>
    </row>
    <row r="1101" ht="24.0" customHeight="1">
      <c r="A1101" s="1"/>
      <c r="B1101" s="24" t="str">
        <f>HYPERLINK("https://www.compass.com/listing/6422-bay-parkway-unit-3a-brooklyn-ny-11204/1861741243455324105/view?agent_id=610d3f3370540700019b0833","6422 Bay Parkway, Unit 3A")</f>
        <v>6422 Bay Parkway, Unit 3A</v>
      </c>
      <c r="C1101" s="25" t="s">
        <v>22</v>
      </c>
      <c r="D1101" s="26" t="s">
        <v>23</v>
      </c>
      <c r="E1101" s="27" t="str">
        <f>HYPERLINK("https://www.compass.com/building/6422-bay-pkwy-brooklyn-ny-11204/293533482062206805/","6422 Bay Pkwy")</f>
        <v>6422 Bay Pkwy</v>
      </c>
      <c r="F1101" s="25" t="s">
        <v>259</v>
      </c>
      <c r="G1101" s="28">
        <v>270000.0</v>
      </c>
      <c r="H1101" s="28">
        <v>362.0</v>
      </c>
      <c r="I1101" s="28">
        <v>1077.0</v>
      </c>
      <c r="J1101" s="28">
        <v>8128.0</v>
      </c>
      <c r="K1101" s="25" t="s">
        <v>28</v>
      </c>
      <c r="L1101" s="26">
        <v>4.0</v>
      </c>
      <c r="M1101" s="26">
        <v>2.0</v>
      </c>
      <c r="N1101" s="26">
        <v>1.0</v>
      </c>
      <c r="O1101" s="30"/>
      <c r="P1101" s="26">
        <v>746.0</v>
      </c>
      <c r="Q1101" s="35">
        <v>29.0</v>
      </c>
      <c r="R1101" s="32">
        <v>45855.0</v>
      </c>
      <c r="S1101" s="32">
        <v>45834.0</v>
      </c>
      <c r="T1101" s="29"/>
      <c r="U1101" s="33"/>
      <c r="V1101" s="1"/>
    </row>
    <row r="1102" ht="24.0" customHeight="1">
      <c r="A1102" s="1"/>
      <c r="B1102" s="24" t="str">
        <f>HYPERLINK("https://www.compass.com/listing/32-40-91st-street-unit-309-queens-ny-11369/1871085562466878929/view?agent_id=610d3f3370540700019b0833","32-40 91st Street, Unit 309")</f>
        <v>32-40 91st Street, Unit 309</v>
      </c>
      <c r="C1102" s="25" t="s">
        <v>22</v>
      </c>
      <c r="D1102" s="26" t="s">
        <v>23</v>
      </c>
      <c r="E1102" s="27" t="str">
        <f>HYPERLINK("https://www.compass.com/building/32-40-91st-st-queens-ny-11369/307455587558150565/","32-40 91st St")</f>
        <v>32-40 91st St</v>
      </c>
      <c r="F1102" s="25" t="s">
        <v>33</v>
      </c>
      <c r="G1102" s="28">
        <v>337000.0</v>
      </c>
      <c r="H1102" s="28">
        <v>355.0</v>
      </c>
      <c r="I1102" s="28">
        <v>1030.0</v>
      </c>
      <c r="J1102" s="29"/>
      <c r="K1102" s="25" t="s">
        <v>25</v>
      </c>
      <c r="L1102" s="26">
        <v>4.0</v>
      </c>
      <c r="M1102" s="26">
        <v>2.0</v>
      </c>
      <c r="N1102" s="26">
        <v>1.0</v>
      </c>
      <c r="O1102" s="30"/>
      <c r="P1102" s="26">
        <v>950.0</v>
      </c>
      <c r="Q1102" s="35">
        <v>30.0</v>
      </c>
      <c r="R1102" s="32">
        <v>45837.0</v>
      </c>
      <c r="S1102" s="32">
        <v>45833.0</v>
      </c>
      <c r="T1102" s="29"/>
      <c r="U1102" s="33"/>
      <c r="V1102" s="1"/>
    </row>
    <row r="1103" ht="24.0" customHeight="1">
      <c r="A1103" s="1"/>
      <c r="B1103" s="24" t="str">
        <f>HYPERLINK("https://www.compass.com/listing/33-43-14th-street-unit-12b-queens-ny-11106/1845698744207796265/view?agent_id=610d3f3370540700019b0833","33-43 14th Street, Unit 12B")</f>
        <v>33-43 14th Street, Unit 12B</v>
      </c>
      <c r="C1103" s="25" t="s">
        <v>22</v>
      </c>
      <c r="D1103" s="26" t="s">
        <v>23</v>
      </c>
      <c r="E1103" s="27" t="str">
        <f>HYPERLINK("https://www.compass.com/building/north-queensview-queens-ny/293534737299934069/","North QueensView")</f>
        <v>North QueensView</v>
      </c>
      <c r="F1103" s="25" t="s">
        <v>68</v>
      </c>
      <c r="G1103" s="28">
        <v>575000.0</v>
      </c>
      <c r="H1103" s="28">
        <v>653.0</v>
      </c>
      <c r="I1103" s="28">
        <v>1181.0</v>
      </c>
      <c r="J1103" s="29"/>
      <c r="K1103" s="25" t="s">
        <v>25</v>
      </c>
      <c r="L1103" s="26">
        <v>5.0</v>
      </c>
      <c r="M1103" s="26">
        <v>2.0</v>
      </c>
      <c r="N1103" s="26">
        <v>1.0</v>
      </c>
      <c r="O1103" s="26">
        <v>0.0</v>
      </c>
      <c r="P1103" s="26">
        <v>880.0</v>
      </c>
      <c r="Q1103" s="35">
        <v>63.0</v>
      </c>
      <c r="R1103" s="32">
        <v>45851.0</v>
      </c>
      <c r="S1103" s="32">
        <v>45800.0</v>
      </c>
      <c r="T1103" s="29"/>
      <c r="U1103" s="33"/>
      <c r="V1103" s="1"/>
    </row>
    <row r="1104" ht="24.0" customHeight="1">
      <c r="A1104" s="1"/>
      <c r="B1104" s="24" t="str">
        <f>HYPERLINK("https://www.compass.com/listing/1237-avenue-z-unit-nn-brooklyn-ny-11235/1846540282291272609/view?agent_id=610d3f3370540700019b0833","1237 Avenue Z, Unit # NN")</f>
        <v>1237 Avenue Z, Unit # NN</v>
      </c>
      <c r="C1104" s="25" t="s">
        <v>22</v>
      </c>
      <c r="D1104" s="26" t="s">
        <v>23</v>
      </c>
      <c r="E1104" s="27" t="str">
        <f>HYPERLINK("https://www.compass.com/building/1237-avenue-z-brooklyn-ny-11235/389273263082875317/","1237 Avenue Z")</f>
        <v>1237 Avenue Z</v>
      </c>
      <c r="F1104" s="25" t="s">
        <v>70</v>
      </c>
      <c r="G1104" s="28">
        <v>399000.0</v>
      </c>
      <c r="H1104" s="29"/>
      <c r="I1104" s="28">
        <v>1300.0</v>
      </c>
      <c r="J1104" s="29"/>
      <c r="K1104" s="25" t="s">
        <v>25</v>
      </c>
      <c r="L1104" s="26">
        <v>5.0</v>
      </c>
      <c r="M1104" s="26">
        <v>2.0</v>
      </c>
      <c r="N1104" s="26">
        <v>1.0</v>
      </c>
      <c r="O1104" s="30"/>
      <c r="P1104" s="30"/>
      <c r="Q1104" s="35">
        <v>64.0</v>
      </c>
      <c r="R1104" s="32">
        <v>45813.0</v>
      </c>
      <c r="S1104" s="32">
        <v>45799.0</v>
      </c>
      <c r="T1104" s="29"/>
      <c r="U1104" s="33"/>
      <c r="V1104" s="1"/>
    </row>
    <row r="1105" ht="24.0" customHeight="1">
      <c r="A1105" s="1"/>
      <c r="B1105" s="24" t="str">
        <f>HYPERLINK("https://www.compass.com/listing/75-05-217th-street-unit-uppr-queens-ny-11364/1870528270545966793/view?agent_id=610d3f3370540700019b0833","75-05 217th Street, Unit UPPR")</f>
        <v>75-05 217th Street, Unit UPPR</v>
      </c>
      <c r="C1105" s="25" t="s">
        <v>22</v>
      </c>
      <c r="D1105" s="26" t="s">
        <v>23</v>
      </c>
      <c r="E1105" s="27" t="str">
        <f>HYPERLINK("https://www.compass.com/building/75-05-217th-st-queens-ny-11364/455674595820046677/","75-05 217th St")</f>
        <v>75-05 217th St</v>
      </c>
      <c r="F1105" s="25" t="s">
        <v>37</v>
      </c>
      <c r="G1105" s="28">
        <v>348000.0</v>
      </c>
      <c r="H1105" s="28">
        <v>497.0</v>
      </c>
      <c r="I1105" s="28">
        <v>1216.0</v>
      </c>
      <c r="J1105" s="29"/>
      <c r="K1105" s="25" t="s">
        <v>25</v>
      </c>
      <c r="L1105" s="26">
        <v>5.0</v>
      </c>
      <c r="M1105" s="26">
        <v>2.0</v>
      </c>
      <c r="N1105" s="26">
        <v>1.0</v>
      </c>
      <c r="O1105" s="30"/>
      <c r="P1105" s="26">
        <v>700.0</v>
      </c>
      <c r="Q1105" s="35">
        <v>31.0</v>
      </c>
      <c r="R1105" s="32">
        <v>45851.0</v>
      </c>
      <c r="S1105" s="32">
        <v>45832.0</v>
      </c>
      <c r="T1105" s="29"/>
      <c r="U1105" s="33"/>
      <c r="V1105" s="1"/>
    </row>
    <row r="1106" ht="24.0" customHeight="1">
      <c r="A1106" s="1"/>
      <c r="B1106" s="24" t="str">
        <f>HYPERLINK("https://www.compass.com/listing/90-09-northern-boulevard-unit-504-queens-ny-11372/1852408487795845777/view?agent_id=610d3f3370540700019b0833","90-09 Northern Boulevard, Unit 504")</f>
        <v>90-09 Northern Boulevard, Unit 504</v>
      </c>
      <c r="C1106" s="25" t="s">
        <v>22</v>
      </c>
      <c r="D1106" s="26" t="s">
        <v>23</v>
      </c>
      <c r="E1106" s="27" t="str">
        <f>HYPERLINK("https://www.compass.com/building/90-09-northern-blvd-queens-ny-11372/567852107531258621/","90-09 Northern Blvd")</f>
        <v>90-09 Northern Blvd</v>
      </c>
      <c r="F1106" s="25" t="s">
        <v>33</v>
      </c>
      <c r="G1106" s="28">
        <v>375000.0</v>
      </c>
      <c r="H1106" s="29"/>
      <c r="I1106" s="28">
        <v>971.0</v>
      </c>
      <c r="J1106" s="28">
        <v>0.0</v>
      </c>
      <c r="K1106" s="25" t="s">
        <v>25</v>
      </c>
      <c r="L1106" s="26">
        <v>3.0</v>
      </c>
      <c r="M1106" s="26">
        <v>2.0</v>
      </c>
      <c r="N1106" s="26">
        <v>1.0</v>
      </c>
      <c r="O1106" s="26">
        <v>0.0</v>
      </c>
      <c r="P1106" s="30"/>
      <c r="Q1106" s="35">
        <v>56.0</v>
      </c>
      <c r="R1106" s="32">
        <v>45846.0</v>
      </c>
      <c r="S1106" s="32">
        <v>45807.0</v>
      </c>
      <c r="T1106" s="29"/>
      <c r="U1106" s="33"/>
      <c r="V1106" s="1"/>
    </row>
    <row r="1107" ht="24.0" customHeight="1">
      <c r="A1107" s="1"/>
      <c r="B1107" s="24" t="str">
        <f>HYPERLINK("https://www.compass.com/listing/163-cromwell-avenue-unit-3b-staten-island-ny-10304/1869674783767708225/view?agent_id=610d3f3370540700019b0833","163 Cromwell Avenue, Unit 3B")</f>
        <v>163 Cromwell Avenue, Unit 3B</v>
      </c>
      <c r="C1107" s="25" t="s">
        <v>22</v>
      </c>
      <c r="D1107" s="26" t="s">
        <v>23</v>
      </c>
      <c r="E1107" s="27" t="str">
        <f>HYPERLINK("https://www.compass.com/building/163-cromwell-ave-staten-island-ny-10304/293534616546003509/","163 Cromwell Ave")</f>
        <v>163 Cromwell Ave</v>
      </c>
      <c r="F1107" s="25" t="s">
        <v>260</v>
      </c>
      <c r="G1107" s="28">
        <v>437000.0</v>
      </c>
      <c r="H1107" s="28">
        <v>520.0</v>
      </c>
      <c r="I1107" s="28">
        <v>594.0</v>
      </c>
      <c r="J1107" s="28">
        <v>3562.0</v>
      </c>
      <c r="K1107" s="25" t="s">
        <v>28</v>
      </c>
      <c r="L1107" s="26">
        <v>5.0</v>
      </c>
      <c r="M1107" s="26">
        <v>2.0</v>
      </c>
      <c r="N1107" s="26">
        <v>1.0</v>
      </c>
      <c r="O1107" s="26">
        <v>0.0</v>
      </c>
      <c r="P1107" s="26">
        <v>841.0</v>
      </c>
      <c r="Q1107" s="35">
        <v>32.0</v>
      </c>
      <c r="R1107" s="32">
        <v>45850.0</v>
      </c>
      <c r="S1107" s="32">
        <v>45830.0</v>
      </c>
      <c r="T1107" s="29"/>
      <c r="U1107" s="33"/>
      <c r="V1107" s="1"/>
    </row>
    <row r="1108" ht="24.0" customHeight="1">
      <c r="A1108" s="1"/>
      <c r="B1108" s="24" t="str">
        <f>HYPERLINK("https://www.compass.com/listing/750-patterson-avenue-staten-island-ny-10306/1856038229102760441/view?agent_id=610d3f3370540700019b0833","750 Patterson Avenue")</f>
        <v>750 Patterson Avenue</v>
      </c>
      <c r="C1108" s="25" t="s">
        <v>22</v>
      </c>
      <c r="D1108" s="26" t="s">
        <v>23</v>
      </c>
      <c r="E1108" s="27" t="str">
        <f>HYPERLINK("https://www.compass.com/building/750-patterson-ave-staten-island-ny-10306/293534545939061781/","750 Patterson Ave")</f>
        <v>750 Patterson Ave</v>
      </c>
      <c r="F1108" s="25" t="s">
        <v>234</v>
      </c>
      <c r="G1108" s="28">
        <v>300000.0</v>
      </c>
      <c r="H1108" s="28">
        <v>600.0</v>
      </c>
      <c r="I1108" s="28">
        <v>239.0</v>
      </c>
      <c r="J1108" s="28">
        <v>2866.0</v>
      </c>
      <c r="K1108" s="25" t="s">
        <v>97</v>
      </c>
      <c r="L1108" s="26">
        <v>4.0</v>
      </c>
      <c r="M1108" s="26">
        <v>2.0</v>
      </c>
      <c r="N1108" s="26">
        <v>1.0</v>
      </c>
      <c r="O1108" s="26">
        <v>0.0</v>
      </c>
      <c r="P1108" s="26">
        <v>500.0</v>
      </c>
      <c r="Q1108" s="35">
        <v>51.0</v>
      </c>
      <c r="R1108" s="32">
        <v>45827.0</v>
      </c>
      <c r="S1108" s="32">
        <v>45811.0</v>
      </c>
      <c r="T1108" s="29"/>
      <c r="U1108" s="33"/>
      <c r="V1108" s="1"/>
    </row>
    <row r="1109" ht="24.0" customHeight="1">
      <c r="A1109" s="1"/>
      <c r="B1109" s="24" t="str">
        <f>HYPERLINK("https://www.compass.com/listing/3320-avenue-h-unit-6p-brooklyn-ny-11210/1697340702028690705/view?agent_id=610d3f3370540700019b0833","3320 Avenue H, Unit 6P")</f>
        <v>3320 Avenue H, Unit 6P</v>
      </c>
      <c r="C1109" s="25" t="s">
        <v>22</v>
      </c>
      <c r="D1109" s="26" t="s">
        <v>23</v>
      </c>
      <c r="E1109" s="27" t="str">
        <f>HYPERLINK("https://www.compass.com/building/3320-avenue-h-brooklyn-ny-11210/389270041330593589/","3320 Avenue H")</f>
        <v>3320 Avenue H</v>
      </c>
      <c r="F1109" s="25" t="s">
        <v>123</v>
      </c>
      <c r="G1109" s="28">
        <v>360000.0</v>
      </c>
      <c r="H1109" s="29"/>
      <c r="I1109" s="28">
        <v>984.0</v>
      </c>
      <c r="J1109" s="28">
        <v>908.0</v>
      </c>
      <c r="K1109" s="25" t="s">
        <v>25</v>
      </c>
      <c r="L1109" s="26">
        <v>4.0</v>
      </c>
      <c r="M1109" s="26">
        <v>2.0</v>
      </c>
      <c r="N1109" s="26">
        <v>1.0</v>
      </c>
      <c r="O1109" s="30"/>
      <c r="P1109" s="30"/>
      <c r="Q1109" s="35">
        <v>266.0</v>
      </c>
      <c r="R1109" s="32">
        <v>45680.0</v>
      </c>
      <c r="S1109" s="32">
        <v>45597.0</v>
      </c>
      <c r="T1109" s="29"/>
      <c r="U1109" s="33"/>
      <c r="V1109" s="1"/>
    </row>
    <row r="1110" ht="24.0" customHeight="1">
      <c r="A1110" s="1"/>
      <c r="B1110" s="24" t="str">
        <f>HYPERLINK("https://www.compass.com/listing/21-77-33rd-street-unit-5e-queens-ny-11105/702672800546280729/view?agent_id=610d3f3370540700019b0833","21-77 33rd Street, Unit 5E")</f>
        <v>21-77 33rd Street, Unit 5E</v>
      </c>
      <c r="C1110" s="25" t="s">
        <v>22</v>
      </c>
      <c r="D1110" s="26" t="s">
        <v>23</v>
      </c>
      <c r="E1110" s="27" t="str">
        <f>HYPERLINK("https://www.compass.com/building/acropolis-gardens-queens-ny/307454975902489141/","Acropolis Gardens")</f>
        <v>Acropolis Gardens</v>
      </c>
      <c r="F1110" s="25" t="s">
        <v>68</v>
      </c>
      <c r="G1110" s="28">
        <v>345000.0</v>
      </c>
      <c r="H1110" s="29"/>
      <c r="I1110" s="28">
        <v>1040.0</v>
      </c>
      <c r="J1110" s="28">
        <v>0.0</v>
      </c>
      <c r="K1110" s="25" t="s">
        <v>25</v>
      </c>
      <c r="L1110" s="26">
        <v>4.0</v>
      </c>
      <c r="M1110" s="26">
        <v>2.0</v>
      </c>
      <c r="N1110" s="26">
        <v>1.0</v>
      </c>
      <c r="O1110" s="26">
        <v>0.0</v>
      </c>
      <c r="P1110" s="30"/>
      <c r="Q1110" s="35">
        <v>1647.0</v>
      </c>
      <c r="R1110" s="32">
        <v>45856.0</v>
      </c>
      <c r="S1110" s="32">
        <v>44216.0</v>
      </c>
      <c r="T1110" s="29"/>
      <c r="U1110" s="33"/>
      <c r="V1110" s="1"/>
    </row>
    <row r="1111" ht="24.0" customHeight="1">
      <c r="A1111" s="1"/>
      <c r="B1111" s="24" t="str">
        <f>HYPERLINK("https://www.compass.com/listing/62-64-saunders-street-unit-4k-queens-ny-11374/1875458429136606289/view?agent_id=610d3f3370540700019b0833","62-64 Saunders Street, Unit 4K")</f>
        <v>62-64 Saunders Street, Unit 4K</v>
      </c>
      <c r="C1111" s="25" t="s">
        <v>22</v>
      </c>
      <c r="D1111" s="26" t="s">
        <v>23</v>
      </c>
      <c r="E1111" s="27" t="str">
        <f>HYPERLINK("https://www.compass.com/building/62-64-saunders-st-queens-ny-11374/293526673456960469/","62-64 Saunders St")</f>
        <v>62-64 Saunders St</v>
      </c>
      <c r="F1111" s="25" t="s">
        <v>166</v>
      </c>
      <c r="G1111" s="28">
        <v>309000.0</v>
      </c>
      <c r="H1111" s="28">
        <v>317.0</v>
      </c>
      <c r="I1111" s="28">
        <v>1312.0</v>
      </c>
      <c r="J1111" s="29"/>
      <c r="K1111" s="25" t="s">
        <v>25</v>
      </c>
      <c r="L1111" s="26">
        <v>5.0</v>
      </c>
      <c r="M1111" s="26">
        <v>2.0</v>
      </c>
      <c r="N1111" s="26">
        <v>1.0</v>
      </c>
      <c r="O1111" s="30"/>
      <c r="P1111" s="26">
        <v>975.0</v>
      </c>
      <c r="Q1111" s="35">
        <v>24.0</v>
      </c>
      <c r="R1111" s="32">
        <v>45861.0</v>
      </c>
      <c r="S1111" s="32">
        <v>45839.0</v>
      </c>
      <c r="T1111" s="29"/>
      <c r="U1111" s="33"/>
      <c r="V1111" s="1"/>
    </row>
    <row r="1112" ht="24.0" customHeight="1">
      <c r="A1112" s="1"/>
      <c r="B1112" s="24" t="str">
        <f>HYPERLINK("https://www.compass.com/listing/21-47-33rd-street-unit-2b-queens-ny-11105/1607150317754134457/view?agent_id=610d3f3370540700019b0833","21-47 33rd Street, Unit 2B")</f>
        <v>21-47 33rd Street, Unit 2B</v>
      </c>
      <c r="C1112" s="25" t="s">
        <v>22</v>
      </c>
      <c r="D1112" s="26" t="s">
        <v>23</v>
      </c>
      <c r="E1112" s="27" t="str">
        <f>HYPERLINK("https://www.compass.com/building/21-47-33rd-st-queens-ny-11105/294840079541259333/","21-47 33rd St")</f>
        <v>21-47 33rd St</v>
      </c>
      <c r="F1112" s="25" t="s">
        <v>68</v>
      </c>
      <c r="G1112" s="28">
        <v>318900.0</v>
      </c>
      <c r="H1112" s="29"/>
      <c r="I1112" s="28">
        <v>1200.0</v>
      </c>
      <c r="J1112" s="28">
        <v>0.0</v>
      </c>
      <c r="K1112" s="25" t="s">
        <v>25</v>
      </c>
      <c r="L1112" s="26">
        <v>4.0</v>
      </c>
      <c r="M1112" s="26">
        <v>2.0</v>
      </c>
      <c r="N1112" s="26">
        <v>1.0</v>
      </c>
      <c r="O1112" s="30"/>
      <c r="P1112" s="30"/>
      <c r="Q1112" s="35">
        <v>395.0</v>
      </c>
      <c r="R1112" s="32">
        <v>45731.0</v>
      </c>
      <c r="S1112" s="32">
        <v>45468.0</v>
      </c>
      <c r="T1112" s="29"/>
      <c r="U1112" s="33"/>
      <c r="V1112" s="1"/>
    </row>
    <row r="1113" ht="24.0" customHeight="1">
      <c r="A1113" s="1"/>
      <c r="B1113" s="24" t="str">
        <f>HYPERLINK("https://www.compass.com/listing/251-26-58th-avenue-unit-uppr-queens-ny-11362/1866108656583136769/view?agent_id=610d3f3370540700019b0833","251-26 58th Avenue, Unit UPPR")</f>
        <v>251-26 58th Avenue, Unit UPPR</v>
      </c>
      <c r="C1113" s="25" t="s">
        <v>22</v>
      </c>
      <c r="D1113" s="26" t="s">
        <v>23</v>
      </c>
      <c r="E1113" s="27" t="str">
        <f>HYPERLINK("https://www.compass.com/building/251-26-58th-ave-queens-ny-11362/307439455551898533/","251-26 58th Ave")</f>
        <v>251-26 58th Ave</v>
      </c>
      <c r="F1113" s="25" t="s">
        <v>158</v>
      </c>
      <c r="G1113" s="28">
        <v>459000.0</v>
      </c>
      <c r="H1113" s="28">
        <v>478.0</v>
      </c>
      <c r="I1113" s="28">
        <v>2221.0</v>
      </c>
      <c r="J1113" s="29"/>
      <c r="K1113" s="25" t="s">
        <v>25</v>
      </c>
      <c r="L1113" s="26">
        <v>5.0</v>
      </c>
      <c r="M1113" s="26">
        <v>2.0</v>
      </c>
      <c r="N1113" s="26">
        <v>1.0</v>
      </c>
      <c r="O1113" s="30"/>
      <c r="P1113" s="26">
        <v>960.0</v>
      </c>
      <c r="Q1113" s="35">
        <v>36.0</v>
      </c>
      <c r="R1113" s="32">
        <v>45861.0</v>
      </c>
      <c r="S1113" s="32">
        <v>45826.0</v>
      </c>
      <c r="T1113" s="29"/>
      <c r="U1113" s="33"/>
      <c r="V1113" s="1"/>
    </row>
    <row r="1114" ht="24.0" customHeight="1">
      <c r="A1114" s="1"/>
      <c r="B1114" s="24" t="str">
        <f>HYPERLINK("https://www.compass.com/listing/21-58-35th-street-unit-5b-queens-ny-11105/1518372161116710225/view?agent_id=610d3f3370540700019b0833","21-58 35th Street, Unit 5B")</f>
        <v>21-58 35th Street, Unit 5B</v>
      </c>
      <c r="C1114" s="25" t="s">
        <v>22</v>
      </c>
      <c r="D1114" s="26" t="s">
        <v>23</v>
      </c>
      <c r="E1114" s="27" t="str">
        <f>HYPERLINK("https://www.compass.com/building/21-58-35th-st-queens-ny-11105/307455432805107301/","21-58 35th St")</f>
        <v>21-58 35th St</v>
      </c>
      <c r="F1114" s="25" t="s">
        <v>68</v>
      </c>
      <c r="G1114" s="28">
        <v>260000.0</v>
      </c>
      <c r="H1114" s="29"/>
      <c r="I1114" s="28">
        <v>1209.0</v>
      </c>
      <c r="J1114" s="28">
        <v>0.0</v>
      </c>
      <c r="K1114" s="25" t="s">
        <v>25</v>
      </c>
      <c r="L1114" s="26">
        <v>4.0</v>
      </c>
      <c r="M1114" s="26">
        <v>2.0</v>
      </c>
      <c r="N1114" s="26">
        <v>1.0</v>
      </c>
      <c r="O1114" s="26">
        <v>0.0</v>
      </c>
      <c r="P1114" s="30"/>
      <c r="Q1114" s="35">
        <v>517.0</v>
      </c>
      <c r="R1114" s="32">
        <v>45856.0</v>
      </c>
      <c r="S1114" s="32">
        <v>45346.0</v>
      </c>
      <c r="T1114" s="29"/>
      <c r="U1114" s="33"/>
      <c r="V1114" s="1"/>
    </row>
    <row r="1115" ht="24.0" customHeight="1">
      <c r="A1115" s="1"/>
      <c r="B1115" s="24" t="str">
        <f>HYPERLINK("https://www.compass.com/listing/1314-virginia-avenue-unit-5a-bronx-ny-10462/1842152212317865993/view?agent_id=610d3f3370540700019b0833","1314 Virginia Avenue, Unit 5A")</f>
        <v>1314 Virginia Avenue, Unit 5A</v>
      </c>
      <c r="C1115" s="25" t="s">
        <v>22</v>
      </c>
      <c r="D1115" s="26" t="s">
        <v>23</v>
      </c>
      <c r="E1115" s="27" t="str">
        <f>HYPERLINK("https://www.compass.com/building/1314-virginia-ave-bronx-ny-10462/293528156453745749/","1314 Virginia Ave")</f>
        <v>1314 Virginia Ave</v>
      </c>
      <c r="F1115" s="25" t="s">
        <v>129</v>
      </c>
      <c r="G1115" s="28">
        <v>370000.0</v>
      </c>
      <c r="H1115" s="28">
        <v>446.0</v>
      </c>
      <c r="I1115" s="28">
        <v>1161.0</v>
      </c>
      <c r="J1115" s="28">
        <v>747.0</v>
      </c>
      <c r="K1115" s="25" t="s">
        <v>28</v>
      </c>
      <c r="L1115" s="26">
        <v>3.0</v>
      </c>
      <c r="M1115" s="26">
        <v>2.0</v>
      </c>
      <c r="N1115" s="26">
        <v>1.0</v>
      </c>
      <c r="O1115" s="30"/>
      <c r="P1115" s="26">
        <v>829.0</v>
      </c>
      <c r="Q1115" s="35">
        <v>70.0</v>
      </c>
      <c r="R1115" s="32">
        <v>45863.0</v>
      </c>
      <c r="S1115" s="32">
        <v>45793.0</v>
      </c>
      <c r="T1115" s="29"/>
      <c r="U1115" s="33"/>
      <c r="V1115" s="1"/>
    </row>
    <row r="1116" ht="24.0" customHeight="1">
      <c r="A1116" s="1"/>
      <c r="B1116" s="24" t="str">
        <f>HYPERLINK("https://www.compass.com/listing/21-05-33rd-street-unit-5d-queens-ny-11105/1667539175529512689/view?agent_id=610d3f3370540700019b0833","21-05 33rd Street, Unit 5D")</f>
        <v>21-05 33rd Street, Unit 5D</v>
      </c>
      <c r="C1116" s="25" t="s">
        <v>22</v>
      </c>
      <c r="D1116" s="26" t="s">
        <v>23</v>
      </c>
      <c r="E1116" s="27" t="str">
        <f t="shared" ref="E1116:E1117" si="6">HYPERLINK("https://www.compass.com/building/21-05-33rd-st-queens-ny-11105/293533987920510821/","21-05 33rd St")</f>
        <v>21-05 33rd St</v>
      </c>
      <c r="F1116" s="25" t="s">
        <v>68</v>
      </c>
      <c r="G1116" s="28">
        <v>340000.0</v>
      </c>
      <c r="H1116" s="29"/>
      <c r="I1116" s="28">
        <v>1352.0</v>
      </c>
      <c r="J1116" s="28">
        <v>0.0</v>
      </c>
      <c r="K1116" s="25" t="s">
        <v>25</v>
      </c>
      <c r="L1116" s="26">
        <v>4.0</v>
      </c>
      <c r="M1116" s="26">
        <v>2.0</v>
      </c>
      <c r="N1116" s="26">
        <v>1.0</v>
      </c>
      <c r="O1116" s="26">
        <v>0.0</v>
      </c>
      <c r="P1116" s="30"/>
      <c r="Q1116" s="35">
        <v>307.0</v>
      </c>
      <c r="R1116" s="32">
        <v>45863.0</v>
      </c>
      <c r="S1116" s="32">
        <v>45552.0</v>
      </c>
      <c r="T1116" s="29"/>
      <c r="U1116" s="33"/>
      <c r="V1116" s="1"/>
    </row>
    <row r="1117" ht="24.0" customHeight="1">
      <c r="A1117" s="1"/>
      <c r="B1117" s="24" t="str">
        <f>HYPERLINK("https://www.compass.com/listing/21-05-33rd-street-unit-5f-queens-ny-11105/1587890277420258865/view?agent_id=610d3f3370540700019b0833","21-05 33rd Street, Unit 5F")</f>
        <v>21-05 33rd Street, Unit 5F</v>
      </c>
      <c r="C1117" s="25" t="s">
        <v>22</v>
      </c>
      <c r="D1117" s="26" t="s">
        <v>23</v>
      </c>
      <c r="E1117" s="27" t="str">
        <f t="shared" si="6"/>
        <v>21-05 33rd St</v>
      </c>
      <c r="F1117" s="25" t="s">
        <v>68</v>
      </c>
      <c r="G1117" s="28">
        <v>270000.0</v>
      </c>
      <c r="H1117" s="28">
        <v>386.0</v>
      </c>
      <c r="I1117" s="28">
        <v>1311.0</v>
      </c>
      <c r="J1117" s="28">
        <v>0.0</v>
      </c>
      <c r="K1117" s="25" t="s">
        <v>25</v>
      </c>
      <c r="L1117" s="26">
        <v>4.0</v>
      </c>
      <c r="M1117" s="26">
        <v>2.0</v>
      </c>
      <c r="N1117" s="26">
        <v>1.0</v>
      </c>
      <c r="O1117" s="30"/>
      <c r="P1117" s="26">
        <v>700.0</v>
      </c>
      <c r="Q1117" s="35">
        <v>421.0</v>
      </c>
      <c r="R1117" s="32">
        <v>45804.0</v>
      </c>
      <c r="S1117" s="32">
        <v>45442.0</v>
      </c>
      <c r="T1117" s="29"/>
      <c r="U1117" s="33"/>
      <c r="V1117" s="1"/>
    </row>
    <row r="1118" ht="24.0" customHeight="1">
      <c r="A1118" s="1"/>
      <c r="B1118" s="24" t="str">
        <f>HYPERLINK("https://www.compass.com/listing/21-78-35th-street-unit-5f-queens-ny-11105/1587893322820463929/view?agent_id=610d3f3370540700019b0833","21-78 35th Street, Unit 5F")</f>
        <v>21-78 35th Street, Unit 5F</v>
      </c>
      <c r="C1118" s="25" t="s">
        <v>22</v>
      </c>
      <c r="D1118" s="26" t="s">
        <v>23</v>
      </c>
      <c r="E1118" s="27" t="str">
        <f>HYPERLINK("https://www.compass.com/building/21-78-35th-st-queens-ny-11105/307444804841279669/","21-78 35th St")</f>
        <v>21-78 35th St</v>
      </c>
      <c r="F1118" s="25" t="s">
        <v>68</v>
      </c>
      <c r="G1118" s="28">
        <v>270000.0</v>
      </c>
      <c r="H1118" s="28">
        <v>386.0</v>
      </c>
      <c r="I1118" s="28">
        <v>1311.0</v>
      </c>
      <c r="J1118" s="28">
        <v>0.0</v>
      </c>
      <c r="K1118" s="25" t="s">
        <v>25</v>
      </c>
      <c r="L1118" s="26">
        <v>4.0</v>
      </c>
      <c r="M1118" s="26">
        <v>2.0</v>
      </c>
      <c r="N1118" s="26">
        <v>1.0</v>
      </c>
      <c r="O1118" s="30"/>
      <c r="P1118" s="26">
        <v>700.0</v>
      </c>
      <c r="Q1118" s="35">
        <v>421.0</v>
      </c>
      <c r="R1118" s="32">
        <v>45804.0</v>
      </c>
      <c r="S1118" s="32">
        <v>45442.0</v>
      </c>
      <c r="T1118" s="29"/>
      <c r="U1118" s="33"/>
      <c r="V1118" s="1"/>
    </row>
    <row r="1119" ht="24.0" customHeight="1">
      <c r="A1119" s="1"/>
      <c r="B1119" s="24" t="str">
        <f>HYPERLINK("https://www.compass.com/listing/3135-johnson-avenue-unit-9a-bronx-ny-10463/1847525540248032113/view?agent_id=610d3f3370540700019b0833","3135 Johnson Avenue, Unit 9A")</f>
        <v>3135 Johnson Avenue, Unit 9A</v>
      </c>
      <c r="C1119" s="25" t="s">
        <v>22</v>
      </c>
      <c r="D1119" s="26" t="s">
        <v>23</v>
      </c>
      <c r="E1119" s="27" t="str">
        <f>HYPERLINK("https://www.compass.com/building/3135-johnson-ave-bronx-ny-10463/293417935991558613/","3135 Johnson Ave")</f>
        <v>3135 Johnson Ave</v>
      </c>
      <c r="F1119" s="25" t="s">
        <v>89</v>
      </c>
      <c r="G1119" s="28">
        <v>359000.0</v>
      </c>
      <c r="H1119" s="28">
        <v>368.0</v>
      </c>
      <c r="I1119" s="28">
        <v>1270.0</v>
      </c>
      <c r="J1119" s="29"/>
      <c r="K1119" s="25" t="s">
        <v>25</v>
      </c>
      <c r="L1119" s="26">
        <v>4.0</v>
      </c>
      <c r="M1119" s="26">
        <v>2.0</v>
      </c>
      <c r="N1119" s="26">
        <v>1.0</v>
      </c>
      <c r="O1119" s="30"/>
      <c r="P1119" s="26">
        <v>975.0</v>
      </c>
      <c r="Q1119" s="35">
        <v>62.0</v>
      </c>
      <c r="R1119" s="32">
        <v>45861.0</v>
      </c>
      <c r="S1119" s="32">
        <v>45800.0</v>
      </c>
      <c r="T1119" s="29"/>
      <c r="U1119" s="33"/>
      <c r="V1119" s="1"/>
    </row>
    <row r="1120" ht="24.0" customHeight="1">
      <c r="A1120" s="1"/>
      <c r="B1120" s="24" t="str">
        <f>HYPERLINK("https://www.compass.com/listing/21-67-33rd-street-unit-f4-queens-ny-11105/1840860814855173049/view?agent_id=610d3f3370540700019b0833","21-67 33rd Street, Unit F4")</f>
        <v>21-67 33rd Street, Unit F4</v>
      </c>
      <c r="C1120" s="25" t="s">
        <v>22</v>
      </c>
      <c r="D1120" s="26" t="s">
        <v>23</v>
      </c>
      <c r="E1120" s="27" t="str">
        <f>HYPERLINK("https://www.compass.com/building/21-67-33rd-st-queens-ny-11105/294841651054755861/","21-67 33rd St")</f>
        <v>21-67 33rd St</v>
      </c>
      <c r="F1120" s="25" t="s">
        <v>68</v>
      </c>
      <c r="G1120" s="28">
        <v>375000.0</v>
      </c>
      <c r="H1120" s="29"/>
      <c r="I1120" s="28">
        <v>1337.0</v>
      </c>
      <c r="J1120" s="28">
        <v>0.0</v>
      </c>
      <c r="K1120" s="25" t="s">
        <v>25</v>
      </c>
      <c r="L1120" s="26">
        <v>4.0</v>
      </c>
      <c r="M1120" s="26">
        <v>2.0</v>
      </c>
      <c r="N1120" s="26">
        <v>1.0</v>
      </c>
      <c r="O1120" s="26">
        <v>0.0</v>
      </c>
      <c r="P1120" s="30"/>
      <c r="Q1120" s="35">
        <v>161.0</v>
      </c>
      <c r="R1120" s="32">
        <v>45818.0</v>
      </c>
      <c r="S1120" s="32">
        <v>45702.0</v>
      </c>
      <c r="T1120" s="29"/>
      <c r="U1120" s="33"/>
      <c r="V1120" s="1"/>
    </row>
    <row r="1121" ht="24.0" customHeight="1">
      <c r="A1121" s="1"/>
      <c r="B1121" s="24" t="str">
        <f>HYPERLINK("https://www.compass.com/listing/21-27-33rd-street-unit-5b-queens-ny-11105/1687769061956708409/view?agent_id=610d3f3370540700019b0833","21-27 33rd Street, Unit 5B")</f>
        <v>21-27 33rd Street, Unit 5B</v>
      </c>
      <c r="C1121" s="25" t="s">
        <v>22</v>
      </c>
      <c r="D1121" s="26" t="s">
        <v>23</v>
      </c>
      <c r="E1121" s="27" t="str">
        <f>HYPERLINK("https://www.compass.com/building/acropolis-gardens-queens-ny/294838969124527685/","Acropolis Gardens")</f>
        <v>Acropolis Gardens</v>
      </c>
      <c r="F1121" s="25" t="s">
        <v>68</v>
      </c>
      <c r="G1121" s="28">
        <v>349000.0</v>
      </c>
      <c r="H1121" s="29"/>
      <c r="I1121" s="28">
        <v>1208.0</v>
      </c>
      <c r="J1121" s="28">
        <v>0.0</v>
      </c>
      <c r="K1121" s="25" t="s">
        <v>25</v>
      </c>
      <c r="L1121" s="26">
        <v>5.0</v>
      </c>
      <c r="M1121" s="26">
        <v>2.0</v>
      </c>
      <c r="N1121" s="26">
        <v>1.0</v>
      </c>
      <c r="O1121" s="30"/>
      <c r="P1121" s="30"/>
      <c r="Q1121" s="35">
        <v>283.0</v>
      </c>
      <c r="R1121" s="32">
        <v>45792.0</v>
      </c>
      <c r="S1121" s="32">
        <v>45580.0</v>
      </c>
      <c r="T1121" s="29"/>
      <c r="U1121" s="33"/>
      <c r="V1121" s="1"/>
    </row>
    <row r="1122" ht="24.0" customHeight="1">
      <c r="A1122" s="1"/>
      <c r="B1122" s="24" t="str">
        <f>HYPERLINK("https://www.compass.com/listing/4601-henry-hudson-parkway-west-unit-c9-bronx-ny-10471/1677467633740843313/view?agent_id=610d3f3370540700019b0833","4601 Henry Hudson Parkway West, Unit C9")</f>
        <v>4601 Henry Hudson Parkway West, Unit C9</v>
      </c>
      <c r="C1122" s="25" t="s">
        <v>22</v>
      </c>
      <c r="D1122" s="26" t="s">
        <v>23</v>
      </c>
      <c r="E1122" s="27" t="str">
        <f>HYPERLINK("https://www.compass.com/building/dogwood-close-bronx-ny/293535446078617813/","Dogwood Close")</f>
        <v>Dogwood Close</v>
      </c>
      <c r="F1122" s="25" t="s">
        <v>76</v>
      </c>
      <c r="G1122" s="28">
        <v>495000.0</v>
      </c>
      <c r="H1122" s="29"/>
      <c r="I1122" s="28">
        <v>2000.0</v>
      </c>
      <c r="J1122" s="28">
        <v>0.0</v>
      </c>
      <c r="K1122" s="25" t="s">
        <v>25</v>
      </c>
      <c r="L1122" s="26">
        <v>4.0</v>
      </c>
      <c r="M1122" s="26">
        <v>2.0</v>
      </c>
      <c r="N1122" s="26">
        <v>1.0</v>
      </c>
      <c r="O1122" s="30"/>
      <c r="P1122" s="30"/>
      <c r="Q1122" s="35">
        <v>298.0</v>
      </c>
      <c r="R1122" s="32">
        <v>45566.0</v>
      </c>
      <c r="S1122" s="32">
        <v>45565.0</v>
      </c>
      <c r="T1122" s="29"/>
      <c r="U1122" s="33"/>
      <c r="V1122" s="1"/>
    </row>
    <row r="1123" ht="24.0" customHeight="1">
      <c r="A1123" s="1"/>
      <c r="B1123" s="24" t="str">
        <f>HYPERLINK("https://www.compass.com/listing/88-08-32nd-avenue-unit-304-queens-ny-11369/1779520659171719577/view?agent_id=610d3f3370540700019b0833","88-08 32nd Avenue, Unit 304")</f>
        <v>88-08 32nd Avenue, Unit 304</v>
      </c>
      <c r="C1123" s="25" t="s">
        <v>22</v>
      </c>
      <c r="D1123" s="26" t="s">
        <v>23</v>
      </c>
      <c r="E1123" s="27" t="str">
        <f>HYPERLINK("https://www.compass.com/building/88-08-32nd-ave-queens-ny-11369/436389271239772773/","88-08 32nd Ave")</f>
        <v>88-08 32nd Ave</v>
      </c>
      <c r="F1123" s="25" t="s">
        <v>33</v>
      </c>
      <c r="G1123" s="28">
        <v>359000.0</v>
      </c>
      <c r="H1123" s="28">
        <v>399.0</v>
      </c>
      <c r="I1123" s="28">
        <v>903.0</v>
      </c>
      <c r="J1123" s="28">
        <v>0.0</v>
      </c>
      <c r="K1123" s="25" t="s">
        <v>25</v>
      </c>
      <c r="L1123" s="26">
        <v>5.0</v>
      </c>
      <c r="M1123" s="26">
        <v>2.0</v>
      </c>
      <c r="N1123" s="26">
        <v>1.0</v>
      </c>
      <c r="O1123" s="30"/>
      <c r="P1123" s="26">
        <v>900.0</v>
      </c>
      <c r="Q1123" s="35">
        <v>157.0</v>
      </c>
      <c r="R1123" s="32">
        <v>45707.0</v>
      </c>
      <c r="S1123" s="32">
        <v>45706.0</v>
      </c>
      <c r="T1123" s="29"/>
      <c r="U1123" s="33"/>
      <c r="V1123" s="1"/>
    </row>
    <row r="1124" ht="24.0" customHeight="1">
      <c r="A1124" s="1"/>
      <c r="B1124" s="24" t="str">
        <f>HYPERLINK("https://www.compass.com/listing/21-67-33rd-street-unit-f4-queens-ny-11105/1864008224411357057/view?agent_id=610d3f3370540700019b0833","21-67 33rd Street, Unit F4")</f>
        <v>21-67 33rd Street, Unit F4</v>
      </c>
      <c r="C1124" s="25" t="s">
        <v>22</v>
      </c>
      <c r="D1124" s="26" t="s">
        <v>23</v>
      </c>
      <c r="E1124" s="27" t="str">
        <f>HYPERLINK("https://www.compass.com/building/21-67-33rd-st-queens-ny-11105/294841651054755861/","21-67 33rd St")</f>
        <v>21-67 33rd St</v>
      </c>
      <c r="F1124" s="25" t="s">
        <v>68</v>
      </c>
      <c r="G1124" s="28">
        <v>349000.0</v>
      </c>
      <c r="H1124" s="29"/>
      <c r="I1124" s="28">
        <v>1337.0</v>
      </c>
      <c r="J1124" s="28">
        <v>0.0</v>
      </c>
      <c r="K1124" s="25" t="s">
        <v>25</v>
      </c>
      <c r="L1124" s="26">
        <v>4.0</v>
      </c>
      <c r="M1124" s="26">
        <v>2.0</v>
      </c>
      <c r="N1124" s="26">
        <v>1.0</v>
      </c>
      <c r="O1124" s="26">
        <v>0.0</v>
      </c>
      <c r="P1124" s="30"/>
      <c r="Q1124" s="35">
        <v>161.0</v>
      </c>
      <c r="R1124" s="32">
        <v>45863.0</v>
      </c>
      <c r="S1124" s="32">
        <v>45702.0</v>
      </c>
      <c r="T1124" s="29"/>
      <c r="U1124" s="33"/>
      <c r="V1124" s="1"/>
    </row>
    <row r="1125" ht="24.0" customHeight="1">
      <c r="A1125" s="1"/>
      <c r="B1125" s="24" t="str">
        <f>HYPERLINK("https://www.compass.com/listing/249-29-64th-avenue-unit-2-queens-ny-11362/1865998453443764889/view?agent_id=610d3f3370540700019b0833","249-29 64th Avenue, Unit 2")</f>
        <v>249-29 64th Avenue, Unit 2</v>
      </c>
      <c r="C1125" s="25" t="s">
        <v>22</v>
      </c>
      <c r="D1125" s="26" t="s">
        <v>23</v>
      </c>
      <c r="E1125" s="27" t="str">
        <f>HYPERLINK("https://www.compass.com/building/249-29-64th-ave-queens-ny-11362/307447005357827573/","249-29 64th Ave")</f>
        <v>249-29 64th Ave</v>
      </c>
      <c r="F1125" s="25" t="s">
        <v>158</v>
      </c>
      <c r="G1125" s="28">
        <v>438000.0</v>
      </c>
      <c r="H1125" s="28">
        <v>456.0</v>
      </c>
      <c r="I1125" s="28">
        <v>1166.0</v>
      </c>
      <c r="J1125" s="29"/>
      <c r="K1125" s="25" t="s">
        <v>25</v>
      </c>
      <c r="L1125" s="26">
        <v>5.0</v>
      </c>
      <c r="M1125" s="26">
        <v>2.0</v>
      </c>
      <c r="N1125" s="26">
        <v>1.0</v>
      </c>
      <c r="O1125" s="30"/>
      <c r="P1125" s="26">
        <v>960.0</v>
      </c>
      <c r="Q1125" s="35">
        <v>37.0</v>
      </c>
      <c r="R1125" s="32">
        <v>45862.0</v>
      </c>
      <c r="S1125" s="32">
        <v>45826.0</v>
      </c>
      <c r="T1125" s="29"/>
      <c r="U1125" s="33"/>
      <c r="V1125" s="1"/>
    </row>
    <row r="1126" ht="24.0" customHeight="1">
      <c r="A1126" s="1"/>
      <c r="B1126" s="24" t="str">
        <f>HYPERLINK("https://www.compass.com/listing/21-67-33rd-street-unit-f4-queens-ny-11105/1832384930855311033/view?agent_id=610d3f3370540700019b0833","21-67 33rd Street, Unit F4")</f>
        <v>21-67 33rd Street, Unit F4</v>
      </c>
      <c r="C1126" s="25" t="s">
        <v>22</v>
      </c>
      <c r="D1126" s="26" t="s">
        <v>23</v>
      </c>
      <c r="E1126" s="27" t="str">
        <f t="shared" ref="E1126:E1127" si="7">HYPERLINK("https://www.compass.com/building/21-67-33rd-st-queens-ny-11105/294841651054755861/","21-67 33rd St")</f>
        <v>21-67 33rd St</v>
      </c>
      <c r="F1126" s="25" t="s">
        <v>68</v>
      </c>
      <c r="G1126" s="28">
        <v>379000.0</v>
      </c>
      <c r="H1126" s="29"/>
      <c r="I1126" s="28">
        <v>1337.0</v>
      </c>
      <c r="J1126" s="28">
        <v>0.0</v>
      </c>
      <c r="K1126" s="25" t="s">
        <v>25</v>
      </c>
      <c r="L1126" s="26">
        <v>4.0</v>
      </c>
      <c r="M1126" s="26">
        <v>2.0</v>
      </c>
      <c r="N1126" s="26">
        <v>1.0</v>
      </c>
      <c r="O1126" s="26">
        <v>0.0</v>
      </c>
      <c r="P1126" s="30"/>
      <c r="Q1126" s="35">
        <v>161.0</v>
      </c>
      <c r="R1126" s="32">
        <v>45812.0</v>
      </c>
      <c r="S1126" s="32">
        <v>45702.0</v>
      </c>
      <c r="T1126" s="29"/>
      <c r="U1126" s="33"/>
      <c r="V1126" s="1"/>
    </row>
    <row r="1127" ht="24.0" customHeight="1">
      <c r="A1127" s="1"/>
      <c r="B1127" s="24" t="str">
        <f>HYPERLINK("https://www.compass.com/listing/21-67-33rd-street-unit-3a-queens-ny-11105/1748680028068330033/view?agent_id=610d3f3370540700019b0833","21-67 33rd Street, Unit 3A")</f>
        <v>21-67 33rd Street, Unit 3A</v>
      </c>
      <c r="C1127" s="25" t="s">
        <v>22</v>
      </c>
      <c r="D1127" s="26" t="s">
        <v>23</v>
      </c>
      <c r="E1127" s="27" t="str">
        <f t="shared" si="7"/>
        <v>21-67 33rd St</v>
      </c>
      <c r="F1127" s="25" t="s">
        <v>68</v>
      </c>
      <c r="G1127" s="28">
        <v>310000.0</v>
      </c>
      <c r="H1127" s="28">
        <v>388.0</v>
      </c>
      <c r="I1127" s="28">
        <v>1000.0</v>
      </c>
      <c r="J1127" s="28">
        <v>0.0</v>
      </c>
      <c r="K1127" s="25" t="s">
        <v>25</v>
      </c>
      <c r="L1127" s="26">
        <v>5.0</v>
      </c>
      <c r="M1127" s="26">
        <v>2.0</v>
      </c>
      <c r="N1127" s="26">
        <v>1.0</v>
      </c>
      <c r="O1127" s="26">
        <v>0.0</v>
      </c>
      <c r="P1127" s="26">
        <v>800.0</v>
      </c>
      <c r="Q1127" s="35">
        <v>199.0</v>
      </c>
      <c r="R1127" s="32">
        <v>45855.0</v>
      </c>
      <c r="S1127" s="32">
        <v>45664.0</v>
      </c>
      <c r="T1127" s="29"/>
      <c r="U1127" s="33"/>
      <c r="V1127" s="1"/>
    </row>
    <row r="1128" ht="24.0" customHeight="1">
      <c r="A1128" s="1"/>
      <c r="B1128" s="24" t="str">
        <f>HYPERLINK("https://www.compass.com/listing/21-37-33rd-street-unit-5b-queens-ny-11105/1520052202901406801/view?agent_id=610d3f3370540700019b0833","21-37 33rd Street, Unit 5B")</f>
        <v>21-37 33rd Street, Unit 5B</v>
      </c>
      <c r="C1128" s="25" t="s">
        <v>22</v>
      </c>
      <c r="D1128" s="26" t="s">
        <v>23</v>
      </c>
      <c r="E1128" s="27" t="str">
        <f>HYPERLINK("https://www.compass.com/building/21-37-33rd-st-queens-ny-11105/307451530374097189/","21-37 33rd St")</f>
        <v>21-37 33rd St</v>
      </c>
      <c r="F1128" s="25" t="s">
        <v>68</v>
      </c>
      <c r="G1128" s="28">
        <v>260000.0</v>
      </c>
      <c r="H1128" s="29"/>
      <c r="I1128" s="28">
        <v>1200.0</v>
      </c>
      <c r="J1128" s="28">
        <v>0.0</v>
      </c>
      <c r="K1128" s="25" t="s">
        <v>25</v>
      </c>
      <c r="L1128" s="26">
        <v>4.0</v>
      </c>
      <c r="M1128" s="26">
        <v>2.0</v>
      </c>
      <c r="N1128" s="26">
        <v>1.0</v>
      </c>
      <c r="O1128" s="30"/>
      <c r="P1128" s="30"/>
      <c r="Q1128" s="35">
        <v>515.0</v>
      </c>
      <c r="R1128" s="32">
        <v>45496.0</v>
      </c>
      <c r="S1128" s="32">
        <v>45348.0</v>
      </c>
      <c r="T1128" s="29"/>
      <c r="U1128" s="33"/>
      <c r="V1128" s="1"/>
    </row>
    <row r="1129" ht="24.0" customHeight="1">
      <c r="A1129" s="1"/>
      <c r="B1129" s="24" t="str">
        <f>HYPERLINK("https://www.compass.com/listing/829-adee-avenue-unit-2l-bronx-ny-10467/1745799031509275841/view?agent_id=610d3f3370540700019b0833","829 Adee Avenue, Unit 2L")</f>
        <v>829 Adee Avenue, Unit 2L</v>
      </c>
      <c r="C1129" s="25" t="s">
        <v>22</v>
      </c>
      <c r="D1129" s="26" t="s">
        <v>23</v>
      </c>
      <c r="E1129" s="27" t="str">
        <f>HYPERLINK("https://www.compass.com/building/829-adee-ave-bronx-ny-10467/293533032793600917/","829 Adee Ave")</f>
        <v>829 Adee Ave</v>
      </c>
      <c r="F1129" s="25" t="s">
        <v>213</v>
      </c>
      <c r="G1129" s="28">
        <v>199999.0</v>
      </c>
      <c r="H1129" s="28">
        <v>308.0</v>
      </c>
      <c r="I1129" s="28">
        <v>1105.0</v>
      </c>
      <c r="J1129" s="29"/>
      <c r="K1129" s="25" t="s">
        <v>25</v>
      </c>
      <c r="L1129" s="26">
        <v>5.0</v>
      </c>
      <c r="M1129" s="26">
        <v>2.0</v>
      </c>
      <c r="N1129" s="26">
        <v>1.0</v>
      </c>
      <c r="O1129" s="30"/>
      <c r="P1129" s="26">
        <v>650.0</v>
      </c>
      <c r="Q1129" s="35">
        <v>202.0</v>
      </c>
      <c r="R1129" s="32">
        <v>45804.0</v>
      </c>
      <c r="S1129" s="32">
        <v>45660.0</v>
      </c>
      <c r="T1129" s="29"/>
      <c r="U1129" s="33"/>
      <c r="V1129" s="1"/>
    </row>
    <row r="1130" ht="24.0" customHeight="1">
      <c r="A1130" s="1"/>
      <c r="B1130" s="24" t="str">
        <f>HYPERLINK("https://www.compass.com/listing/2517-voorhies-avenue-unit-1j-brooklyn-ny-11235/1871522795217711977/view?agent_id=610d3f3370540700019b0833","2517 Voorhies Avenue, Unit 1J")</f>
        <v>2517 Voorhies Avenue, Unit 1J</v>
      </c>
      <c r="C1130" s="25" t="s">
        <v>22</v>
      </c>
      <c r="D1130" s="26" t="s">
        <v>23</v>
      </c>
      <c r="E1130" s="27" t="str">
        <f>HYPERLINK("https://www.compass.com/building/2517-voorhies-ave-brooklyn-ny-11235/293529997904208341/","2517 Voorhies Ave")</f>
        <v>2517 Voorhies Ave</v>
      </c>
      <c r="F1130" s="25" t="s">
        <v>70</v>
      </c>
      <c r="G1130" s="28">
        <v>629000.0</v>
      </c>
      <c r="H1130" s="28">
        <v>699.0</v>
      </c>
      <c r="I1130" s="28">
        <v>384.0</v>
      </c>
      <c r="J1130" s="28">
        <v>785.0</v>
      </c>
      <c r="K1130" s="25" t="s">
        <v>28</v>
      </c>
      <c r="L1130" s="26">
        <v>4.0</v>
      </c>
      <c r="M1130" s="26">
        <v>2.0</v>
      </c>
      <c r="N1130" s="26">
        <v>1.0</v>
      </c>
      <c r="O1130" s="30"/>
      <c r="P1130" s="26">
        <v>900.0</v>
      </c>
      <c r="Q1130" s="35">
        <v>29.0</v>
      </c>
      <c r="R1130" s="32">
        <v>45834.0</v>
      </c>
      <c r="S1130" s="32">
        <v>45834.0</v>
      </c>
      <c r="T1130" s="29"/>
      <c r="U1130" s="33"/>
      <c r="V1130" s="1"/>
    </row>
    <row r="1131" ht="24.0" customHeight="1">
      <c r="A1131" s="1"/>
      <c r="B1131" s="24" t="str">
        <f>HYPERLINK("https://www.compass.com/listing/21-06-35th-street-unit-3e-queens-ny-11105/1784762994865400137/view?agent_id=610d3f3370540700019b0833","21-06 35th Street, Unit 3E")</f>
        <v>21-06 35th Street, Unit 3E</v>
      </c>
      <c r="C1131" s="25" t="s">
        <v>22</v>
      </c>
      <c r="D1131" s="26" t="s">
        <v>23</v>
      </c>
      <c r="E1131" s="27" t="str">
        <f>HYPERLINK("https://www.compass.com/building/21-06-35th-st-queens-ny-11105/307455043884067509/","21-06 35th St")</f>
        <v>21-06 35th St</v>
      </c>
      <c r="F1131" s="25" t="s">
        <v>68</v>
      </c>
      <c r="G1131" s="28">
        <v>320000.0</v>
      </c>
      <c r="H1131" s="28">
        <v>623.0</v>
      </c>
      <c r="I1131" s="28">
        <v>1457.0</v>
      </c>
      <c r="J1131" s="29"/>
      <c r="K1131" s="25" t="s">
        <v>25</v>
      </c>
      <c r="L1131" s="26">
        <v>4.0</v>
      </c>
      <c r="M1131" s="26">
        <v>2.0</v>
      </c>
      <c r="N1131" s="26">
        <v>1.0</v>
      </c>
      <c r="O1131" s="30"/>
      <c r="P1131" s="26">
        <v>514.0</v>
      </c>
      <c r="Q1131" s="35">
        <v>149.0</v>
      </c>
      <c r="R1131" s="32">
        <v>45857.0</v>
      </c>
      <c r="S1131" s="32">
        <v>45714.0</v>
      </c>
      <c r="T1131" s="29"/>
      <c r="U1131" s="33"/>
      <c r="V1131" s="1"/>
    </row>
    <row r="1132" ht="24.0" customHeight="1">
      <c r="A1132" s="1"/>
      <c r="B1132" s="24" t="str">
        <f>HYPERLINK("https://www.compass.com/listing/252-23-63rd-avenue-unit-1081-queens-ny-11362/1867491132309199617/view?agent_id=610d3f3370540700019b0833","252-23 63rd Avenue, Unit 1081")</f>
        <v>252-23 63rd Avenue, Unit 1081</v>
      </c>
      <c r="C1132" s="25" t="s">
        <v>22</v>
      </c>
      <c r="D1132" s="26" t="s">
        <v>23</v>
      </c>
      <c r="E1132" s="27" t="str">
        <f>HYPERLINK("https://www.compass.com/building/252-23-63rd-ave-queens-ny-11362/307456634523557301/","252-23 63rd Ave")</f>
        <v>252-23 63rd Ave</v>
      </c>
      <c r="F1132" s="25" t="s">
        <v>158</v>
      </c>
      <c r="G1132" s="28">
        <v>458000.0</v>
      </c>
      <c r="H1132" s="28">
        <v>458.0</v>
      </c>
      <c r="I1132" s="28">
        <v>2296.0</v>
      </c>
      <c r="J1132" s="29"/>
      <c r="K1132" s="25" t="s">
        <v>25</v>
      </c>
      <c r="L1132" s="26">
        <v>5.0</v>
      </c>
      <c r="M1132" s="26">
        <v>2.0</v>
      </c>
      <c r="N1132" s="26">
        <v>1.0</v>
      </c>
      <c r="O1132" s="30"/>
      <c r="P1132" s="34">
        <v>1000.0</v>
      </c>
      <c r="Q1132" s="35">
        <v>35.0</v>
      </c>
      <c r="R1132" s="32">
        <v>45857.0</v>
      </c>
      <c r="S1132" s="32">
        <v>45828.0</v>
      </c>
      <c r="T1132" s="29"/>
      <c r="U1132" s="33"/>
      <c r="V1132" s="1"/>
    </row>
    <row r="1133" ht="24.0" customHeight="1">
      <c r="A1133" s="1"/>
      <c r="B1133" s="24" t="str">
        <f>HYPERLINK("https://www.compass.com/listing/99-52-66th-road-unit-11w-queens-ny-11374/1876258042543243737/view?agent_id=610d3f3370540700019b0833","99-52 66th Road, Unit 11W")</f>
        <v>99-52 66th Road, Unit 11W</v>
      </c>
      <c r="C1133" s="25" t="s">
        <v>22</v>
      </c>
      <c r="D1133" s="26" t="s">
        <v>23</v>
      </c>
      <c r="E1133" s="27" t="str">
        <f>HYPERLINK("https://www.compass.com/building/99-52-66th-rd-queens-ny-11374/294836441410345637/","99-52 66th Rd")</f>
        <v>99-52 66th Rd</v>
      </c>
      <c r="F1133" s="25" t="s">
        <v>166</v>
      </c>
      <c r="G1133" s="28">
        <v>429000.0</v>
      </c>
      <c r="H1133" s="28">
        <v>477.0</v>
      </c>
      <c r="I1133" s="28">
        <v>1208.0</v>
      </c>
      <c r="J1133" s="29"/>
      <c r="K1133" s="25" t="s">
        <v>25</v>
      </c>
      <c r="L1133" s="26">
        <v>3.0</v>
      </c>
      <c r="M1133" s="26">
        <v>2.0</v>
      </c>
      <c r="N1133" s="26">
        <v>1.0</v>
      </c>
      <c r="O1133" s="30"/>
      <c r="P1133" s="26">
        <v>900.0</v>
      </c>
      <c r="Q1133" s="35">
        <v>23.0</v>
      </c>
      <c r="R1133" s="32">
        <v>45863.0</v>
      </c>
      <c r="S1133" s="32">
        <v>45840.0</v>
      </c>
      <c r="T1133" s="29"/>
      <c r="U1133" s="33"/>
      <c r="V1133" s="1"/>
    </row>
    <row r="1134" ht="24.0" customHeight="1">
      <c r="A1134" s="1"/>
      <c r="B1134" s="24" t="str">
        <f>HYPERLINK("https://www.compass.com/listing/950-hoe-avenue-unit-4c-bronx-ny-10459/1378349408304693841/view?agent_id=610d3f3370540700019b0833","950 Hoe Avenue, Unit 4C")</f>
        <v>950 Hoe Avenue, Unit 4C</v>
      </c>
      <c r="C1134" s="25" t="s">
        <v>22</v>
      </c>
      <c r="D1134" s="26" t="s">
        <v>23</v>
      </c>
      <c r="E1134" s="27" t="str">
        <f>HYPERLINK("https://www.compass.com/building/950-hoe-ave-bronx-ny-10459/293533176045788533/","950 Hoe Ave")</f>
        <v>950 Hoe Ave</v>
      </c>
      <c r="F1134" s="25" t="s">
        <v>134</v>
      </c>
      <c r="G1134" s="28">
        <v>125000.0</v>
      </c>
      <c r="H1134" s="28">
        <v>167.0</v>
      </c>
      <c r="I1134" s="28">
        <v>972.0</v>
      </c>
      <c r="J1134" s="29"/>
      <c r="K1134" s="25" t="s">
        <v>25</v>
      </c>
      <c r="L1134" s="26">
        <v>5.0</v>
      </c>
      <c r="M1134" s="26">
        <v>2.0</v>
      </c>
      <c r="N1134" s="26">
        <v>1.0</v>
      </c>
      <c r="O1134" s="30"/>
      <c r="P1134" s="26">
        <v>750.0</v>
      </c>
      <c r="Q1134" s="35">
        <v>710.0</v>
      </c>
      <c r="R1134" s="32">
        <v>45731.0</v>
      </c>
      <c r="S1134" s="32">
        <v>45153.0</v>
      </c>
      <c r="T1134" s="29"/>
      <c r="U1134" s="33"/>
      <c r="V1134" s="1"/>
    </row>
    <row r="1135" ht="24.0" customHeight="1">
      <c r="A1135" s="1"/>
      <c r="B1135" s="24" t="str">
        <f>HYPERLINK("https://www.compass.com/listing/252-23-63rd-avenue-unit-1-queens-ny-11362/1871134122332164617/view?agent_id=610d3f3370540700019b0833","252-23 63rd Avenue, Unit 1")</f>
        <v>252-23 63rd Avenue, Unit 1</v>
      </c>
      <c r="C1135" s="25" t="s">
        <v>22</v>
      </c>
      <c r="D1135" s="26" t="s">
        <v>23</v>
      </c>
      <c r="E1135" s="27" t="str">
        <f>HYPERLINK("https://www.compass.com/building/252-23-63rd-ave-queens-ny-11362/307456634523557301/","252-23 63rd Ave")</f>
        <v>252-23 63rd Ave</v>
      </c>
      <c r="F1135" s="25" t="s">
        <v>158</v>
      </c>
      <c r="G1135" s="28">
        <v>458000.0</v>
      </c>
      <c r="H1135" s="28">
        <v>458.0</v>
      </c>
      <c r="I1135" s="28">
        <v>1032.0</v>
      </c>
      <c r="J1135" s="29"/>
      <c r="K1135" s="25" t="s">
        <v>25</v>
      </c>
      <c r="L1135" s="26">
        <v>5.0</v>
      </c>
      <c r="M1135" s="26">
        <v>2.0</v>
      </c>
      <c r="N1135" s="30"/>
      <c r="O1135" s="30"/>
      <c r="P1135" s="34">
        <v>1000.0</v>
      </c>
      <c r="Q1135" s="35">
        <v>35.0</v>
      </c>
      <c r="R1135" s="32">
        <v>45859.0</v>
      </c>
      <c r="S1135" s="32">
        <v>45828.0</v>
      </c>
      <c r="T1135" s="29"/>
      <c r="U1135" s="33"/>
      <c r="V1135" s="1"/>
    </row>
    <row r="1136" ht="24.0" customHeight="1">
      <c r="A1136" s="1"/>
      <c r="B1136" s="24" t="str">
        <f>HYPERLINK("https://www.compass.com/listing/2750-olinville-avenue-unit-1k-bronx-ny-10467/1814737507963731249/view?agent_id=610d3f3370540700019b0833","2750 Olinville Avenue, Unit 1K")</f>
        <v>2750 Olinville Avenue, Unit 1K</v>
      </c>
      <c r="C1136" s="25" t="s">
        <v>22</v>
      </c>
      <c r="D1136" s="26" t="s">
        <v>23</v>
      </c>
      <c r="E1136" s="27" t="str">
        <f>HYPERLINK("https://www.compass.com/building/2750-olinville-ave-bronx-ny-10467/293533598739399269/","2750 Olinville Ave")</f>
        <v>2750 Olinville Ave</v>
      </c>
      <c r="F1136" s="25" t="s">
        <v>213</v>
      </c>
      <c r="G1136" s="28">
        <v>269999.0</v>
      </c>
      <c r="H1136" s="28">
        <v>300.0</v>
      </c>
      <c r="I1136" s="28">
        <v>993.0</v>
      </c>
      <c r="J1136" s="29"/>
      <c r="K1136" s="25" t="s">
        <v>25</v>
      </c>
      <c r="L1136" s="26">
        <v>4.0</v>
      </c>
      <c r="M1136" s="26">
        <v>2.0</v>
      </c>
      <c r="N1136" s="26">
        <v>1.0</v>
      </c>
      <c r="O1136" s="30"/>
      <c r="P1136" s="26">
        <v>900.0</v>
      </c>
      <c r="Q1136" s="35">
        <v>108.0</v>
      </c>
      <c r="R1136" s="32">
        <v>45860.0</v>
      </c>
      <c r="S1136" s="32">
        <v>45755.0</v>
      </c>
      <c r="T1136" s="29"/>
      <c r="U1136" s="33"/>
      <c r="V1136" s="1"/>
    </row>
    <row r="1137" ht="24.0" customHeight="1">
      <c r="A1137" s="1"/>
      <c r="B1137" s="24" t="str">
        <f>HYPERLINK("https://www.compass.com/listing/1722-purdy-street-unit-5a-bronx-ny-10462/1794558394006184777/view?agent_id=610d3f3370540700019b0833","1722 Purdy Street, Unit 5A")</f>
        <v>1722 Purdy Street, Unit 5A</v>
      </c>
      <c r="C1137" s="25" t="s">
        <v>22</v>
      </c>
      <c r="D1137" s="26" t="s">
        <v>23</v>
      </c>
      <c r="E1137" s="27" t="str">
        <f>HYPERLINK("https://www.compass.com/building/1722-purdy-st-bronx-ny-10462/293535173776040901/","1722 Purdy St")</f>
        <v>1722 Purdy St</v>
      </c>
      <c r="F1137" s="25" t="s">
        <v>129</v>
      </c>
      <c r="G1137" s="28">
        <v>269000.0</v>
      </c>
      <c r="H1137" s="28">
        <v>351.0</v>
      </c>
      <c r="I1137" s="28">
        <v>1192.0</v>
      </c>
      <c r="J1137" s="28">
        <v>1668.0</v>
      </c>
      <c r="K1137" s="25" t="s">
        <v>28</v>
      </c>
      <c r="L1137" s="26">
        <v>4.0</v>
      </c>
      <c r="M1137" s="26">
        <v>2.0</v>
      </c>
      <c r="N1137" s="26">
        <v>1.0</v>
      </c>
      <c r="O1137" s="30"/>
      <c r="P1137" s="26">
        <v>766.0</v>
      </c>
      <c r="Q1137" s="35">
        <v>135.0</v>
      </c>
      <c r="R1137" s="32">
        <v>45782.0</v>
      </c>
      <c r="S1137" s="32">
        <v>45727.0</v>
      </c>
      <c r="T1137" s="29"/>
      <c r="U1137" s="33"/>
      <c r="V1137" s="1"/>
    </row>
    <row r="1138" ht="24.0" customHeight="1">
      <c r="A1138" s="1"/>
      <c r="B1138" s="24" t="str">
        <f>HYPERLINK("https://www.compass.com/listing/754-brady-avenue-unit-303-bronx-ny-10462/1553553825993168761/view?agent_id=610d3f3370540700019b0833","754 Brady Avenue, Unit 303")</f>
        <v>754 Brady Avenue, Unit 303</v>
      </c>
      <c r="C1138" s="25" t="s">
        <v>22</v>
      </c>
      <c r="D1138" s="26" t="s">
        <v>23</v>
      </c>
      <c r="E1138" s="27" t="str">
        <f>HYPERLINK("https://www.compass.com/building/brady-court-bronx-ny/293418292549346885/","Brady Court")</f>
        <v>Brady Court</v>
      </c>
      <c r="F1138" s="25" t="s">
        <v>147</v>
      </c>
      <c r="G1138" s="28">
        <v>219000.0</v>
      </c>
      <c r="H1138" s="29"/>
      <c r="I1138" s="28">
        <v>897.0</v>
      </c>
      <c r="J1138" s="28">
        <v>0.0</v>
      </c>
      <c r="K1138" s="25" t="s">
        <v>25</v>
      </c>
      <c r="L1138" s="26">
        <v>5.0</v>
      </c>
      <c r="M1138" s="26">
        <v>2.0</v>
      </c>
      <c r="N1138" s="26">
        <v>1.0</v>
      </c>
      <c r="O1138" s="30"/>
      <c r="P1138" s="30"/>
      <c r="Q1138" s="35">
        <v>469.0</v>
      </c>
      <c r="R1138" s="32">
        <v>45395.0</v>
      </c>
      <c r="S1138" s="32">
        <v>45394.0</v>
      </c>
      <c r="T1138" s="29"/>
      <c r="U1138" s="33"/>
      <c r="V1138" s="1"/>
    </row>
    <row r="1139" ht="24.0" customHeight="1">
      <c r="A1139" s="1"/>
      <c r="B1139" s="24" t="str">
        <f>HYPERLINK("https://www.compass.com/listing/139-15-83rd-avenue-unit-101-queens-ny-11435/1857724224906777441/view?agent_id=610d3f3370540700019b0833","139-15 83rd Avenue, Unit 101")</f>
        <v>139-15 83rd Avenue, Unit 101</v>
      </c>
      <c r="C1139" s="25" t="s">
        <v>22</v>
      </c>
      <c r="D1139" s="26" t="s">
        <v>23</v>
      </c>
      <c r="E1139" s="27" t="str">
        <f>HYPERLINK("https://www.compass.com/building/139-15-83rd-ave-queens-ny-11435/293531355952770837/","139-15 83rd Ave")</f>
        <v>139-15 83rd Ave</v>
      </c>
      <c r="F1139" s="25" t="s">
        <v>146</v>
      </c>
      <c r="G1139" s="28">
        <v>319999.0</v>
      </c>
      <c r="H1139" s="28">
        <v>337.0</v>
      </c>
      <c r="I1139" s="28">
        <v>0.0</v>
      </c>
      <c r="J1139" s="29"/>
      <c r="K1139" s="25" t="s">
        <v>25</v>
      </c>
      <c r="L1139" s="26">
        <v>4.0</v>
      </c>
      <c r="M1139" s="26">
        <v>2.0</v>
      </c>
      <c r="N1139" s="26">
        <v>1.0</v>
      </c>
      <c r="O1139" s="30"/>
      <c r="P1139" s="26">
        <v>950.0</v>
      </c>
      <c r="Q1139" s="35">
        <v>48.0</v>
      </c>
      <c r="R1139" s="32">
        <v>45844.0</v>
      </c>
      <c r="S1139" s="32">
        <v>45815.0</v>
      </c>
      <c r="T1139" s="29"/>
      <c r="U1139" s="33"/>
      <c r="V1139" s="1"/>
    </row>
    <row r="1140" ht="24.0" customHeight="1">
      <c r="A1140" s="1"/>
      <c r="B1140" s="24" t="str">
        <f>HYPERLINK("https://www.compass.com/listing/8-fordham-hill-ovl-unit-16b-bronx-ny-10468/1744157941743288481/view?agent_id=610d3f3370540700019b0833","8 Fordham Hill Ovl, Unit 16B")</f>
        <v>8 Fordham Hill Ovl, Unit 16B</v>
      </c>
      <c r="C1140" s="25" t="s">
        <v>22</v>
      </c>
      <c r="D1140" s="26" t="s">
        <v>23</v>
      </c>
      <c r="E1140" s="27" t="str">
        <f>HYPERLINK("https://www.compass.com/building/8-fordham-hill-oval-bronx-ny-10468/294844386747580069/","8 Fordham Hill Oval")</f>
        <v>8 Fordham Hill Oval</v>
      </c>
      <c r="F1140" s="25" t="s">
        <v>126</v>
      </c>
      <c r="G1140" s="28">
        <v>220000.0</v>
      </c>
      <c r="H1140" s="28">
        <v>242.0</v>
      </c>
      <c r="I1140" s="28">
        <v>1504.0</v>
      </c>
      <c r="J1140" s="28">
        <v>0.0</v>
      </c>
      <c r="K1140" s="25" t="s">
        <v>25</v>
      </c>
      <c r="L1140" s="26">
        <v>6.0</v>
      </c>
      <c r="M1140" s="26">
        <v>2.0</v>
      </c>
      <c r="N1140" s="26">
        <v>1.0</v>
      </c>
      <c r="O1140" s="30"/>
      <c r="P1140" s="26">
        <v>910.0</v>
      </c>
      <c r="Q1140" s="35">
        <v>206.0</v>
      </c>
      <c r="R1140" s="32">
        <v>45658.0</v>
      </c>
      <c r="S1140" s="32">
        <v>45657.0</v>
      </c>
      <c r="T1140" s="29"/>
      <c r="U1140" s="33"/>
      <c r="V1140" s="1"/>
    </row>
    <row r="1141" ht="24.0" customHeight="1">
      <c r="A1141" s="1"/>
      <c r="B1141" s="24" t="str">
        <f>HYPERLINK("https://www.compass.com/listing/2190-boston-road-unit-1c-bronx-ny-10462/1779100983555067705/view?agent_id=610d3f3370540700019b0833","2190 Boston Road, Unit 1C")</f>
        <v>2190 Boston Road, Unit 1C</v>
      </c>
      <c r="C1141" s="25" t="s">
        <v>22</v>
      </c>
      <c r="D1141" s="26" t="s">
        <v>23</v>
      </c>
      <c r="E1141" s="27" t="str">
        <f>HYPERLINK("https://www.compass.com/building/2190-boston-rd-bronx-ny-10462/293534883211448549/","2190 Boston Rd")</f>
        <v>2190 Boston Rd</v>
      </c>
      <c r="F1141" s="25" t="s">
        <v>147</v>
      </c>
      <c r="G1141" s="28">
        <v>270000.0</v>
      </c>
      <c r="H1141" s="28">
        <v>270.0</v>
      </c>
      <c r="I1141" s="28">
        <v>1435.0</v>
      </c>
      <c r="J1141" s="29"/>
      <c r="K1141" s="25" t="s">
        <v>25</v>
      </c>
      <c r="L1141" s="26">
        <v>4.0</v>
      </c>
      <c r="M1141" s="26">
        <v>2.0</v>
      </c>
      <c r="N1141" s="26">
        <v>1.0</v>
      </c>
      <c r="O1141" s="30"/>
      <c r="P1141" s="34">
        <v>1000.0</v>
      </c>
      <c r="Q1141" s="35">
        <v>146.0</v>
      </c>
      <c r="R1141" s="32">
        <v>45859.0</v>
      </c>
      <c r="S1141" s="32">
        <v>45717.0</v>
      </c>
      <c r="T1141" s="29"/>
      <c r="U1141" s="33"/>
      <c r="V1141" s="1"/>
    </row>
    <row r="1142" ht="24.0" customHeight="1">
      <c r="A1142" s="1"/>
      <c r="B1142" s="24" t="str">
        <f>HYPERLINK("https://www.compass.com/listing/34-10-94th-street-unit-6h-queens-ny-11372/1824191585315554289/view?agent_id=610d3f3370540700019b0833","34-10 94th Street, Unit 6H")</f>
        <v>34-10 94th Street, Unit 6H</v>
      </c>
      <c r="C1142" s="25" t="s">
        <v>22</v>
      </c>
      <c r="D1142" s="26" t="s">
        <v>23</v>
      </c>
      <c r="E1142" s="27" t="str">
        <f>HYPERLINK("https://www.compass.com/building/34-10-94th-st-queens-ny-11372/293532156637083349/","34-10 94th St")</f>
        <v>34-10 94th St</v>
      </c>
      <c r="F1142" s="25" t="s">
        <v>33</v>
      </c>
      <c r="G1142" s="28">
        <v>380000.0</v>
      </c>
      <c r="H1142" s="28">
        <v>345.0</v>
      </c>
      <c r="I1142" s="28">
        <v>2200.0</v>
      </c>
      <c r="J1142" s="29"/>
      <c r="K1142" s="25" t="s">
        <v>25</v>
      </c>
      <c r="L1142" s="26">
        <v>5.0</v>
      </c>
      <c r="M1142" s="26">
        <v>2.0</v>
      </c>
      <c r="N1142" s="26">
        <v>1.0</v>
      </c>
      <c r="O1142" s="30"/>
      <c r="P1142" s="34">
        <v>1100.0</v>
      </c>
      <c r="Q1142" s="35">
        <v>95.0</v>
      </c>
      <c r="R1142" s="32">
        <v>45812.0</v>
      </c>
      <c r="S1142" s="32">
        <v>45768.0</v>
      </c>
      <c r="T1142" s="29"/>
      <c r="U1142" s="33"/>
      <c r="V1142" s="1"/>
    </row>
    <row r="1143" ht="24.0" customHeight="1">
      <c r="A1143" s="1"/>
      <c r="B1143" s="24" t="str">
        <f>HYPERLINK("https://www.compass.com/listing/25-25-31st-avenue-unit-7b-queens-ny-11106/1689382733976537305/view?agent_id=610d3f3370540700019b0833","25-25 31st Avenue, Unit 7B")</f>
        <v>25-25 31st Avenue, Unit 7B</v>
      </c>
      <c r="C1143" s="25" t="s">
        <v>22</v>
      </c>
      <c r="D1143" s="26" t="s">
        <v>23</v>
      </c>
      <c r="E1143" s="27" t="str">
        <f>HYPERLINK("https://www.compass.com/building/25-25-31st-ave-queens-ny-11106/293532859031905429/","25-25 31st Ave")</f>
        <v>25-25 31st Ave</v>
      </c>
      <c r="F1143" s="25" t="s">
        <v>68</v>
      </c>
      <c r="G1143" s="28">
        <v>998000.0</v>
      </c>
      <c r="H1143" s="29"/>
      <c r="I1143" s="28">
        <v>1647.0</v>
      </c>
      <c r="J1143" s="28">
        <v>10836.0</v>
      </c>
      <c r="K1143" s="25" t="s">
        <v>28</v>
      </c>
      <c r="L1143" s="26">
        <v>4.0</v>
      </c>
      <c r="M1143" s="26">
        <v>2.0</v>
      </c>
      <c r="N1143" s="26">
        <v>1.0</v>
      </c>
      <c r="O1143" s="30"/>
      <c r="P1143" s="30"/>
      <c r="Q1143" s="35">
        <v>280.0</v>
      </c>
      <c r="R1143" s="32">
        <v>45835.0</v>
      </c>
      <c r="S1143" s="32">
        <v>45583.0</v>
      </c>
      <c r="T1143" s="29"/>
      <c r="U1143" s="33"/>
      <c r="V1143" s="1"/>
    </row>
    <row r="1144" ht="24.0" customHeight="1">
      <c r="A1144" s="1"/>
      <c r="B1144" s="24" t="str">
        <f>HYPERLINK("https://www.compass.com/listing/3840-greystone-avenue-unit-5l-bronx-ny-10463/1730605719587012665/view?agent_id=610d3f3370540700019b0833","3840 Greystone Avenue, Unit 5L")</f>
        <v>3840 Greystone Avenue, Unit 5L</v>
      </c>
      <c r="C1144" s="25" t="s">
        <v>22</v>
      </c>
      <c r="D1144" s="26" t="s">
        <v>23</v>
      </c>
      <c r="E1144" s="27" t="str">
        <f t="shared" ref="E1144:E1145" si="8">HYPERLINK("https://www.compass.com/building/greystone-park-bronx-ny/293528215064978117/","Greystone Park")</f>
        <v>Greystone Park</v>
      </c>
      <c r="F1144" s="25" t="s">
        <v>87</v>
      </c>
      <c r="G1144" s="28">
        <v>330000.0</v>
      </c>
      <c r="H1144" s="28">
        <v>330.0</v>
      </c>
      <c r="I1144" s="28">
        <v>1345.0</v>
      </c>
      <c r="J1144" s="28">
        <v>0.0</v>
      </c>
      <c r="K1144" s="25" t="s">
        <v>25</v>
      </c>
      <c r="L1144" s="26">
        <v>4.0</v>
      </c>
      <c r="M1144" s="26">
        <v>2.0</v>
      </c>
      <c r="N1144" s="26">
        <v>1.0</v>
      </c>
      <c r="O1144" s="26">
        <v>0.0</v>
      </c>
      <c r="P1144" s="34">
        <v>1000.0</v>
      </c>
      <c r="Q1144" s="35">
        <v>142.0</v>
      </c>
      <c r="R1144" s="32">
        <v>45837.0</v>
      </c>
      <c r="S1144" s="32">
        <v>45721.0</v>
      </c>
      <c r="T1144" s="29"/>
      <c r="U1144" s="33"/>
      <c r="V1144" s="1"/>
    </row>
    <row r="1145" ht="24.0" customHeight="1">
      <c r="A1145" s="1"/>
      <c r="B1145" s="24" t="str">
        <f>HYPERLINK("https://www.compass.com/listing/3840-greystone-avenue-unit-4h-bronx-ny-10463/1785714465891326457/view?agent_id=610d3f3370540700019b0833","3840 Greystone Avenue, Unit 4H")</f>
        <v>3840 Greystone Avenue, Unit 4H</v>
      </c>
      <c r="C1145" s="25" t="s">
        <v>22</v>
      </c>
      <c r="D1145" s="26" t="s">
        <v>23</v>
      </c>
      <c r="E1145" s="27" t="str">
        <f t="shared" si="8"/>
        <v>Greystone Park</v>
      </c>
      <c r="F1145" s="25" t="s">
        <v>87</v>
      </c>
      <c r="G1145" s="28">
        <v>279000.0</v>
      </c>
      <c r="H1145" s="28">
        <v>279.0</v>
      </c>
      <c r="I1145" s="28">
        <v>1298.0</v>
      </c>
      <c r="J1145" s="29"/>
      <c r="K1145" s="25" t="s">
        <v>25</v>
      </c>
      <c r="L1145" s="26">
        <v>5.0</v>
      </c>
      <c r="M1145" s="26">
        <v>2.0</v>
      </c>
      <c r="N1145" s="26">
        <v>1.0</v>
      </c>
      <c r="O1145" s="30"/>
      <c r="P1145" s="34">
        <v>1000.0</v>
      </c>
      <c r="Q1145" s="35">
        <v>146.0</v>
      </c>
      <c r="R1145" s="32">
        <v>45854.0</v>
      </c>
      <c r="S1145" s="32">
        <v>45717.0</v>
      </c>
      <c r="T1145" s="29"/>
      <c r="U1145" s="33"/>
      <c r="V1145" s="1"/>
    </row>
    <row r="1146" ht="24.0" customHeight="1">
      <c r="A1146" s="1"/>
      <c r="B1146" s="24" t="str">
        <f>HYPERLINK("https://www.compass.com/listing/1410-parkchester-road-unit-7h-bronx-ny-10462/1799411692781712529/view?agent_id=610d3f3370540700019b0833","1410 Parkchester Road, Unit 7H")</f>
        <v>1410 Parkchester Road, Unit 7H</v>
      </c>
      <c r="C1146" s="25" t="s">
        <v>22</v>
      </c>
      <c r="D1146" s="26" t="s">
        <v>23</v>
      </c>
      <c r="E1146" s="27" t="str">
        <f>HYPERLINK("https://www.compass.com/building/1410-parkchester-rd-bronx-ny-10462/307457248754223973/","1410 Parkchester Rd")</f>
        <v>1410 Parkchester Rd</v>
      </c>
      <c r="F1146" s="25" t="s">
        <v>129</v>
      </c>
      <c r="G1146" s="28">
        <v>320000.0</v>
      </c>
      <c r="H1146" s="28">
        <v>386.0</v>
      </c>
      <c r="I1146" s="28">
        <v>1146.0</v>
      </c>
      <c r="J1146" s="28">
        <v>746.0</v>
      </c>
      <c r="K1146" s="25" t="s">
        <v>28</v>
      </c>
      <c r="L1146" s="26">
        <v>4.0</v>
      </c>
      <c r="M1146" s="26">
        <v>2.0</v>
      </c>
      <c r="N1146" s="26">
        <v>1.0</v>
      </c>
      <c r="O1146" s="30"/>
      <c r="P1146" s="26">
        <v>829.0</v>
      </c>
      <c r="Q1146" s="35">
        <v>129.0</v>
      </c>
      <c r="R1146" s="32">
        <v>45759.0</v>
      </c>
      <c r="S1146" s="32">
        <v>45734.0</v>
      </c>
      <c r="T1146" s="29"/>
      <c r="U1146" s="33"/>
      <c r="V1146" s="1"/>
    </row>
    <row r="1147" ht="24.0" customHeight="1">
      <c r="A1147" s="1"/>
      <c r="B1147" s="24" t="str">
        <f>HYPERLINK("https://www.compass.com/listing/211-19a-73rd-avenue-unit-lowr-queens-ny-11364/1860418440057617113/view?agent_id=610d3f3370540700019b0833","211-19A 73rd Avenue, Unit LOWR")</f>
        <v>211-19A 73rd Avenue, Unit LOWR</v>
      </c>
      <c r="C1147" s="25" t="s">
        <v>22</v>
      </c>
      <c r="D1147" s="26" t="s">
        <v>23</v>
      </c>
      <c r="E1147" s="27" t="str">
        <f>HYPERLINK("https://www.compass.com/building/211-19a-73rd-ave-queens-ny-11364/381307206246350741/","211-19a 73rd Ave")</f>
        <v>211-19a 73rd Ave</v>
      </c>
      <c r="F1147" s="25" t="s">
        <v>37</v>
      </c>
      <c r="G1147" s="28">
        <v>370000.0</v>
      </c>
      <c r="H1147" s="28">
        <v>463.0</v>
      </c>
      <c r="I1147" s="28">
        <v>1840.0</v>
      </c>
      <c r="J1147" s="29"/>
      <c r="K1147" s="25" t="s">
        <v>25</v>
      </c>
      <c r="L1147" s="26">
        <v>5.0</v>
      </c>
      <c r="M1147" s="26">
        <v>2.0</v>
      </c>
      <c r="N1147" s="26">
        <v>1.0</v>
      </c>
      <c r="O1147" s="30"/>
      <c r="P1147" s="26">
        <v>800.0</v>
      </c>
      <c r="Q1147" s="35">
        <v>45.0</v>
      </c>
      <c r="R1147" s="32">
        <v>45838.0</v>
      </c>
      <c r="S1147" s="32">
        <v>45818.0</v>
      </c>
      <c r="T1147" s="29"/>
      <c r="U1147" s="33"/>
      <c r="V1147" s="1"/>
    </row>
    <row r="1148" ht="24.0" customHeight="1">
      <c r="A1148" s="1"/>
      <c r="B1148" s="24" t="str">
        <f>HYPERLINK("https://www.compass.com/listing/139-15-83rd-avenue-unit-520-queens-ny-11435/1867544692338039073/view?agent_id=610d3f3370540700019b0833","139-15 83rd Avenue, Unit 520")</f>
        <v>139-15 83rd Avenue, Unit 520</v>
      </c>
      <c r="C1148" s="25" t="s">
        <v>22</v>
      </c>
      <c r="D1148" s="26" t="s">
        <v>23</v>
      </c>
      <c r="E1148" s="27" t="str">
        <f>HYPERLINK("https://www.compass.com/building/139-15-83rd-ave-queens-ny-11435/293531355952770837/","139-15 83rd Ave")</f>
        <v>139-15 83rd Ave</v>
      </c>
      <c r="F1148" s="25" t="s">
        <v>146</v>
      </c>
      <c r="G1148" s="28">
        <v>299000.0</v>
      </c>
      <c r="H1148" s="28">
        <v>299.0</v>
      </c>
      <c r="I1148" s="28">
        <v>1074.0</v>
      </c>
      <c r="J1148" s="29"/>
      <c r="K1148" s="25" t="s">
        <v>25</v>
      </c>
      <c r="L1148" s="26">
        <v>4.0</v>
      </c>
      <c r="M1148" s="26">
        <v>2.0</v>
      </c>
      <c r="N1148" s="26">
        <v>1.0</v>
      </c>
      <c r="O1148" s="30"/>
      <c r="P1148" s="34">
        <v>1000.0</v>
      </c>
      <c r="Q1148" s="35">
        <v>35.0</v>
      </c>
      <c r="R1148" s="32">
        <v>45829.0</v>
      </c>
      <c r="S1148" s="32">
        <v>45828.0</v>
      </c>
      <c r="T1148" s="29"/>
      <c r="U1148" s="33"/>
      <c r="V1148" s="1"/>
    </row>
    <row r="1149" ht="24.0" customHeight="1">
      <c r="A1149" s="1"/>
      <c r="B1149" s="24" t="str">
        <f>HYPERLINK("https://www.compass.com/listing/37-56-85th-street-unit-22-queens-ny-11372/1769091047301670809/view?agent_id=610d3f3370540700019b0833","37-56 85th Street, Unit 22")</f>
        <v>37-56 85th Street, Unit 22</v>
      </c>
      <c r="C1149" s="25" t="s">
        <v>22</v>
      </c>
      <c r="D1149" s="26" t="s">
        <v>23</v>
      </c>
      <c r="E1149" s="27" t="str">
        <f>HYPERLINK("https://www.compass.com/building/37-56-85th-st-queens-ny-11372/293528823088060341/","37-56 85th St")</f>
        <v>37-56 85th St</v>
      </c>
      <c r="F1149" s="25" t="s">
        <v>33</v>
      </c>
      <c r="G1149" s="28">
        <v>525000.0</v>
      </c>
      <c r="H1149" s="29"/>
      <c r="I1149" s="28">
        <v>1350.0</v>
      </c>
      <c r="J1149" s="28">
        <v>0.0</v>
      </c>
      <c r="K1149" s="25" t="s">
        <v>25</v>
      </c>
      <c r="L1149" s="26">
        <v>5.0</v>
      </c>
      <c r="M1149" s="26">
        <v>2.0</v>
      </c>
      <c r="N1149" s="26">
        <v>1.0</v>
      </c>
      <c r="O1149" s="30"/>
      <c r="P1149" s="30"/>
      <c r="Q1149" s="35">
        <v>170.0</v>
      </c>
      <c r="R1149" s="32">
        <v>45696.0</v>
      </c>
      <c r="S1149" s="32">
        <v>45692.0</v>
      </c>
      <c r="T1149" s="29"/>
      <c r="U1149" s="33"/>
      <c r="V1149" s="1"/>
    </row>
    <row r="1150" ht="24.0" customHeight="1">
      <c r="A1150" s="1"/>
      <c r="B1150" s="24" t="str">
        <f>HYPERLINK("https://www.compass.com/listing/6511-fort-hamilton-parkway-unit-3c-brooklyn-ny-11219/1551882149231641705/view?agent_id=610d3f3370540700019b0833","6511 Fort Hamilton Parkway, Unit 3C")</f>
        <v>6511 Fort Hamilton Parkway, Unit 3C</v>
      </c>
      <c r="C1150" s="25" t="s">
        <v>22</v>
      </c>
      <c r="D1150" s="26" t="s">
        <v>23</v>
      </c>
      <c r="E1150" s="27" t="str">
        <f>HYPERLINK("https://www.compass.com/building/6511-fort-hamilton-pkwy-brooklyn-ny-11219/307458664021256213/","6511 Fort Hamilton Pkwy")</f>
        <v>6511 Fort Hamilton Pkwy</v>
      </c>
      <c r="F1150" s="25" t="s">
        <v>197</v>
      </c>
      <c r="G1150" s="28">
        <v>865000.0</v>
      </c>
      <c r="H1150" s="28">
        <v>701.0</v>
      </c>
      <c r="I1150" s="28">
        <v>1179.0</v>
      </c>
      <c r="J1150" s="28">
        <v>9406.0</v>
      </c>
      <c r="K1150" s="25" t="s">
        <v>28</v>
      </c>
      <c r="L1150" s="26">
        <v>5.0</v>
      </c>
      <c r="M1150" s="26">
        <v>2.0</v>
      </c>
      <c r="N1150" s="26">
        <v>1.0</v>
      </c>
      <c r="O1150" s="30"/>
      <c r="P1150" s="34">
        <v>1234.0</v>
      </c>
      <c r="Q1150" s="35">
        <v>44.0</v>
      </c>
      <c r="R1150" s="32">
        <v>45862.0</v>
      </c>
      <c r="S1150" s="32">
        <v>45819.0</v>
      </c>
      <c r="T1150" s="29"/>
      <c r="U1150" s="33"/>
      <c r="V1150" s="1"/>
    </row>
    <row r="1151" ht="24.0" customHeight="1">
      <c r="A1151" s="1"/>
      <c r="B1151" s="24" t="str">
        <f>HYPERLINK("https://www.compass.com/listing/31-16-21st-street-unit-2f-queens-ny-11106/1855913691836987361/view?agent_id=610d3f3370540700019b0833","31-16 21st Street, Unit 2F")</f>
        <v>31-16 21st Street, Unit 2F</v>
      </c>
      <c r="C1151" s="25" t="s">
        <v>22</v>
      </c>
      <c r="D1151" s="26" t="s">
        <v>23</v>
      </c>
      <c r="E1151" s="27" t="str">
        <f>HYPERLINK("https://www.compass.com/building/31-16-21st-st-queens-ny-11106/293417871793514181/","31-16 21st St")</f>
        <v>31-16 21st St</v>
      </c>
      <c r="F1151" s="25" t="s">
        <v>68</v>
      </c>
      <c r="G1151" s="28">
        <v>799000.0</v>
      </c>
      <c r="H1151" s="28">
        <v>1262.0</v>
      </c>
      <c r="I1151" s="28">
        <v>725.0</v>
      </c>
      <c r="J1151" s="28">
        <v>6132.0</v>
      </c>
      <c r="K1151" s="25" t="s">
        <v>28</v>
      </c>
      <c r="L1151" s="26">
        <v>4.0</v>
      </c>
      <c r="M1151" s="26">
        <v>2.0</v>
      </c>
      <c r="N1151" s="26">
        <v>1.0</v>
      </c>
      <c r="O1151" s="30"/>
      <c r="P1151" s="26">
        <v>633.0</v>
      </c>
      <c r="Q1151" s="35">
        <v>178.0</v>
      </c>
      <c r="R1151" s="32">
        <v>45687.0</v>
      </c>
      <c r="S1151" s="32">
        <v>45685.0</v>
      </c>
      <c r="T1151" s="29"/>
      <c r="U1151" s="33"/>
      <c r="V1151" s="1"/>
    </row>
    <row r="1152" ht="24.0" customHeight="1">
      <c r="A1152" s="1"/>
      <c r="B1152" s="24" t="str">
        <f>HYPERLINK("https://www.compass.com/listing/2601-henry-hudson-parkway-west-unit-5e-bronx-ny-10463/1846549503401773513/view?agent_id=610d3f3370540700019b0833","2601 Henry Hudson Parkway West, Unit 5E")</f>
        <v>2601 Henry Hudson Parkway West, Unit 5E</v>
      </c>
      <c r="C1152" s="25" t="s">
        <v>22</v>
      </c>
      <c r="D1152" s="26" t="s">
        <v>23</v>
      </c>
      <c r="E1152" s="27" t="str">
        <f>HYPERLINK("https://www.compass.com/building/2601-henry-hudson-pkwy-w-bronx-ny-10463/293529067615957989/","2601 Henry Hudson Pkwy W")</f>
        <v>2601 Henry Hudson Pkwy W</v>
      </c>
      <c r="F1152" s="25" t="s">
        <v>89</v>
      </c>
      <c r="G1152" s="28">
        <v>299000.0</v>
      </c>
      <c r="H1152" s="28">
        <v>272.0</v>
      </c>
      <c r="I1152" s="28">
        <v>1059.0</v>
      </c>
      <c r="J1152" s="29"/>
      <c r="K1152" s="25" t="s">
        <v>25</v>
      </c>
      <c r="L1152" s="26">
        <v>4.0</v>
      </c>
      <c r="M1152" s="26">
        <v>2.0</v>
      </c>
      <c r="N1152" s="26">
        <v>1.0</v>
      </c>
      <c r="O1152" s="30"/>
      <c r="P1152" s="34">
        <v>1100.0</v>
      </c>
      <c r="Q1152" s="35">
        <v>64.0</v>
      </c>
      <c r="R1152" s="32">
        <v>45862.0</v>
      </c>
      <c r="S1152" s="32">
        <v>45799.0</v>
      </c>
      <c r="T1152" s="29"/>
      <c r="U1152" s="33"/>
      <c r="V1152" s="1"/>
    </row>
    <row r="1153" ht="24.0" customHeight="1">
      <c r="A1153" s="1"/>
      <c r="B1153" s="24" t="str">
        <f>HYPERLINK("https://www.compass.com/listing/2550-olinville-avenue-unit-8m-bronx-ny-10467/1825643453371748113/view?agent_id=610d3f3370540700019b0833","2550 Olinville Avenue, Unit 8M")</f>
        <v>2550 Olinville Avenue, Unit 8M</v>
      </c>
      <c r="C1153" s="25" t="s">
        <v>22</v>
      </c>
      <c r="D1153" s="26" t="s">
        <v>23</v>
      </c>
      <c r="E1153" s="27" t="str">
        <f>HYPERLINK("https://www.compass.com/building/2550-olinville-ave-bronx-ny-10467/293529256737209237/","2550 Olinville Ave")</f>
        <v>2550 Olinville Ave</v>
      </c>
      <c r="F1153" s="25" t="s">
        <v>261</v>
      </c>
      <c r="G1153" s="28">
        <v>239900.0</v>
      </c>
      <c r="H1153" s="28">
        <v>267.0</v>
      </c>
      <c r="I1153" s="28">
        <v>947.0</v>
      </c>
      <c r="J1153" s="29"/>
      <c r="K1153" s="25" t="s">
        <v>25</v>
      </c>
      <c r="L1153" s="26">
        <v>4.0</v>
      </c>
      <c r="M1153" s="26">
        <v>2.0</v>
      </c>
      <c r="N1153" s="26">
        <v>1.0</v>
      </c>
      <c r="O1153" s="30"/>
      <c r="P1153" s="26">
        <v>900.0</v>
      </c>
      <c r="Q1153" s="35">
        <v>93.0</v>
      </c>
      <c r="R1153" s="32">
        <v>45860.0</v>
      </c>
      <c r="S1153" s="32">
        <v>45770.0</v>
      </c>
      <c r="T1153" s="29"/>
      <c r="U1153" s="33"/>
      <c r="V1153" s="1"/>
    </row>
    <row r="1154" ht="24.0" customHeight="1">
      <c r="A1154" s="1"/>
      <c r="B1154" s="24" t="str">
        <f>HYPERLINK("https://www.compass.com/listing/2385-barker-avenue-unit-5l-bronx-ny-10467/1757494478150826905/view?agent_id=610d3f3370540700019b0833","2385 Barker Avenue, Unit 5L")</f>
        <v>2385 Barker Avenue, Unit 5L</v>
      </c>
      <c r="C1154" s="25" t="s">
        <v>22</v>
      </c>
      <c r="D1154" s="26" t="s">
        <v>23</v>
      </c>
      <c r="E1154" s="27" t="str">
        <f>HYPERLINK("https://www.compass.com/building/2385-barker-ave-bronx-ny-10467/293531147814671541/","2385 Barker Ave")</f>
        <v>2385 Barker Ave</v>
      </c>
      <c r="F1154" s="25" t="s">
        <v>261</v>
      </c>
      <c r="G1154" s="28">
        <v>320000.0</v>
      </c>
      <c r="H1154" s="28">
        <v>356.0</v>
      </c>
      <c r="I1154" s="28">
        <v>835.0</v>
      </c>
      <c r="J1154" s="28">
        <v>3432.0</v>
      </c>
      <c r="K1154" s="25" t="s">
        <v>28</v>
      </c>
      <c r="L1154" s="26">
        <v>4.0</v>
      </c>
      <c r="M1154" s="26">
        <v>2.0</v>
      </c>
      <c r="N1154" s="26">
        <v>1.0</v>
      </c>
      <c r="O1154" s="26">
        <v>0.0</v>
      </c>
      <c r="P1154" s="26">
        <v>900.0</v>
      </c>
      <c r="Q1154" s="35">
        <v>29.0</v>
      </c>
      <c r="R1154" s="32">
        <v>45860.0</v>
      </c>
      <c r="S1154" s="32">
        <v>45677.0</v>
      </c>
      <c r="T1154" s="29"/>
      <c r="U1154" s="33"/>
      <c r="V1154" s="1"/>
    </row>
    <row r="1155" ht="24.0" customHeight="1">
      <c r="A1155" s="1"/>
      <c r="B1155" s="24" t="str">
        <f>HYPERLINK("https://www.compass.com/listing/100-25-queens-boulevard-unit-6e-queens-ny-11375/1842215934826465233/view?agent_id=610d3f3370540700019b0833","100-25 Queens Boulevard, Unit 6E")</f>
        <v>100-25 Queens Boulevard, Unit 6E</v>
      </c>
      <c r="C1155" s="25" t="s">
        <v>22</v>
      </c>
      <c r="D1155" s="26" t="s">
        <v>23</v>
      </c>
      <c r="E1155" s="27" t="str">
        <f>HYPERLINK("https://www.compass.com/building/100-25-queens-blvd-queens-ny-11375/293533294895638485/","100-25 Queens Blvd")</f>
        <v>100-25 Queens Blvd</v>
      </c>
      <c r="F1155" s="25" t="s">
        <v>166</v>
      </c>
      <c r="G1155" s="28">
        <v>699000.0</v>
      </c>
      <c r="H1155" s="28">
        <v>744.0</v>
      </c>
      <c r="I1155" s="28">
        <v>281.0</v>
      </c>
      <c r="J1155" s="28">
        <v>3376.0</v>
      </c>
      <c r="K1155" s="25" t="s">
        <v>28</v>
      </c>
      <c r="L1155" s="26">
        <v>5.0</v>
      </c>
      <c r="M1155" s="26">
        <v>2.0</v>
      </c>
      <c r="N1155" s="26">
        <v>1.0</v>
      </c>
      <c r="O1155" s="30"/>
      <c r="P1155" s="26">
        <v>940.0</v>
      </c>
      <c r="Q1155" s="35">
        <v>70.0</v>
      </c>
      <c r="R1155" s="32">
        <v>45812.0</v>
      </c>
      <c r="S1155" s="32">
        <v>45793.0</v>
      </c>
      <c r="T1155" s="29"/>
      <c r="U1155" s="33"/>
      <c r="V1155" s="1"/>
    </row>
    <row r="1156" ht="24.0" customHeight="1">
      <c r="A1156" s="1"/>
      <c r="B1156" s="24" t="str">
        <f>HYPERLINK("https://www.compass.com/listing/34-10-94th-street-unit-1a-queens-ny-11372/1862594812858670505/view?agent_id=610d3f3370540700019b0833","34-10 94th Street, Unit 1A")</f>
        <v>34-10 94th Street, Unit 1A</v>
      </c>
      <c r="C1156" s="25" t="s">
        <v>22</v>
      </c>
      <c r="D1156" s="26" t="s">
        <v>23</v>
      </c>
      <c r="E1156" s="27" t="str">
        <f>HYPERLINK("https://www.compass.com/building/34-10-94th-st-queens-ny-11372/293532156637083349/","34-10 94th St")</f>
        <v>34-10 94th St</v>
      </c>
      <c r="F1156" s="25" t="s">
        <v>33</v>
      </c>
      <c r="G1156" s="28">
        <v>599000.0</v>
      </c>
      <c r="H1156" s="28">
        <v>611.0</v>
      </c>
      <c r="I1156" s="28">
        <v>1075.0</v>
      </c>
      <c r="J1156" s="28">
        <v>0.0</v>
      </c>
      <c r="K1156" s="25" t="s">
        <v>25</v>
      </c>
      <c r="L1156" s="26">
        <v>5.0</v>
      </c>
      <c r="M1156" s="26">
        <v>2.0</v>
      </c>
      <c r="N1156" s="26">
        <v>1.0</v>
      </c>
      <c r="O1156" s="26">
        <v>0.0</v>
      </c>
      <c r="P1156" s="26">
        <v>980.0</v>
      </c>
      <c r="Q1156" s="35">
        <v>42.0</v>
      </c>
      <c r="R1156" s="32">
        <v>45823.0</v>
      </c>
      <c r="S1156" s="32">
        <v>45821.0</v>
      </c>
      <c r="T1156" s="29"/>
      <c r="U1156" s="33"/>
      <c r="V1156" s="1"/>
    </row>
    <row r="1157" ht="24.0" customHeight="1">
      <c r="A1157" s="1"/>
      <c r="B1157" s="24" t="str">
        <f>HYPERLINK("https://www.compass.com/listing/2120-mapes-avenue-unit-1a-bronx-ny-10460/1770656197675387945/view?agent_id=610d3f3370540700019b0833","2120 Mapes Avenue, Unit 1A")</f>
        <v>2120 Mapes Avenue, Unit 1A</v>
      </c>
      <c r="C1157" s="25" t="s">
        <v>22</v>
      </c>
      <c r="D1157" s="26" t="s">
        <v>23</v>
      </c>
      <c r="E1157" s="27" t="str">
        <f>HYPERLINK("https://www.compass.com/building/2120-mapes-ave-bronx-ny-10460/293527458689320981/","2120 Mapes Ave")</f>
        <v>2120 Mapes Ave</v>
      </c>
      <c r="F1157" s="25" t="s">
        <v>150</v>
      </c>
      <c r="G1157" s="28">
        <v>225000.0</v>
      </c>
      <c r="H1157" s="28">
        <v>230.0</v>
      </c>
      <c r="I1157" s="28">
        <v>714.0</v>
      </c>
      <c r="J1157" s="29"/>
      <c r="K1157" s="25" t="s">
        <v>25</v>
      </c>
      <c r="L1157" s="26">
        <v>2.0</v>
      </c>
      <c r="M1157" s="26">
        <v>2.0</v>
      </c>
      <c r="N1157" s="26">
        <v>1.0</v>
      </c>
      <c r="O1157" s="30"/>
      <c r="P1157" s="26">
        <v>978.0</v>
      </c>
      <c r="Q1157" s="35">
        <v>168.0</v>
      </c>
      <c r="R1157" s="32">
        <v>45862.0</v>
      </c>
      <c r="S1157" s="32">
        <v>45694.0</v>
      </c>
      <c r="T1157" s="29"/>
      <c r="U1157" s="33"/>
      <c r="V1157" s="1"/>
    </row>
    <row r="1158" ht="24.0" customHeight="1">
      <c r="A1158" s="1"/>
      <c r="B1158" s="24" t="str">
        <f>HYPERLINK("https://www.compass.com/listing/2241-plumb-1st-street-unit-3n-brooklyn-ny-11229/1871230123583614417/view?agent_id=610d3f3370540700019b0833","2241 Plumb 1st Street, Unit 3N")</f>
        <v>2241 Plumb 1st Street, Unit 3N</v>
      </c>
      <c r="C1158" s="25" t="s">
        <v>22</v>
      </c>
      <c r="D1158" s="26" t="s">
        <v>23</v>
      </c>
      <c r="E1158" s="27" t="str">
        <f>HYPERLINK("https://www.compass.com/building/2241-plumb-1st-st-brooklyn-ny-11229/307447588089190581/","2241 Plumb 1st St")</f>
        <v>2241 Plumb 1st St</v>
      </c>
      <c r="F1158" s="25" t="s">
        <v>70</v>
      </c>
      <c r="G1158" s="28">
        <v>229000.0</v>
      </c>
      <c r="H1158" s="28">
        <v>269.0</v>
      </c>
      <c r="I1158" s="28">
        <v>1130.0</v>
      </c>
      <c r="J1158" s="29"/>
      <c r="K1158" s="25" t="s">
        <v>25</v>
      </c>
      <c r="L1158" s="26">
        <v>4.0</v>
      </c>
      <c r="M1158" s="26">
        <v>2.0</v>
      </c>
      <c r="N1158" s="26">
        <v>1.0</v>
      </c>
      <c r="O1158" s="30"/>
      <c r="P1158" s="26">
        <v>850.0</v>
      </c>
      <c r="Q1158" s="35">
        <v>30.0</v>
      </c>
      <c r="R1158" s="32">
        <v>45833.0</v>
      </c>
      <c r="S1158" s="32">
        <v>45833.0</v>
      </c>
      <c r="T1158" s="29"/>
      <c r="U1158" s="33"/>
      <c r="V1158" s="1"/>
    </row>
    <row r="1159" ht="24.0" customHeight="1">
      <c r="A1159" s="1"/>
      <c r="B1159" s="24" t="str">
        <f>HYPERLINK("https://www.compass.com/listing/2075-wallace-avenue-unit-546-bronx-ny-10462/1527656523637773073/view?agent_id=610d3f3370540700019b0833","2075 Wallace Avenue, Unit 546")</f>
        <v>2075 Wallace Avenue, Unit 546</v>
      </c>
      <c r="C1159" s="25" t="s">
        <v>22</v>
      </c>
      <c r="D1159" s="26" t="s">
        <v>23</v>
      </c>
      <c r="E1159" s="27" t="str">
        <f>HYPERLINK("https://www.compass.com/building/2075-wallace-ave-bronx-ny-10462/293532867990940357/","2075 Wallace Ave")</f>
        <v>2075 Wallace Ave</v>
      </c>
      <c r="F1159" s="25" t="s">
        <v>147</v>
      </c>
      <c r="G1159" s="28">
        <v>240000.0</v>
      </c>
      <c r="H1159" s="28">
        <v>267.0</v>
      </c>
      <c r="I1159" s="28">
        <v>800.0</v>
      </c>
      <c r="J1159" s="29"/>
      <c r="K1159" s="25" t="s">
        <v>25</v>
      </c>
      <c r="L1159" s="26">
        <v>6.0</v>
      </c>
      <c r="M1159" s="26">
        <v>2.0</v>
      </c>
      <c r="N1159" s="26">
        <v>1.0</v>
      </c>
      <c r="O1159" s="30"/>
      <c r="P1159" s="26">
        <v>900.0</v>
      </c>
      <c r="Q1159" s="35">
        <v>496.0</v>
      </c>
      <c r="R1159" s="32">
        <v>45755.0</v>
      </c>
      <c r="S1159" s="32">
        <v>45359.0</v>
      </c>
      <c r="T1159" s="29"/>
      <c r="U1159" s="33"/>
      <c r="V1159" s="1"/>
    </row>
    <row r="1160" ht="24.0" customHeight="1">
      <c r="A1160" s="1"/>
      <c r="B1160" s="24" t="str">
        <f>HYPERLINK("https://www.compass.com/listing/3-fordham-hill-ovl-unit-17f-bronx-ny-10468/1799738227276021953/view?agent_id=610d3f3370540700019b0833","3 Fordham Hill Ovl, Unit 17F")</f>
        <v>3 Fordham Hill Ovl, Unit 17F</v>
      </c>
      <c r="C1160" s="25" t="s">
        <v>22</v>
      </c>
      <c r="D1160" s="26" t="s">
        <v>23</v>
      </c>
      <c r="E1160" s="27" t="str">
        <f>HYPERLINK("https://www.compass.com/building/3-fordham-hill-oval-bronx-ny-10468/294845138828131909/","3 Fordham Hill Oval")</f>
        <v>3 Fordham Hill Oval</v>
      </c>
      <c r="F1160" s="25" t="s">
        <v>126</v>
      </c>
      <c r="G1160" s="28">
        <v>278500.0</v>
      </c>
      <c r="H1160" s="28">
        <v>285.0</v>
      </c>
      <c r="I1160" s="28">
        <v>1635.0</v>
      </c>
      <c r="J1160" s="29"/>
      <c r="K1160" s="25" t="s">
        <v>25</v>
      </c>
      <c r="L1160" s="26">
        <v>5.0</v>
      </c>
      <c r="M1160" s="26">
        <v>2.0</v>
      </c>
      <c r="N1160" s="26">
        <v>1.0</v>
      </c>
      <c r="O1160" s="30"/>
      <c r="P1160" s="26">
        <v>976.0</v>
      </c>
      <c r="Q1160" s="35">
        <v>129.0</v>
      </c>
      <c r="R1160" s="32">
        <v>45857.0</v>
      </c>
      <c r="S1160" s="32">
        <v>45734.0</v>
      </c>
      <c r="T1160" s="29"/>
      <c r="U1160" s="33"/>
      <c r="V1160" s="1"/>
    </row>
    <row r="1161" ht="24.0" customHeight="1">
      <c r="A1161" s="1"/>
      <c r="B1161" s="24" t="str">
        <f>HYPERLINK("https://www.compass.com/listing/1311-brightwater-avenue-unit-phc-brooklyn-ny-11235/1880274433051885497/view?agent_id=610d3f3370540700019b0833","1311 Brightwater Avenue, Unit PHC")</f>
        <v>1311 Brightwater Avenue, Unit PHC</v>
      </c>
      <c r="C1161" s="25" t="s">
        <v>22</v>
      </c>
      <c r="D1161" s="26" t="s">
        <v>23</v>
      </c>
      <c r="E1161" s="27" t="str">
        <f>HYPERLINK("https://www.compass.com/building/1311-brightwater-ave-brooklyn-ny-11235/293534117566366885/","1311 Brightwater Ave")</f>
        <v>1311 Brightwater Ave</v>
      </c>
      <c r="F1161" s="25" t="s">
        <v>74</v>
      </c>
      <c r="G1161" s="28">
        <v>825000.0</v>
      </c>
      <c r="H1161" s="28">
        <v>688.0</v>
      </c>
      <c r="I1161" s="28">
        <v>0.0</v>
      </c>
      <c r="J1161" s="28">
        <v>0.0</v>
      </c>
      <c r="K1161" s="25" t="s">
        <v>25</v>
      </c>
      <c r="L1161" s="26">
        <v>4.0</v>
      </c>
      <c r="M1161" s="26">
        <v>2.0</v>
      </c>
      <c r="N1161" s="26">
        <v>1.0</v>
      </c>
      <c r="O1161" s="26">
        <v>0.0</v>
      </c>
      <c r="P1161" s="34">
        <v>1200.0</v>
      </c>
      <c r="Q1161" s="35">
        <v>17.0</v>
      </c>
      <c r="R1161" s="32">
        <v>45859.0</v>
      </c>
      <c r="S1161" s="32">
        <v>45846.0</v>
      </c>
      <c r="T1161" s="29"/>
      <c r="U1161" s="33"/>
      <c r="V1161" s="1"/>
    </row>
    <row r="1162" ht="24.0" customHeight="1">
      <c r="A1162" s="1"/>
      <c r="B1162" s="24" t="str">
        <f>HYPERLINK("https://www.compass.com/listing/3-fordham-hill-ovl-unit-8f-bronx-ny-10468/1628376518927948225/view?agent_id=610d3f3370540700019b0833","3 Fordham Hill Ovl, Unit 8F")</f>
        <v>3 Fordham Hill Ovl, Unit 8F</v>
      </c>
      <c r="C1162" s="25" t="s">
        <v>22</v>
      </c>
      <c r="D1162" s="26" t="s">
        <v>23</v>
      </c>
      <c r="E1162" s="27" t="str">
        <f>HYPERLINK("https://www.compass.com/building/3-fordham-hill-oval-bronx-ny-10468/294845138828131909/","3 Fordham Hill Oval")</f>
        <v>3 Fordham Hill Oval</v>
      </c>
      <c r="F1162" s="25" t="s">
        <v>126</v>
      </c>
      <c r="G1162" s="28">
        <v>198000.0</v>
      </c>
      <c r="H1162" s="28">
        <v>202.0</v>
      </c>
      <c r="I1162" s="28">
        <v>1501.0</v>
      </c>
      <c r="J1162" s="28">
        <v>0.0</v>
      </c>
      <c r="K1162" s="25" t="s">
        <v>25</v>
      </c>
      <c r="L1162" s="26">
        <v>4.0</v>
      </c>
      <c r="M1162" s="26">
        <v>2.0</v>
      </c>
      <c r="N1162" s="26">
        <v>1.0</v>
      </c>
      <c r="O1162" s="26">
        <v>0.0</v>
      </c>
      <c r="P1162" s="26">
        <v>980.0</v>
      </c>
      <c r="Q1162" s="35">
        <v>365.0</v>
      </c>
      <c r="R1162" s="32">
        <v>45857.0</v>
      </c>
      <c r="S1162" s="32">
        <v>45498.0</v>
      </c>
      <c r="T1162" s="29"/>
      <c r="U1162" s="33"/>
      <c r="V1162" s="1"/>
    </row>
    <row r="1163" ht="24.0" customHeight="1">
      <c r="A1163" s="1"/>
      <c r="B1163" s="24" t="str">
        <f>HYPERLINK("https://www.compass.com/listing/34-alden-park-unit-34-bronx-ny-10465/1870461455891156881/view?agent_id=610d3f3370540700019b0833","34 Alden Park, Unit 34")</f>
        <v>34 Alden Park, Unit 34</v>
      </c>
      <c r="C1163" s="25" t="s">
        <v>22</v>
      </c>
      <c r="D1163" s="26" t="s">
        <v>23</v>
      </c>
      <c r="E1163" s="26" t="s">
        <v>262</v>
      </c>
      <c r="F1163" s="25" t="s">
        <v>208</v>
      </c>
      <c r="G1163" s="28">
        <v>280000.0</v>
      </c>
      <c r="H1163" s="28">
        <v>373.0</v>
      </c>
      <c r="I1163" s="28">
        <v>335.0</v>
      </c>
      <c r="J1163" s="29"/>
      <c r="K1163" s="25" t="s">
        <v>25</v>
      </c>
      <c r="L1163" s="26">
        <v>5.0</v>
      </c>
      <c r="M1163" s="26">
        <v>2.0</v>
      </c>
      <c r="N1163" s="26">
        <v>1.0</v>
      </c>
      <c r="O1163" s="30"/>
      <c r="P1163" s="26">
        <v>750.0</v>
      </c>
      <c r="Q1163" s="35">
        <v>31.0</v>
      </c>
      <c r="R1163" s="32">
        <v>45853.0</v>
      </c>
      <c r="S1163" s="32">
        <v>45832.0</v>
      </c>
      <c r="T1163" s="29"/>
      <c r="U1163" s="33"/>
      <c r="V1163" s="1"/>
    </row>
    <row r="1164" ht="24.0" customHeight="1">
      <c r="A1164" s="1"/>
      <c r="B1164" s="24" t="str">
        <f>HYPERLINK("https://www.compass.com/listing/740-east-232nd-street-unit-tb-bronx-ny-10466/1799644353778043833/view?agent_id=610d3f3370540700019b0833","740 East 232nd Street, Unit TB")</f>
        <v>740 East 232nd Street, Unit TB</v>
      </c>
      <c r="C1164" s="25" t="s">
        <v>22</v>
      </c>
      <c r="D1164" s="26" t="s">
        <v>23</v>
      </c>
      <c r="E1164" s="27" t="str">
        <f>HYPERLINK("https://www.compass.com/building/740-e-232nd-st-bronx-ny-10466/307458714747085477/","740 E 232nd St")</f>
        <v>740 E 232nd St</v>
      </c>
      <c r="F1164" s="25" t="s">
        <v>182</v>
      </c>
      <c r="G1164" s="28">
        <v>149999.0</v>
      </c>
      <c r="H1164" s="28">
        <v>158.0</v>
      </c>
      <c r="I1164" s="28">
        <v>1272.0</v>
      </c>
      <c r="J1164" s="29"/>
      <c r="K1164" s="25" t="s">
        <v>25</v>
      </c>
      <c r="L1164" s="26">
        <v>5.0</v>
      </c>
      <c r="M1164" s="26">
        <v>2.0</v>
      </c>
      <c r="N1164" s="26">
        <v>1.0</v>
      </c>
      <c r="O1164" s="30"/>
      <c r="P1164" s="26">
        <v>950.0</v>
      </c>
      <c r="Q1164" s="35">
        <v>119.0</v>
      </c>
      <c r="R1164" s="32">
        <v>45822.0</v>
      </c>
      <c r="S1164" s="32">
        <v>45734.0</v>
      </c>
      <c r="T1164" s="29"/>
      <c r="U1164" s="33"/>
      <c r="V1164" s="1"/>
    </row>
    <row r="1165" ht="24.0" customHeight="1">
      <c r="A1165" s="1"/>
      <c r="B1165" s="24" t="str">
        <f>HYPERLINK("https://www.compass.com/listing/3875-waldo-avenue-unit-11k-bronx-ny-10463/1657246497230869689/view?agent_id=610d3f3370540700019b0833","3875 Waldo Avenue, Unit 11K")</f>
        <v>3875 Waldo Avenue, Unit 11K</v>
      </c>
      <c r="C1165" s="25" t="s">
        <v>22</v>
      </c>
      <c r="D1165" s="26" t="s">
        <v>23</v>
      </c>
      <c r="E1165" s="27" t="str">
        <f>HYPERLINK("https://www.compass.com/building/3875-waldo-ave-bronx-ny-10463/293529582433316101/","3875 Waldo Ave")</f>
        <v>3875 Waldo Ave</v>
      </c>
      <c r="F1165" s="25" t="s">
        <v>87</v>
      </c>
      <c r="G1165" s="28">
        <v>299000.0</v>
      </c>
      <c r="H1165" s="28">
        <v>330.0</v>
      </c>
      <c r="I1165" s="28">
        <v>1133.0</v>
      </c>
      <c r="J1165" s="28">
        <v>0.0</v>
      </c>
      <c r="K1165" s="25" t="s">
        <v>25</v>
      </c>
      <c r="L1165" s="26">
        <v>4.0</v>
      </c>
      <c r="M1165" s="26">
        <v>2.0</v>
      </c>
      <c r="N1165" s="26">
        <v>1.0</v>
      </c>
      <c r="O1165" s="26">
        <v>0.0</v>
      </c>
      <c r="P1165" s="26">
        <v>905.0</v>
      </c>
      <c r="Q1165" s="35">
        <v>325.0</v>
      </c>
      <c r="R1165" s="32">
        <v>45829.0</v>
      </c>
      <c r="S1165" s="32">
        <v>45538.0</v>
      </c>
      <c r="T1165" s="29"/>
      <c r="U1165" s="33"/>
      <c r="V1165" s="1"/>
    </row>
    <row r="1166" ht="24.0" customHeight="1">
      <c r="A1166" s="1"/>
      <c r="B1166" s="24" t="str">
        <f>HYPERLINK("https://www.compass.com/listing/668-56th-street-unit-3b-brooklyn-ny-11220/1175569118907511177/view?agent_id=610d3f3370540700019b0833","668 56th Street, Unit 3B")</f>
        <v>668 56th Street, Unit 3B</v>
      </c>
      <c r="C1166" s="25" t="s">
        <v>22</v>
      </c>
      <c r="D1166" s="26" t="s">
        <v>23</v>
      </c>
      <c r="E1166" s="27" t="str">
        <f>HYPERLINK("https://www.compass.com/building/668-56th-st-brooklyn-ny-11220/293533174359677461/","668 56th St")</f>
        <v>668 56th St</v>
      </c>
      <c r="F1166" s="25" t="s">
        <v>128</v>
      </c>
      <c r="G1166" s="28">
        <v>499000.0</v>
      </c>
      <c r="H1166" s="28">
        <v>1042.0</v>
      </c>
      <c r="I1166" s="28">
        <v>230.0</v>
      </c>
      <c r="J1166" s="28">
        <v>180.0</v>
      </c>
      <c r="K1166" s="25" t="s">
        <v>28</v>
      </c>
      <c r="L1166" s="26">
        <v>3.0</v>
      </c>
      <c r="M1166" s="26">
        <v>2.0</v>
      </c>
      <c r="N1166" s="30"/>
      <c r="O1166" s="30"/>
      <c r="P1166" s="26">
        <v>479.0</v>
      </c>
      <c r="Q1166" s="35">
        <v>898.0</v>
      </c>
      <c r="R1166" s="32">
        <v>45854.0</v>
      </c>
      <c r="S1166" s="32">
        <v>44965.0</v>
      </c>
      <c r="T1166" s="29"/>
      <c r="U1166" s="33"/>
      <c r="V1166" s="1"/>
    </row>
    <row r="1167" ht="24.0" customHeight="1">
      <c r="A1167" s="1"/>
      <c r="B1167" s="24" t="str">
        <f>HYPERLINK("https://www.compass.com/listing/1-fordham-hill-ovl-unit-16g-bronx-ny-10468/1475683865949842385/view?agent_id=610d3f3370540700019b0833","1 Fordham Hill Ovl, Unit 16G")</f>
        <v>1 Fordham Hill Ovl, Unit 16G</v>
      </c>
      <c r="C1167" s="25" t="s">
        <v>22</v>
      </c>
      <c r="D1167" s="26" t="s">
        <v>23</v>
      </c>
      <c r="E1167" s="27" t="str">
        <f>HYPERLINK("https://www.compass.com/building/1-fordham-hill-oval-bronx-ny-10468/293531184783279333/","1 Fordham Hill Oval")</f>
        <v>1 Fordham Hill Oval</v>
      </c>
      <c r="F1167" s="25" t="s">
        <v>126</v>
      </c>
      <c r="G1167" s="28">
        <v>237000.0</v>
      </c>
      <c r="H1167" s="28">
        <v>263.0</v>
      </c>
      <c r="I1167" s="28">
        <v>1688.0</v>
      </c>
      <c r="J1167" s="28">
        <v>0.0</v>
      </c>
      <c r="K1167" s="25" t="s">
        <v>25</v>
      </c>
      <c r="L1167" s="26">
        <v>4.0</v>
      </c>
      <c r="M1167" s="26">
        <v>2.0</v>
      </c>
      <c r="N1167" s="26">
        <v>1.0</v>
      </c>
      <c r="O1167" s="26">
        <v>0.0</v>
      </c>
      <c r="P1167" s="26">
        <v>900.0</v>
      </c>
      <c r="Q1167" s="35">
        <v>343.0</v>
      </c>
      <c r="R1167" s="32">
        <v>45857.0</v>
      </c>
      <c r="S1167" s="32">
        <v>45520.0</v>
      </c>
      <c r="T1167" s="29"/>
      <c r="U1167" s="33"/>
      <c r="V1167" s="1"/>
    </row>
    <row r="1168" ht="24.0" customHeight="1">
      <c r="A1168" s="1"/>
      <c r="B1168" s="24" t="str">
        <f>HYPERLINK("https://www.compass.com/listing/3-fordham-hill-ovl-unit-2f-bronx-ny-10468/1655829265691214193/view?agent_id=610d3f3370540700019b0833","3 Fordham Hill Ovl, Unit 2F")</f>
        <v>3 Fordham Hill Ovl, Unit 2F</v>
      </c>
      <c r="C1168" s="25" t="s">
        <v>22</v>
      </c>
      <c r="D1168" s="26" t="s">
        <v>23</v>
      </c>
      <c r="E1168" s="27" t="str">
        <f>HYPERLINK("https://www.compass.com/building/3-fordham-hill-oval-bronx-ny-10468/294845138828131909/","3 Fordham Hill Oval")</f>
        <v>3 Fordham Hill Oval</v>
      </c>
      <c r="F1168" s="25" t="s">
        <v>126</v>
      </c>
      <c r="G1168" s="28">
        <v>266000.0</v>
      </c>
      <c r="H1168" s="28">
        <v>266.0</v>
      </c>
      <c r="I1168" s="28">
        <v>1189.0</v>
      </c>
      <c r="J1168" s="29"/>
      <c r="K1168" s="25" t="s">
        <v>25</v>
      </c>
      <c r="L1168" s="26">
        <v>5.0</v>
      </c>
      <c r="M1168" s="26">
        <v>2.0</v>
      </c>
      <c r="N1168" s="26">
        <v>1.0</v>
      </c>
      <c r="O1168" s="30"/>
      <c r="P1168" s="34">
        <v>1000.0</v>
      </c>
      <c r="Q1168" s="35">
        <v>331.0</v>
      </c>
      <c r="R1168" s="32">
        <v>45612.0</v>
      </c>
      <c r="S1168" s="32">
        <v>45536.0</v>
      </c>
      <c r="T1168" s="29"/>
      <c r="U1168" s="33"/>
      <c r="V1168" s="1"/>
    </row>
    <row r="1169" ht="24.0" customHeight="1">
      <c r="A1169" s="1"/>
      <c r="B1169" s="24" t="str">
        <f>HYPERLINK("https://www.compass.com/listing/43-04-158th-street-unit-l4-queens-ny-11358/1875484701703418281/view?agent_id=610d3f3370540700019b0833","43-04 158th Street, Unit L4")</f>
        <v>43-04 158th Street, Unit L4</v>
      </c>
      <c r="C1169" s="25" t="s">
        <v>22</v>
      </c>
      <c r="D1169" s="26" t="s">
        <v>23</v>
      </c>
      <c r="E1169" s="27" t="str">
        <f>HYPERLINK("https://www.compass.com/building/43-04-158th-st-queens-ny-11358/293534963373015813/","43-04 158th St")</f>
        <v>43-04 158th St</v>
      </c>
      <c r="F1169" s="25" t="s">
        <v>185</v>
      </c>
      <c r="G1169" s="28">
        <v>420000.0</v>
      </c>
      <c r="H1169" s="28">
        <v>742.0</v>
      </c>
      <c r="I1169" s="28">
        <v>602.0</v>
      </c>
      <c r="J1169" s="28">
        <v>4402.0</v>
      </c>
      <c r="K1169" s="25" t="s">
        <v>28</v>
      </c>
      <c r="L1169" s="26">
        <v>5.0</v>
      </c>
      <c r="M1169" s="26">
        <v>2.0</v>
      </c>
      <c r="N1169" s="26">
        <v>1.0</v>
      </c>
      <c r="O1169" s="30"/>
      <c r="P1169" s="26">
        <v>566.0</v>
      </c>
      <c r="Q1169" s="35">
        <v>24.0</v>
      </c>
      <c r="R1169" s="32">
        <v>45862.0</v>
      </c>
      <c r="S1169" s="32">
        <v>45839.0</v>
      </c>
      <c r="T1169" s="29"/>
      <c r="U1169" s="33"/>
      <c r="V1169" s="1"/>
    </row>
    <row r="1170" ht="24.0" customHeight="1">
      <c r="A1170" s="1"/>
      <c r="B1170" s="24" t="str">
        <f>HYPERLINK("https://www.compass.com/listing/6665-colonial-road-unit-2f-brooklyn-ny-11220/1515395197181999641/view?agent_id=610d3f3370540700019b0833","6665 Colonial Road, Unit 2F")</f>
        <v>6665 Colonial Road, Unit 2F</v>
      </c>
      <c r="C1170" s="25" t="s">
        <v>22</v>
      </c>
      <c r="D1170" s="26" t="s">
        <v>23</v>
      </c>
      <c r="E1170" s="27" t="str">
        <f>HYPERLINK("https://www.compass.com/building/6665-colonial-rd-brooklyn-ny-11220/293527432634422757/","6665 Colonial Rd")</f>
        <v>6665 Colonial Rd</v>
      </c>
      <c r="F1170" s="25" t="s">
        <v>55</v>
      </c>
      <c r="G1170" s="28">
        <v>415000.0</v>
      </c>
      <c r="H1170" s="28">
        <v>415.0</v>
      </c>
      <c r="I1170" s="28">
        <v>942.0</v>
      </c>
      <c r="J1170" s="29"/>
      <c r="K1170" s="25" t="s">
        <v>25</v>
      </c>
      <c r="L1170" s="26">
        <v>4.0</v>
      </c>
      <c r="M1170" s="26">
        <v>2.0</v>
      </c>
      <c r="N1170" s="26">
        <v>1.0</v>
      </c>
      <c r="O1170" s="30"/>
      <c r="P1170" s="34">
        <v>1000.0</v>
      </c>
      <c r="Q1170" s="35">
        <v>496.0</v>
      </c>
      <c r="R1170" s="32">
        <v>45818.0</v>
      </c>
      <c r="S1170" s="32">
        <v>45342.0</v>
      </c>
      <c r="T1170" s="29"/>
      <c r="U1170" s="33"/>
      <c r="V1170" s="1"/>
    </row>
    <row r="1171" ht="24.0" customHeight="1">
      <c r="A1171" s="1"/>
      <c r="B1171" s="24" t="str">
        <f>HYPERLINK("https://www.compass.com/listing/2420-morris-avenue-unit-6e-bronx-ny-10468/1344976013662753073/view?agent_id=610d3f3370540700019b0833","2420 Morris Avenue, Unit 6E")</f>
        <v>2420 Morris Avenue, Unit 6E</v>
      </c>
      <c r="C1171" s="25" t="s">
        <v>22</v>
      </c>
      <c r="D1171" s="26" t="s">
        <v>23</v>
      </c>
      <c r="E1171" s="27" t="str">
        <f>HYPERLINK("https://www.compass.com/building/2420-morris-ave-bronx-ny-10468/293535085058084885/","2420 Morris Ave")</f>
        <v>2420 Morris Ave</v>
      </c>
      <c r="F1171" s="25" t="s">
        <v>263</v>
      </c>
      <c r="G1171" s="28">
        <v>300000.0</v>
      </c>
      <c r="H1171" s="28">
        <v>304.0</v>
      </c>
      <c r="I1171" s="28">
        <v>1106.0</v>
      </c>
      <c r="J1171" s="28">
        <v>0.0</v>
      </c>
      <c r="K1171" s="25" t="s">
        <v>25</v>
      </c>
      <c r="L1171" s="26">
        <v>4.0</v>
      </c>
      <c r="M1171" s="26">
        <v>2.0</v>
      </c>
      <c r="N1171" s="26">
        <v>1.0</v>
      </c>
      <c r="O1171" s="26">
        <v>0.0</v>
      </c>
      <c r="P1171" s="26">
        <v>988.0</v>
      </c>
      <c r="Q1171" s="35">
        <v>756.0</v>
      </c>
      <c r="R1171" s="32">
        <v>45839.0</v>
      </c>
      <c r="S1171" s="32">
        <v>45107.0</v>
      </c>
      <c r="T1171" s="29"/>
      <c r="U1171" s="33"/>
      <c r="V1171" s="1"/>
    </row>
    <row r="1172" ht="24.0" customHeight="1">
      <c r="A1172" s="1"/>
      <c r="B1172" s="24" t="str">
        <f>HYPERLINK("https://www.compass.com/listing/241-20-northern-unit-5e-queens-ny-11362/1835752229322755969/view?agent_id=610d3f3370540700019b0833","241-20 Northern, Unit 5E")</f>
        <v>241-20 Northern, Unit 5E</v>
      </c>
      <c r="C1172" s="25" t="s">
        <v>22</v>
      </c>
      <c r="D1172" s="26" t="s">
        <v>23</v>
      </c>
      <c r="E1172" s="26" t="s">
        <v>264</v>
      </c>
      <c r="F1172" s="25" t="s">
        <v>158</v>
      </c>
      <c r="G1172" s="28">
        <v>379000.0</v>
      </c>
      <c r="H1172" s="28">
        <v>363.0</v>
      </c>
      <c r="I1172" s="28">
        <v>1400.0</v>
      </c>
      <c r="J1172" s="29"/>
      <c r="K1172" s="25" t="s">
        <v>25</v>
      </c>
      <c r="L1172" s="26">
        <v>5.0</v>
      </c>
      <c r="M1172" s="26">
        <v>2.0</v>
      </c>
      <c r="N1172" s="26">
        <v>1.0</v>
      </c>
      <c r="O1172" s="30"/>
      <c r="P1172" s="34">
        <v>1044.0</v>
      </c>
      <c r="Q1172" s="35">
        <v>79.0</v>
      </c>
      <c r="R1172" s="32">
        <v>45791.0</v>
      </c>
      <c r="S1172" s="32">
        <v>45784.0</v>
      </c>
      <c r="T1172" s="29"/>
      <c r="U1172" s="33"/>
      <c r="V1172" s="1"/>
    </row>
    <row r="1173" ht="24.0" customHeight="1">
      <c r="A1173" s="1"/>
      <c r="B1173" s="24" t="str">
        <f>HYPERLINK("https://www.compass.com/listing/1-fordham-hill-ovl-unit-1e-bronx-ny-10468/1619517657031135033/view?agent_id=610d3f3370540700019b0833","1 Fordham Hill Ovl, Unit 1E")</f>
        <v>1 Fordham Hill Ovl, Unit 1E</v>
      </c>
      <c r="C1173" s="25" t="s">
        <v>22</v>
      </c>
      <c r="D1173" s="26" t="s">
        <v>23</v>
      </c>
      <c r="E1173" s="27" t="str">
        <f>HYPERLINK("https://www.compass.com/building/1-fordham-hill-oval-bronx-ny-10468/293531184783279333/","1 Fordham Hill Oval")</f>
        <v>1 Fordham Hill Oval</v>
      </c>
      <c r="F1173" s="25" t="s">
        <v>126</v>
      </c>
      <c r="G1173" s="28">
        <v>250000.0</v>
      </c>
      <c r="H1173" s="28">
        <v>263.0</v>
      </c>
      <c r="I1173" s="28">
        <v>1395.0</v>
      </c>
      <c r="J1173" s="28">
        <v>0.0</v>
      </c>
      <c r="K1173" s="25" t="s">
        <v>25</v>
      </c>
      <c r="L1173" s="26">
        <v>4.0</v>
      </c>
      <c r="M1173" s="26">
        <v>2.0</v>
      </c>
      <c r="N1173" s="26">
        <v>1.0</v>
      </c>
      <c r="O1173" s="26">
        <v>0.0</v>
      </c>
      <c r="P1173" s="26">
        <v>950.0</v>
      </c>
      <c r="Q1173" s="35">
        <v>98.0</v>
      </c>
      <c r="R1173" s="32">
        <v>45848.0</v>
      </c>
      <c r="S1173" s="32">
        <v>45744.0</v>
      </c>
      <c r="T1173" s="29"/>
      <c r="U1173" s="33"/>
      <c r="V1173" s="1"/>
    </row>
    <row r="1174" ht="24.0" customHeight="1">
      <c r="A1174" s="1"/>
      <c r="B1174" s="24" t="str">
        <f>HYPERLINK("https://www.compass.com/listing/40-waterside-street-staten-island-ny-10306/1874822470720348953/view?agent_id=610d3f3370540700019b0833","40 Waterside Street")</f>
        <v>40 Waterside Street</v>
      </c>
      <c r="C1174" s="25" t="s">
        <v>22</v>
      </c>
      <c r="D1174" s="26" t="s">
        <v>23</v>
      </c>
      <c r="E1174" s="27" t="str">
        <f>HYPERLINK("https://www.compass.com/building/40-waterside-st-staten-island-ny-10306/293528825931801141/","40 Waterside St")</f>
        <v>40 Waterside St</v>
      </c>
      <c r="F1174" s="25" t="s">
        <v>265</v>
      </c>
      <c r="G1174" s="28">
        <v>500000.0</v>
      </c>
      <c r="H1174" s="28">
        <v>604.0</v>
      </c>
      <c r="I1174" s="28">
        <v>262.0</v>
      </c>
      <c r="J1174" s="28">
        <v>3143.0</v>
      </c>
      <c r="K1174" s="25" t="s">
        <v>97</v>
      </c>
      <c r="L1174" s="26">
        <v>5.0</v>
      </c>
      <c r="M1174" s="26">
        <v>2.0</v>
      </c>
      <c r="N1174" s="26">
        <v>1.0</v>
      </c>
      <c r="O1174" s="26">
        <v>0.0</v>
      </c>
      <c r="P1174" s="26">
        <v>828.0</v>
      </c>
      <c r="Q1174" s="35">
        <v>24.0</v>
      </c>
      <c r="R1174" s="32">
        <v>45860.0</v>
      </c>
      <c r="S1174" s="32">
        <v>45837.0</v>
      </c>
      <c r="T1174" s="29"/>
      <c r="U1174" s="33"/>
      <c r="V1174" s="1"/>
    </row>
    <row r="1175" ht="24.0" customHeight="1">
      <c r="A1175" s="1"/>
      <c r="B1175" s="24" t="str">
        <f>HYPERLINK("https://www.compass.com/listing/83-33-austin-street-unit-2c-queens-ny-11415/1861219271222518809/view?agent_id=610d3f3370540700019b0833","83-33 Austin Street, Unit 2C")</f>
        <v>83-33 Austin Street, Unit 2C</v>
      </c>
      <c r="C1175" s="25" t="s">
        <v>22</v>
      </c>
      <c r="D1175" s="26" t="s">
        <v>23</v>
      </c>
      <c r="E1175" s="27" t="str">
        <f>HYPERLINK("https://www.compass.com/building/83-33-austin-st-queens-ny-11415/293526716725418789/","83-33 Austin St")</f>
        <v>83-33 Austin St</v>
      </c>
      <c r="F1175" s="25" t="s">
        <v>91</v>
      </c>
      <c r="G1175" s="28">
        <v>399000.0</v>
      </c>
      <c r="H1175" s="28">
        <v>399.0</v>
      </c>
      <c r="I1175" s="28">
        <v>1287.0</v>
      </c>
      <c r="J1175" s="29"/>
      <c r="K1175" s="25" t="s">
        <v>25</v>
      </c>
      <c r="L1175" s="26">
        <v>4.0</v>
      </c>
      <c r="M1175" s="26">
        <v>2.0</v>
      </c>
      <c r="N1175" s="26">
        <v>1.0</v>
      </c>
      <c r="O1175" s="30"/>
      <c r="P1175" s="34">
        <v>1000.0</v>
      </c>
      <c r="Q1175" s="35">
        <v>32.0</v>
      </c>
      <c r="R1175" s="32">
        <v>45862.0</v>
      </c>
      <c r="S1175" s="32">
        <v>45831.0</v>
      </c>
      <c r="T1175" s="29"/>
      <c r="U1175" s="33"/>
      <c r="V1175" s="1"/>
    </row>
    <row r="1176" ht="24.0" customHeight="1">
      <c r="A1176" s="1"/>
      <c r="B1176" s="24" t="str">
        <f>HYPERLINK("https://www.compass.com/listing/12205-flatlands-avenue-unit-1e-brooklyn-ny-11207/1816814013302483601/view?agent_id=610d3f3370540700019b0833","12205 Flatlands Avenue, Unit 1E")</f>
        <v>12205 Flatlands Avenue, Unit 1E</v>
      </c>
      <c r="C1176" s="25" t="s">
        <v>22</v>
      </c>
      <c r="D1176" s="26" t="s">
        <v>23</v>
      </c>
      <c r="E1176" s="27" t="str">
        <f>HYPERLINK("https://www.compass.com/building/meadowwood-west-at-gateway-brooklyn-ny/294848362427456613/","MeadowWood West at Gateway")</f>
        <v>MeadowWood West at Gateway</v>
      </c>
      <c r="F1176" s="25" t="s">
        <v>85</v>
      </c>
      <c r="G1176" s="28">
        <v>379000.0</v>
      </c>
      <c r="H1176" s="28">
        <v>428.0</v>
      </c>
      <c r="I1176" s="28">
        <v>612.0</v>
      </c>
      <c r="J1176" s="29"/>
      <c r="K1176" s="25" t="s">
        <v>25</v>
      </c>
      <c r="L1176" s="26">
        <v>4.0</v>
      </c>
      <c r="M1176" s="26">
        <v>2.0</v>
      </c>
      <c r="N1176" s="26">
        <v>1.0</v>
      </c>
      <c r="O1176" s="30"/>
      <c r="P1176" s="26">
        <v>885.0</v>
      </c>
      <c r="Q1176" s="35">
        <v>105.0</v>
      </c>
      <c r="R1176" s="32">
        <v>45760.0</v>
      </c>
      <c r="S1176" s="32">
        <v>45758.0</v>
      </c>
      <c r="T1176" s="29"/>
      <c r="U1176" s="33"/>
      <c r="V1176" s="1"/>
    </row>
    <row r="1177" ht="24.0" customHeight="1">
      <c r="A1177" s="1"/>
      <c r="B1177" s="24" t="str">
        <f>HYPERLINK("https://www.compass.com/listing/70-11-ditmars-boulevard-queens-ny-11370/1850973881678680345/view?agent_id=610d3f3370540700019b0833","70-11 Ditmars Boulevard")</f>
        <v>70-11 Ditmars Boulevard</v>
      </c>
      <c r="C1177" s="25" t="s">
        <v>22</v>
      </c>
      <c r="D1177" s="26" t="s">
        <v>23</v>
      </c>
      <c r="E1177" s="27" t="str">
        <f>HYPERLINK("https://www.compass.com/building/70-11-ditmars-blvd-queens-ny-11370/293526278538039669/","70-11 Ditmars Blvd")</f>
        <v>70-11 Ditmars Blvd</v>
      </c>
      <c r="F1177" s="25" t="s">
        <v>68</v>
      </c>
      <c r="G1177" s="28">
        <v>1150000.0</v>
      </c>
      <c r="H1177" s="29"/>
      <c r="I1177" s="28">
        <v>580.0</v>
      </c>
      <c r="J1177" s="28">
        <v>6960.0</v>
      </c>
      <c r="K1177" s="25" t="s">
        <v>266</v>
      </c>
      <c r="L1177" s="26">
        <v>0.0</v>
      </c>
      <c r="M1177" s="26">
        <v>2.0</v>
      </c>
      <c r="N1177" s="26">
        <v>1.0</v>
      </c>
      <c r="O1177" s="30"/>
      <c r="P1177" s="34">
        <v>1000.0</v>
      </c>
      <c r="Q1177" s="35">
        <v>58.0</v>
      </c>
      <c r="R1177" s="32">
        <v>45813.0</v>
      </c>
      <c r="S1177" s="32">
        <v>45805.0</v>
      </c>
      <c r="T1177" s="29"/>
      <c r="U1177" s="33"/>
      <c r="V1177" s="1"/>
    </row>
    <row r="1178" ht="24.0" customHeight="1">
      <c r="A1178" s="1"/>
      <c r="B1178" s="24" t="str">
        <f>HYPERLINK("https://www.compass.com/listing/2420-morris-avenue-unit-2e-bronx-ny-10468/1258386841426467289/view?agent_id=610d3f3370540700019b0833","2420 Morris Avenue, Unit 2E")</f>
        <v>2420 Morris Avenue, Unit 2E</v>
      </c>
      <c r="C1178" s="25" t="s">
        <v>22</v>
      </c>
      <c r="D1178" s="26" t="s">
        <v>23</v>
      </c>
      <c r="E1178" s="27" t="str">
        <f>HYPERLINK("https://www.compass.com/building/2420-morris-ave-bronx-ny-10468/293535085058084885/","2420 Morris Ave")</f>
        <v>2420 Morris Ave</v>
      </c>
      <c r="F1178" s="25" t="s">
        <v>263</v>
      </c>
      <c r="G1178" s="28">
        <v>295000.0</v>
      </c>
      <c r="H1178" s="28">
        <v>298.0</v>
      </c>
      <c r="I1178" s="28">
        <v>1059.0</v>
      </c>
      <c r="J1178" s="28">
        <v>0.0</v>
      </c>
      <c r="K1178" s="25" t="s">
        <v>25</v>
      </c>
      <c r="L1178" s="26">
        <v>4.0</v>
      </c>
      <c r="M1178" s="26">
        <v>2.0</v>
      </c>
      <c r="N1178" s="26">
        <v>1.0</v>
      </c>
      <c r="O1178" s="26">
        <v>0.0</v>
      </c>
      <c r="P1178" s="26">
        <v>990.0</v>
      </c>
      <c r="Q1178" s="35">
        <v>876.0</v>
      </c>
      <c r="R1178" s="32">
        <v>45839.0</v>
      </c>
      <c r="S1178" s="32">
        <v>44987.0</v>
      </c>
      <c r="T1178" s="29"/>
      <c r="U1178" s="33"/>
      <c r="V1178" s="1"/>
    </row>
    <row r="1179" ht="24.0" customHeight="1">
      <c r="A1179" s="1"/>
      <c r="B1179" s="24" t="str">
        <f>HYPERLINK("https://www.compass.com/listing/2-fordham-hill-ovl-unit-5b-bronx-ny-10468/1803824175331593305/view?agent_id=610d3f3370540700019b0833","2 Fordham Hill Ovl, Unit 5B")</f>
        <v>2 Fordham Hill Ovl, Unit 5B</v>
      </c>
      <c r="C1179" s="25" t="s">
        <v>22</v>
      </c>
      <c r="D1179" s="26" t="s">
        <v>23</v>
      </c>
      <c r="E1179" s="27" t="str">
        <f>HYPERLINK("https://www.compass.com/building/2-fordham-hill-oval-bronx-ny-10468/294841754830099157/","2 Fordham Hill Oval")</f>
        <v>2 Fordham Hill Oval</v>
      </c>
      <c r="F1179" s="25" t="s">
        <v>126</v>
      </c>
      <c r="G1179" s="28">
        <v>274900.0</v>
      </c>
      <c r="H1179" s="28">
        <v>289.0</v>
      </c>
      <c r="I1179" s="28">
        <v>1550.0</v>
      </c>
      <c r="J1179" s="28">
        <v>0.0</v>
      </c>
      <c r="K1179" s="25" t="s">
        <v>25</v>
      </c>
      <c r="L1179" s="26">
        <v>5.0</v>
      </c>
      <c r="M1179" s="26">
        <v>2.0</v>
      </c>
      <c r="N1179" s="26">
        <v>1.0</v>
      </c>
      <c r="O1179" s="26">
        <v>0.0</v>
      </c>
      <c r="P1179" s="26">
        <v>950.0</v>
      </c>
      <c r="Q1179" s="35">
        <v>124.0</v>
      </c>
      <c r="R1179" s="32">
        <v>45863.0</v>
      </c>
      <c r="S1179" s="32">
        <v>45739.0</v>
      </c>
      <c r="T1179" s="29"/>
      <c r="U1179" s="33"/>
      <c r="V1179" s="1"/>
    </row>
    <row r="1180" ht="24.0" customHeight="1">
      <c r="A1180" s="1"/>
      <c r="B1180" s="24" t="str">
        <f>HYPERLINK("https://www.compass.com/listing/38-15-149th-street-unit-2d-queens-ny-11354/1871887569298384665/view?agent_id=610d3f3370540700019b0833","38-15 149th Street, Unit 2D")</f>
        <v>38-15 149th Street, Unit 2D</v>
      </c>
      <c r="C1180" s="25" t="s">
        <v>22</v>
      </c>
      <c r="D1180" s="26" t="s">
        <v>23</v>
      </c>
      <c r="E1180" s="27" t="str">
        <f>HYPERLINK("https://www.compass.com/building/38-15-149th-st-queens-ny-11354/293527290204191573/","38-15 149th St")</f>
        <v>38-15 149th St</v>
      </c>
      <c r="F1180" s="25" t="s">
        <v>160</v>
      </c>
      <c r="G1180" s="28">
        <v>368000.0</v>
      </c>
      <c r="H1180" s="28">
        <v>335.0</v>
      </c>
      <c r="I1180" s="28">
        <v>868.0</v>
      </c>
      <c r="J1180" s="29"/>
      <c r="K1180" s="25" t="s">
        <v>25</v>
      </c>
      <c r="L1180" s="26">
        <v>4.0</v>
      </c>
      <c r="M1180" s="26">
        <v>2.0</v>
      </c>
      <c r="N1180" s="26">
        <v>1.0</v>
      </c>
      <c r="O1180" s="30"/>
      <c r="P1180" s="34">
        <v>1100.0</v>
      </c>
      <c r="Q1180" s="35">
        <v>29.0</v>
      </c>
      <c r="R1180" s="32">
        <v>45835.0</v>
      </c>
      <c r="S1180" s="32">
        <v>45834.0</v>
      </c>
      <c r="T1180" s="29"/>
      <c r="U1180" s="33"/>
      <c r="V1180" s="1"/>
    </row>
    <row r="1181" ht="24.0" customHeight="1">
      <c r="A1181" s="1"/>
      <c r="B1181" s="24" t="str">
        <f>HYPERLINK("https://www.compass.com/listing/44-69-kissena-boulevard-unit-4m-queens-ny-11355/1844959136763177713/view?agent_id=610d3f3370540700019b0833","44-69 Kissena Boulevard, Unit 4M")</f>
        <v>44-69 Kissena Boulevard, Unit 4M</v>
      </c>
      <c r="C1181" s="25" t="s">
        <v>22</v>
      </c>
      <c r="D1181" s="26" t="s">
        <v>23</v>
      </c>
      <c r="E1181" s="27" t="str">
        <f>HYPERLINK("https://www.compass.com/building/44-69-kissena-blvd-queens-ny-11355/307451719780565845/","44-69 Kissena Blvd")</f>
        <v>44-69 Kissena Blvd</v>
      </c>
      <c r="F1181" s="25" t="s">
        <v>185</v>
      </c>
      <c r="G1181" s="28">
        <v>430000.0</v>
      </c>
      <c r="H1181" s="28">
        <v>391.0</v>
      </c>
      <c r="I1181" s="28">
        <v>880.0</v>
      </c>
      <c r="J1181" s="29"/>
      <c r="K1181" s="25" t="s">
        <v>25</v>
      </c>
      <c r="L1181" s="26">
        <v>5.0</v>
      </c>
      <c r="M1181" s="26">
        <v>2.0</v>
      </c>
      <c r="N1181" s="26">
        <v>1.0</v>
      </c>
      <c r="O1181" s="30"/>
      <c r="P1181" s="34">
        <v>1100.0</v>
      </c>
      <c r="Q1181" s="35">
        <v>66.0</v>
      </c>
      <c r="R1181" s="32">
        <v>45820.0</v>
      </c>
      <c r="S1181" s="32">
        <v>45797.0</v>
      </c>
      <c r="T1181" s="29"/>
      <c r="U1181" s="33"/>
      <c r="V1181" s="1"/>
    </row>
    <row r="1182" ht="24.0" customHeight="1">
      <c r="A1182" s="1"/>
      <c r="B1182" s="24" t="str">
        <f>HYPERLINK("https://www.compass.com/listing/8-fordham-hill-ovl-unit-1b-bronx-ny-10468/1558819188335785489/view?agent_id=610d3f3370540700019b0833","8 Fordham Hill Ovl, Unit 1B")</f>
        <v>8 Fordham Hill Ovl, Unit 1B</v>
      </c>
      <c r="C1182" s="25" t="s">
        <v>22</v>
      </c>
      <c r="D1182" s="26" t="s">
        <v>23</v>
      </c>
      <c r="E1182" s="27" t="str">
        <f>HYPERLINK("https://www.compass.com/building/8-fordham-hill-oval-bronx-ny-10468/294844386747580069/","8 Fordham Hill Oval")</f>
        <v>8 Fordham Hill Oval</v>
      </c>
      <c r="F1182" s="25" t="s">
        <v>126</v>
      </c>
      <c r="G1182" s="28">
        <v>268500.0</v>
      </c>
      <c r="H1182" s="28">
        <v>275.0</v>
      </c>
      <c r="I1182" s="28">
        <v>1454.0</v>
      </c>
      <c r="J1182" s="29"/>
      <c r="K1182" s="25" t="s">
        <v>25</v>
      </c>
      <c r="L1182" s="26">
        <v>4.0</v>
      </c>
      <c r="M1182" s="26">
        <v>2.0</v>
      </c>
      <c r="N1182" s="26">
        <v>1.0</v>
      </c>
      <c r="O1182" s="30"/>
      <c r="P1182" s="26">
        <v>975.0</v>
      </c>
      <c r="Q1182" s="35">
        <v>316.0</v>
      </c>
      <c r="R1182" s="32">
        <v>45858.0</v>
      </c>
      <c r="S1182" s="32">
        <v>45402.0</v>
      </c>
      <c r="T1182" s="29"/>
      <c r="U1182" s="33"/>
      <c r="V1182" s="1"/>
    </row>
    <row r="1183" ht="24.0" customHeight="1">
      <c r="A1183" s="1"/>
      <c r="B1183" s="24" t="str">
        <f>HYPERLINK("https://www.compass.com/listing/35-20-leverich-street-unit-a-504-queens-ny-11372/1825760553952070385/view?agent_id=610d3f3370540700019b0833","35-20 Leverich Street, Unit A 504")</f>
        <v>35-20 Leverich Street, Unit A 504</v>
      </c>
      <c r="C1183" s="25" t="s">
        <v>22</v>
      </c>
      <c r="D1183" s="26" t="s">
        <v>23</v>
      </c>
      <c r="E1183" s="27" t="str">
        <f>HYPERLINK("https://www.compass.com/building/andrew-jackson-queens-ny/293527618886627749/","Andrew Jackson ")</f>
        <v>Andrew Jackson </v>
      </c>
      <c r="F1183" s="25" t="s">
        <v>33</v>
      </c>
      <c r="G1183" s="28">
        <v>599000.0</v>
      </c>
      <c r="H1183" s="28">
        <v>745.0</v>
      </c>
      <c r="I1183" s="28">
        <v>1205.0</v>
      </c>
      <c r="J1183" s="28">
        <v>4200.0</v>
      </c>
      <c r="K1183" s="25" t="s">
        <v>28</v>
      </c>
      <c r="L1183" s="26">
        <v>4.0</v>
      </c>
      <c r="M1183" s="26">
        <v>2.0</v>
      </c>
      <c r="N1183" s="26">
        <v>1.0</v>
      </c>
      <c r="O1183" s="30"/>
      <c r="P1183" s="26">
        <v>804.0</v>
      </c>
      <c r="Q1183" s="35">
        <v>93.0</v>
      </c>
      <c r="R1183" s="32">
        <v>45809.0</v>
      </c>
      <c r="S1183" s="32">
        <v>45770.0</v>
      </c>
      <c r="T1183" s="29"/>
      <c r="U1183" s="33"/>
      <c r="V1183" s="1"/>
    </row>
    <row r="1184" ht="24.0" customHeight="1">
      <c r="A1184" s="1"/>
      <c r="B1184" s="24" t="str">
        <f>HYPERLINK("https://www.compass.com/listing/9-fordham-hill-ovl-unit-17c-bronx-ny-10468/1765482480681608081/view?agent_id=610d3f3370540700019b0833","9 Fordham Hill Ovl, Unit 17C")</f>
        <v>9 Fordham Hill Ovl, Unit 17C</v>
      </c>
      <c r="C1184" s="25" t="s">
        <v>22</v>
      </c>
      <c r="D1184" s="26" t="s">
        <v>23</v>
      </c>
      <c r="E1184" s="27" t="str">
        <f>HYPERLINK("https://www.compass.com/building/9-fordham-hill-oval-bronx-ny-10468/294842156963339045/","9 Fordham Hill Oval")</f>
        <v>9 Fordham Hill Oval</v>
      </c>
      <c r="F1184" s="25" t="s">
        <v>126</v>
      </c>
      <c r="G1184" s="28">
        <v>276000.0</v>
      </c>
      <c r="H1184" s="28">
        <v>283.0</v>
      </c>
      <c r="I1184" s="28">
        <v>1694.0</v>
      </c>
      <c r="J1184" s="29"/>
      <c r="K1184" s="25" t="s">
        <v>25</v>
      </c>
      <c r="L1184" s="26">
        <v>4.0</v>
      </c>
      <c r="M1184" s="26">
        <v>2.0</v>
      </c>
      <c r="N1184" s="26">
        <v>1.0</v>
      </c>
      <c r="O1184" s="30"/>
      <c r="P1184" s="26">
        <v>975.0</v>
      </c>
      <c r="Q1184" s="35">
        <v>130.0</v>
      </c>
      <c r="R1184" s="32">
        <v>45860.0</v>
      </c>
      <c r="S1184" s="32">
        <v>45687.0</v>
      </c>
      <c r="T1184" s="29"/>
      <c r="U1184" s="33"/>
      <c r="V1184" s="1"/>
    </row>
    <row r="1185" ht="24.0" customHeight="1">
      <c r="A1185" s="1"/>
      <c r="B1185" s="24" t="str">
        <f>HYPERLINK("https://www.compass.com/listing/8-fordham-hill-ovl-unit-12c-bronx-ny-10468/1174694564563421513/view?agent_id=610d3f3370540700019b0833","8 Fordham Hill Ovl, Unit 12C")</f>
        <v>8 Fordham Hill Ovl, Unit 12C</v>
      </c>
      <c r="C1185" s="25" t="s">
        <v>22</v>
      </c>
      <c r="D1185" s="26" t="s">
        <v>23</v>
      </c>
      <c r="E1185" s="27" t="str">
        <f>HYPERLINK("https://www.compass.com/building/8-fordham-hill-oval-bronx-ny-10468/294844386747580069/","8 Fordham Hill Oval")</f>
        <v>8 Fordham Hill Oval</v>
      </c>
      <c r="F1185" s="25" t="s">
        <v>126</v>
      </c>
      <c r="G1185" s="28">
        <v>267000.0</v>
      </c>
      <c r="H1185" s="28">
        <v>277.0</v>
      </c>
      <c r="I1185" s="28">
        <v>1455.0</v>
      </c>
      <c r="J1185" s="29"/>
      <c r="K1185" s="25" t="s">
        <v>25</v>
      </c>
      <c r="L1185" s="26">
        <v>4.0</v>
      </c>
      <c r="M1185" s="26">
        <v>2.0</v>
      </c>
      <c r="N1185" s="26">
        <v>1.0</v>
      </c>
      <c r="O1185" s="30"/>
      <c r="P1185" s="26">
        <v>965.0</v>
      </c>
      <c r="Q1185" s="35">
        <v>984.0</v>
      </c>
      <c r="R1185" s="32">
        <v>45862.0</v>
      </c>
      <c r="S1185" s="32">
        <v>44872.0</v>
      </c>
      <c r="T1185" s="29"/>
      <c r="U1185" s="33"/>
      <c r="V1185" s="1"/>
    </row>
    <row r="1186" ht="24.0" customHeight="1">
      <c r="A1186" s="1"/>
      <c r="B1186" s="24" t="str">
        <f>HYPERLINK("https://www.compass.com/listing/6-fordham-hill-ovl-unit-69c-bronx-ny-10468/1785239507637694417/view?agent_id=610d3f3370540700019b0833","6 Fordham Hill Ovl, Unit 69C")</f>
        <v>6 Fordham Hill Ovl, Unit 69C</v>
      </c>
      <c r="C1186" s="25" t="s">
        <v>22</v>
      </c>
      <c r="D1186" s="26" t="s">
        <v>23</v>
      </c>
      <c r="E1186" s="27" t="str">
        <f>HYPERLINK("https://www.compass.com/building/6-fordham-hill-oval-bronx-ny-10468/294842302102907701/","6 Fordham Hill Oval")</f>
        <v>6 Fordham Hill Oval</v>
      </c>
      <c r="F1186" s="25" t="s">
        <v>126</v>
      </c>
      <c r="G1186" s="28">
        <v>179000.0</v>
      </c>
      <c r="H1186" s="28">
        <v>185.0</v>
      </c>
      <c r="I1186" s="28">
        <v>1298.0</v>
      </c>
      <c r="J1186" s="29"/>
      <c r="K1186" s="25" t="s">
        <v>25</v>
      </c>
      <c r="L1186" s="26">
        <v>3.0</v>
      </c>
      <c r="M1186" s="26">
        <v>2.0</v>
      </c>
      <c r="N1186" s="26">
        <v>1.0</v>
      </c>
      <c r="O1186" s="30"/>
      <c r="P1186" s="26">
        <v>965.0</v>
      </c>
      <c r="Q1186" s="35">
        <v>149.0</v>
      </c>
      <c r="R1186" s="32">
        <v>45808.0</v>
      </c>
      <c r="S1186" s="32">
        <v>45714.0</v>
      </c>
      <c r="T1186" s="29"/>
      <c r="U1186" s="33"/>
      <c r="V1186" s="1"/>
    </row>
    <row r="1187" ht="24.0" customHeight="1">
      <c r="A1187" s="1"/>
      <c r="B1187" s="24" t="str">
        <f>HYPERLINK("https://www.compass.com/listing/101-stack-drive-unit-a-staten-island-ny-10312/1874811793985297401/view?agent_id=610d3f3370540700019b0833","101 Stack Drive, Unit A")</f>
        <v>101 Stack Drive, Unit A</v>
      </c>
      <c r="C1187" s="25" t="s">
        <v>22</v>
      </c>
      <c r="D1187" s="26" t="s">
        <v>23</v>
      </c>
      <c r="E1187" s="27" t="str">
        <f>HYPERLINK("https://www.compass.com/building/101-stack-dr-staten-island-ny-10312/358731435986148869/","101 Stack Dr")</f>
        <v>101 Stack Dr</v>
      </c>
      <c r="F1187" s="25" t="s">
        <v>267</v>
      </c>
      <c r="G1187" s="28">
        <v>460000.0</v>
      </c>
      <c r="H1187" s="28">
        <v>535.0</v>
      </c>
      <c r="I1187" s="28">
        <v>644.0</v>
      </c>
      <c r="J1187" s="28">
        <v>3531.0</v>
      </c>
      <c r="K1187" s="25" t="s">
        <v>28</v>
      </c>
      <c r="L1187" s="26">
        <v>5.0</v>
      </c>
      <c r="M1187" s="26">
        <v>2.0</v>
      </c>
      <c r="N1187" s="26">
        <v>1.0</v>
      </c>
      <c r="O1187" s="26">
        <v>0.0</v>
      </c>
      <c r="P1187" s="26">
        <v>860.0</v>
      </c>
      <c r="Q1187" s="35">
        <v>25.0</v>
      </c>
      <c r="R1187" s="32">
        <v>45861.0</v>
      </c>
      <c r="S1187" s="32">
        <v>45837.0</v>
      </c>
      <c r="T1187" s="29"/>
      <c r="U1187" s="33"/>
      <c r="V1187" s="1"/>
    </row>
    <row r="1188" ht="24.0" customHeight="1">
      <c r="A1188" s="1"/>
      <c r="B1188" s="24" t="str">
        <f>HYPERLINK("https://www.compass.com/listing/78-05-park-drive-east-unit-4b-queens-ny-11367/1861759447531504601/view?agent_id=610d3f3370540700019b0833","78-05 Park Drive East, Unit 4B")</f>
        <v>78-05 Park Drive East, Unit 4B</v>
      </c>
      <c r="C1188" s="25" t="s">
        <v>22</v>
      </c>
      <c r="D1188" s="26" t="s">
        <v>23</v>
      </c>
      <c r="E1188" s="27" t="str">
        <f>HYPERLINK("https://www.compass.com/building/78-05-park-dr-e-queens-ny-11367/314582103681017701/","78-05 Park Dr E")</f>
        <v>78-05 Park Dr E</v>
      </c>
      <c r="F1188" s="25" t="s">
        <v>142</v>
      </c>
      <c r="G1188" s="28">
        <v>350000.0</v>
      </c>
      <c r="H1188" s="28">
        <v>368.0</v>
      </c>
      <c r="I1188" s="28">
        <v>1287.0</v>
      </c>
      <c r="J1188" s="29"/>
      <c r="K1188" s="25" t="s">
        <v>25</v>
      </c>
      <c r="L1188" s="26">
        <v>3.0</v>
      </c>
      <c r="M1188" s="26">
        <v>2.0</v>
      </c>
      <c r="N1188" s="26">
        <v>1.0</v>
      </c>
      <c r="O1188" s="30"/>
      <c r="P1188" s="26">
        <v>950.0</v>
      </c>
      <c r="Q1188" s="35">
        <v>43.0</v>
      </c>
      <c r="R1188" s="32">
        <v>45858.0</v>
      </c>
      <c r="S1188" s="32">
        <v>45820.0</v>
      </c>
      <c r="T1188" s="29"/>
      <c r="U1188" s="33"/>
      <c r="V1188" s="1"/>
    </row>
    <row r="1189" ht="24.0" customHeight="1">
      <c r="A1189" s="1"/>
      <c r="B1189" s="24" t="str">
        <f>HYPERLINK("https://www.compass.com/listing/61-15-98th-street-unit-16h-queens-ny-11374/1876362160167020009/view?agent_id=610d3f3370540700019b0833","61-15 98th Street, Unit 16H")</f>
        <v>61-15 98th Street, Unit 16H</v>
      </c>
      <c r="C1189" s="25" t="s">
        <v>22</v>
      </c>
      <c r="D1189" s="26" t="s">
        <v>23</v>
      </c>
      <c r="E1189" s="27" t="str">
        <f>HYPERLINK("https://www.compass.com/building/park-city-estates-queens-ny/293529094585345429/","Park City Estates")</f>
        <v>Park City Estates</v>
      </c>
      <c r="F1189" s="25" t="s">
        <v>166</v>
      </c>
      <c r="G1189" s="28">
        <v>439000.0</v>
      </c>
      <c r="H1189" s="28">
        <v>516.0</v>
      </c>
      <c r="I1189" s="28">
        <v>1096.0</v>
      </c>
      <c r="J1189" s="29"/>
      <c r="K1189" s="25" t="s">
        <v>25</v>
      </c>
      <c r="L1189" s="26">
        <v>5.0</v>
      </c>
      <c r="M1189" s="26">
        <v>2.0</v>
      </c>
      <c r="N1189" s="26">
        <v>1.0</v>
      </c>
      <c r="O1189" s="30"/>
      <c r="P1189" s="26">
        <v>850.0</v>
      </c>
      <c r="Q1189" s="35">
        <v>23.0</v>
      </c>
      <c r="R1189" s="32">
        <v>45862.0</v>
      </c>
      <c r="S1189" s="32">
        <v>45840.0</v>
      </c>
      <c r="T1189" s="29"/>
      <c r="U1189" s="33"/>
      <c r="V1189" s="1"/>
    </row>
    <row r="1190" ht="24.0" customHeight="1">
      <c r="A1190" s="1"/>
      <c r="B1190" s="24" t="str">
        <f>HYPERLINK("https://www.compass.com/listing/836-tilden-street-unit-6k-bronx-ny-10467/1708092634967768001/view?agent_id=610d3f3370540700019b0833","836 Tilden Street, Unit 6K")</f>
        <v>836 Tilden Street, Unit 6K</v>
      </c>
      <c r="C1190" s="25" t="s">
        <v>22</v>
      </c>
      <c r="D1190" s="26" t="s">
        <v>23</v>
      </c>
      <c r="E1190" s="27" t="str">
        <f>HYPERLINK("https://www.compass.com/building/surrey-co-op-apartments-bronx-ny/307438905879882213/","Surrey Co-Op Apartments")</f>
        <v>Surrey Co-Op Apartments</v>
      </c>
      <c r="F1190" s="25" t="s">
        <v>130</v>
      </c>
      <c r="G1190" s="28">
        <v>145000.0</v>
      </c>
      <c r="H1190" s="28">
        <v>145.0</v>
      </c>
      <c r="I1190" s="28">
        <v>901.0</v>
      </c>
      <c r="J1190" s="29"/>
      <c r="K1190" s="25" t="s">
        <v>25</v>
      </c>
      <c r="L1190" s="26">
        <v>4.0</v>
      </c>
      <c r="M1190" s="26">
        <v>2.0</v>
      </c>
      <c r="N1190" s="26">
        <v>1.0</v>
      </c>
      <c r="O1190" s="30"/>
      <c r="P1190" s="34">
        <v>1000.0</v>
      </c>
      <c r="Q1190" s="35">
        <v>255.0</v>
      </c>
      <c r="R1190" s="32">
        <v>45841.0</v>
      </c>
      <c r="S1190" s="32">
        <v>45608.0</v>
      </c>
      <c r="T1190" s="29"/>
      <c r="U1190" s="33"/>
      <c r="V1190" s="1"/>
    </row>
    <row r="1191" ht="24.0" customHeight="1">
      <c r="A1191" s="1"/>
      <c r="B1191" s="24" t="str">
        <f>HYPERLINK("https://www.compass.com/listing/12-15-broadway-unit-705-queens-ny-11106/1794379514204375257/view?agent_id=610d3f3370540700019b0833","12-15 Broadway, Unit 705")</f>
        <v>12-15 Broadway, Unit 705</v>
      </c>
      <c r="C1191" s="25" t="s">
        <v>22</v>
      </c>
      <c r="D1191" s="26" t="s">
        <v>23</v>
      </c>
      <c r="E1191" s="27" t="str">
        <f>HYPERLINK("https://www.compass.com/building/12-15-broadway-queens-ny-11106/293533224892672917/","12-15 Broadway")</f>
        <v>12-15 Broadway</v>
      </c>
      <c r="F1191" s="25" t="s">
        <v>68</v>
      </c>
      <c r="G1191" s="28">
        <v>865000.0</v>
      </c>
      <c r="H1191" s="28">
        <v>983.0</v>
      </c>
      <c r="I1191" s="28">
        <v>1651.0</v>
      </c>
      <c r="J1191" s="28">
        <v>9216.0</v>
      </c>
      <c r="K1191" s="25" t="s">
        <v>28</v>
      </c>
      <c r="L1191" s="26">
        <v>3.0</v>
      </c>
      <c r="M1191" s="26">
        <v>2.0</v>
      </c>
      <c r="N1191" s="26">
        <v>1.0</v>
      </c>
      <c r="O1191" s="26">
        <v>0.0</v>
      </c>
      <c r="P1191" s="26">
        <v>880.0</v>
      </c>
      <c r="Q1191" s="35">
        <v>124.0</v>
      </c>
      <c r="R1191" s="32">
        <v>45861.0</v>
      </c>
      <c r="S1191" s="32">
        <v>45727.0</v>
      </c>
      <c r="T1191" s="29"/>
      <c r="U1191" s="33"/>
      <c r="V1191" s="1"/>
    </row>
    <row r="1192" ht="24.0" customHeight="1">
      <c r="A1192" s="1"/>
      <c r="B1192" s="24" t="str">
        <f>HYPERLINK("https://www.compass.com/listing/1670-longfellow-avenue-unit-2a-bronx-ny-10460/1623200400404632201/view?agent_id=610d3f3370540700019b0833","1670 Longfellow Avenue, Unit 2A")</f>
        <v>1670 Longfellow Avenue, Unit 2A</v>
      </c>
      <c r="C1192" s="25" t="s">
        <v>22</v>
      </c>
      <c r="D1192" s="26" t="s">
        <v>23</v>
      </c>
      <c r="E1192" s="27" t="str">
        <f>HYPERLINK("https://www.compass.com/building/1670-longfellow-ave-bronx-ny-10460/293531437439743509/","1670 Longfellow Ave")</f>
        <v>1670 Longfellow Ave</v>
      </c>
      <c r="F1192" s="25" t="s">
        <v>249</v>
      </c>
      <c r="G1192" s="28">
        <v>150000.0</v>
      </c>
      <c r="H1192" s="28">
        <v>182.0</v>
      </c>
      <c r="I1192" s="28">
        <v>1114.0</v>
      </c>
      <c r="J1192" s="29"/>
      <c r="K1192" s="25" t="s">
        <v>25</v>
      </c>
      <c r="L1192" s="26">
        <v>4.0</v>
      </c>
      <c r="M1192" s="26">
        <v>2.0</v>
      </c>
      <c r="N1192" s="26">
        <v>1.0</v>
      </c>
      <c r="O1192" s="30"/>
      <c r="P1192" s="26">
        <v>825.0</v>
      </c>
      <c r="Q1192" s="35">
        <v>360.0</v>
      </c>
      <c r="R1192" s="32">
        <v>45856.0</v>
      </c>
      <c r="S1192" s="32">
        <v>45503.0</v>
      </c>
      <c r="T1192" s="29"/>
      <c r="U1192" s="33"/>
      <c r="V1192" s="1"/>
    </row>
    <row r="1193" ht="24.0" customHeight="1">
      <c r="A1193" s="1"/>
      <c r="B1193" s="24" t="str">
        <f>HYPERLINK("https://www.compass.com/listing/12-15-broadway-unit-605-queens-ny-11106/1623110983069359545/view?agent_id=610d3f3370540700019b0833","12-15 Broadway, Unit 605")</f>
        <v>12-15 Broadway, Unit 605</v>
      </c>
      <c r="C1193" s="25" t="s">
        <v>22</v>
      </c>
      <c r="D1193" s="26" t="s">
        <v>23</v>
      </c>
      <c r="E1193" s="27" t="str">
        <f>HYPERLINK("https://www.compass.com/building/12-15-broadway-queens-ny-11106/293533224892672917/","12-15 Broadway")</f>
        <v>12-15 Broadway</v>
      </c>
      <c r="F1193" s="25" t="s">
        <v>68</v>
      </c>
      <c r="G1193" s="28">
        <v>897000.0</v>
      </c>
      <c r="H1193" s="28">
        <v>900.0</v>
      </c>
      <c r="I1193" s="28">
        <v>1432.0</v>
      </c>
      <c r="J1193" s="28">
        <v>6564.0</v>
      </c>
      <c r="K1193" s="25" t="s">
        <v>28</v>
      </c>
      <c r="L1193" s="26">
        <v>3.0</v>
      </c>
      <c r="M1193" s="26">
        <v>2.0</v>
      </c>
      <c r="N1193" s="30"/>
      <c r="O1193" s="30"/>
      <c r="P1193" s="26">
        <v>997.0</v>
      </c>
      <c r="Q1193" s="35">
        <v>322.0</v>
      </c>
      <c r="R1193" s="32">
        <v>45674.0</v>
      </c>
      <c r="S1193" s="32">
        <v>45490.0</v>
      </c>
      <c r="T1193" s="29"/>
      <c r="U1193" s="33"/>
      <c r="V1193" s="1"/>
    </row>
    <row r="1194" ht="24.0" customHeight="1">
      <c r="A1194" s="1"/>
      <c r="B1194" s="24" t="str">
        <f>HYPERLINK("https://www.compass.com/listing/5-cyrus-avenue-brooklyn-ny-11229/1867457164813920561/view?agent_id=610d3f3370540700019b0833","5 Cyrus Avenue")</f>
        <v>5 Cyrus Avenue</v>
      </c>
      <c r="C1194" s="25" t="s">
        <v>22</v>
      </c>
      <c r="D1194" s="26" t="s">
        <v>23</v>
      </c>
      <c r="E1194" s="27" t="str">
        <f>HYPERLINK("https://www.compass.com/building/5-cyrus-ave-brooklyn-ny-11229/293533072647893397/","5 Cyrus Ave")</f>
        <v>5 Cyrus Ave</v>
      </c>
      <c r="F1194" s="25" t="s">
        <v>240</v>
      </c>
      <c r="G1194" s="28">
        <v>649000.0</v>
      </c>
      <c r="H1194" s="28">
        <v>382.0</v>
      </c>
      <c r="I1194" s="28">
        <v>500.0</v>
      </c>
      <c r="J1194" s="28">
        <v>6000.0</v>
      </c>
      <c r="K1194" s="25" t="s">
        <v>159</v>
      </c>
      <c r="L1194" s="26">
        <v>4.0</v>
      </c>
      <c r="M1194" s="26">
        <v>2.0</v>
      </c>
      <c r="N1194" s="26">
        <v>1.0</v>
      </c>
      <c r="O1194" s="26">
        <v>0.0</v>
      </c>
      <c r="P1194" s="34">
        <v>1700.0</v>
      </c>
      <c r="Q1194" s="35">
        <v>35.0</v>
      </c>
      <c r="R1194" s="32">
        <v>45859.0</v>
      </c>
      <c r="S1194" s="32">
        <v>45828.0</v>
      </c>
      <c r="T1194" s="29"/>
      <c r="U1194" s="33"/>
      <c r="V1194" s="1"/>
    </row>
    <row r="1195" ht="24.0" customHeight="1">
      <c r="A1195" s="1"/>
      <c r="B1195" s="24" t="str">
        <f>HYPERLINK("https://www.compass.com/listing/56-07-31st-avenue-unit-15c-queens-ny-11377/1871165489493409433/view?agent_id=610d3f3370540700019b0833","56-07 31st Avenue, Unit 15C")</f>
        <v>56-07 31st Avenue, Unit 15C</v>
      </c>
      <c r="C1195" s="25" t="s">
        <v>22</v>
      </c>
      <c r="D1195" s="26" t="s">
        <v>23</v>
      </c>
      <c r="E1195" s="27" t="str">
        <f>HYPERLINK("https://www.compass.com/building/56-07-31st-ave-queens-ny-11377/307434032777933877/","56-07 31st Ave")</f>
        <v>56-07 31st Ave</v>
      </c>
      <c r="F1195" s="25" t="s">
        <v>137</v>
      </c>
      <c r="G1195" s="28">
        <v>395000.0</v>
      </c>
      <c r="H1195" s="28">
        <v>494.0</v>
      </c>
      <c r="I1195" s="28">
        <v>856.0</v>
      </c>
      <c r="J1195" s="29"/>
      <c r="K1195" s="25" t="s">
        <v>25</v>
      </c>
      <c r="L1195" s="26">
        <v>4.0</v>
      </c>
      <c r="M1195" s="26">
        <v>2.0</v>
      </c>
      <c r="N1195" s="30"/>
      <c r="O1195" s="30"/>
      <c r="P1195" s="26">
        <v>800.0</v>
      </c>
      <c r="Q1195" s="35">
        <v>52.0</v>
      </c>
      <c r="R1195" s="32">
        <v>45860.0</v>
      </c>
      <c r="S1195" s="32">
        <v>45811.0</v>
      </c>
      <c r="T1195" s="29"/>
      <c r="U1195" s="33"/>
      <c r="V1195" s="1"/>
    </row>
    <row r="1196" ht="24.0" customHeight="1">
      <c r="A1196" s="1"/>
      <c r="B1196" s="24" t="str">
        <f>HYPERLINK("https://www.compass.com/listing/100-colfax-avenue-unit-4b-staten-island-ny-10306/1854484868159165425/view?agent_id=610d3f3370540700019b0833","100 Colfax Avenue, Unit 4B")</f>
        <v>100 Colfax Avenue, Unit 4B</v>
      </c>
      <c r="C1196" s="25" t="s">
        <v>22</v>
      </c>
      <c r="D1196" s="26" t="s">
        <v>23</v>
      </c>
      <c r="E1196" s="27" t="str">
        <f>HYPERLINK("https://www.compass.com/building/100-colfax-ave-staten-island-ny-10306/293526436948577381/","100 Colfax Ave")</f>
        <v>100 Colfax Ave</v>
      </c>
      <c r="F1196" s="25" t="s">
        <v>233</v>
      </c>
      <c r="G1196" s="28">
        <v>389000.0</v>
      </c>
      <c r="H1196" s="28">
        <v>395.0</v>
      </c>
      <c r="I1196" s="28">
        <v>1041.0</v>
      </c>
      <c r="J1196" s="28">
        <v>3800.0</v>
      </c>
      <c r="K1196" s="25" t="s">
        <v>28</v>
      </c>
      <c r="L1196" s="26">
        <v>4.0</v>
      </c>
      <c r="M1196" s="26">
        <v>2.0</v>
      </c>
      <c r="N1196" s="26">
        <v>1.0</v>
      </c>
      <c r="O1196" s="26">
        <v>0.0</v>
      </c>
      <c r="P1196" s="26">
        <v>984.0</v>
      </c>
      <c r="Q1196" s="35">
        <v>53.0</v>
      </c>
      <c r="R1196" s="32">
        <v>45827.0</v>
      </c>
      <c r="S1196" s="32">
        <v>45809.0</v>
      </c>
      <c r="T1196" s="29"/>
      <c r="U1196" s="33"/>
      <c r="V1196" s="1"/>
    </row>
    <row r="1197" ht="24.0" customHeight="1">
      <c r="A1197" s="1"/>
      <c r="B1197" s="24" t="str">
        <f>HYPERLINK("https://www.compass.com/listing/1569-metropolitan-avenue-unit-5g-bronx-ny-10462/1794511779006178193/view?agent_id=610d3f3370540700019b0833","1569 Metropolitan Avenue, Unit 5G")</f>
        <v>1569 Metropolitan Avenue, Unit 5G</v>
      </c>
      <c r="C1197" s="25" t="s">
        <v>22</v>
      </c>
      <c r="D1197" s="26" t="s">
        <v>23</v>
      </c>
      <c r="E1197" s="27" t="str">
        <f>HYPERLINK("https://www.compass.com/building/1569-metropolitan-ave-bronx-ny-10462/307452529398692229/","1569 Metropolitan Ave")</f>
        <v>1569 Metropolitan Ave</v>
      </c>
      <c r="F1197" s="25" t="s">
        <v>129</v>
      </c>
      <c r="G1197" s="28">
        <v>269000.0</v>
      </c>
      <c r="H1197" s="28">
        <v>325.0</v>
      </c>
      <c r="I1197" s="28">
        <v>1196.0</v>
      </c>
      <c r="J1197" s="28">
        <v>1722.0</v>
      </c>
      <c r="K1197" s="25" t="s">
        <v>28</v>
      </c>
      <c r="L1197" s="26">
        <v>4.0</v>
      </c>
      <c r="M1197" s="26">
        <v>2.0</v>
      </c>
      <c r="N1197" s="26">
        <v>1.0</v>
      </c>
      <c r="O1197" s="30"/>
      <c r="P1197" s="26">
        <v>827.0</v>
      </c>
      <c r="Q1197" s="35">
        <v>64.0</v>
      </c>
      <c r="R1197" s="32">
        <v>45807.0</v>
      </c>
      <c r="S1197" s="32">
        <v>45727.0</v>
      </c>
      <c r="T1197" s="29"/>
      <c r="U1197" s="33"/>
      <c r="V1197" s="1"/>
    </row>
    <row r="1198" ht="24.0" customHeight="1">
      <c r="A1198" s="1"/>
      <c r="B1198" s="24" t="str">
        <f>HYPERLINK("https://www.compass.com/listing/43-10-48th-avenue-unit-2f-queens-ny-11377/1801590602268756369/view?agent_id=610d3f3370540700019b0833","43-10 48th Avenue, Unit 2F")</f>
        <v>43-10 48th Avenue, Unit 2F</v>
      </c>
      <c r="C1198" s="25" t="s">
        <v>22</v>
      </c>
      <c r="D1198" s="26" t="s">
        <v>23</v>
      </c>
      <c r="E1198" s="27" t="str">
        <f>HYPERLINK("https://www.compass.com/building/43-10-48th-ave-queens-ny-11377/307455527688654101/","43-10 48th Ave")</f>
        <v>43-10 48th Ave</v>
      </c>
      <c r="F1198" s="25" t="s">
        <v>88</v>
      </c>
      <c r="G1198" s="28">
        <v>483000.0</v>
      </c>
      <c r="H1198" s="28">
        <v>660.0</v>
      </c>
      <c r="I1198" s="28">
        <v>1186.0</v>
      </c>
      <c r="J1198" s="29"/>
      <c r="K1198" s="25" t="s">
        <v>25</v>
      </c>
      <c r="L1198" s="26">
        <v>4.0</v>
      </c>
      <c r="M1198" s="26">
        <v>2.0</v>
      </c>
      <c r="N1198" s="26">
        <v>1.0</v>
      </c>
      <c r="O1198" s="30"/>
      <c r="P1198" s="26">
        <v>732.0</v>
      </c>
      <c r="Q1198" s="35">
        <v>126.0</v>
      </c>
      <c r="R1198" s="32">
        <v>45829.0</v>
      </c>
      <c r="S1198" s="32">
        <v>45737.0</v>
      </c>
      <c r="T1198" s="29"/>
      <c r="U1198" s="33"/>
      <c r="V1198" s="1"/>
    </row>
    <row r="1199" ht="24.0" customHeight="1">
      <c r="A1199" s="1"/>
      <c r="B1199" s="24" t="str">
        <f>HYPERLINK("https://www.compass.com/listing/117-14-union-turnpike-unit-ce2-queens-ny-11415/1870399438224797209/view?agent_id=610d3f3370540700019b0833","117-14 Union Turnpike, Unit CE2")</f>
        <v>117-14 Union Turnpike, Unit CE2</v>
      </c>
      <c r="C1199" s="25" t="s">
        <v>22</v>
      </c>
      <c r="D1199" s="26" t="s">
        <v>23</v>
      </c>
      <c r="E1199" s="27" t="str">
        <f>HYPERLINK("https://www.compass.com/building/117-14-union-tpke-queens-ny-11415/293534222583394869/","117-14 Union Tpke")</f>
        <v>117-14 Union Tpke</v>
      </c>
      <c r="F1199" s="25" t="s">
        <v>91</v>
      </c>
      <c r="G1199" s="28">
        <v>329000.0</v>
      </c>
      <c r="H1199" s="29"/>
      <c r="I1199" s="28">
        <v>1495.0</v>
      </c>
      <c r="J1199" s="28">
        <v>0.0</v>
      </c>
      <c r="K1199" s="25" t="s">
        <v>25</v>
      </c>
      <c r="L1199" s="26">
        <v>4.0</v>
      </c>
      <c r="M1199" s="26">
        <v>2.0</v>
      </c>
      <c r="N1199" s="26">
        <v>1.0</v>
      </c>
      <c r="O1199" s="26">
        <v>0.0</v>
      </c>
      <c r="P1199" s="30"/>
      <c r="Q1199" s="35">
        <v>31.0</v>
      </c>
      <c r="R1199" s="32">
        <v>45832.0</v>
      </c>
      <c r="S1199" s="32">
        <v>45832.0</v>
      </c>
      <c r="T1199" s="29"/>
      <c r="U1199" s="33"/>
      <c r="V1199" s="1"/>
    </row>
    <row r="1200" ht="24.0" customHeight="1">
      <c r="A1200" s="1"/>
      <c r="B1200" s="24" t="str">
        <f>HYPERLINK("https://www.compass.com/listing/108-01-fern-place-queens-ny-11433/1866745830014678361/view?agent_id=610d3f3370540700019b0833","108-01 Fern Place")</f>
        <v>108-01 Fern Place</v>
      </c>
      <c r="C1200" s="25" t="s">
        <v>22</v>
      </c>
      <c r="D1200" s="26" t="s">
        <v>23</v>
      </c>
      <c r="E1200" s="27" t="str">
        <f>HYPERLINK("https://www.compass.com/building/108-01-fern-pl-queens-ny-11433/293526215539566005/","108-01 Fern Pl")</f>
        <v>108-01 Fern Pl</v>
      </c>
      <c r="F1200" s="25" t="s">
        <v>200</v>
      </c>
      <c r="G1200" s="28">
        <v>599000.0</v>
      </c>
      <c r="H1200" s="28">
        <v>826.0</v>
      </c>
      <c r="I1200" s="28">
        <v>370.0</v>
      </c>
      <c r="J1200" s="28">
        <v>4442.0</v>
      </c>
      <c r="K1200" s="25" t="s">
        <v>97</v>
      </c>
      <c r="L1200" s="26">
        <v>3.0</v>
      </c>
      <c r="M1200" s="26">
        <v>2.0</v>
      </c>
      <c r="N1200" s="26">
        <v>1.0</v>
      </c>
      <c r="O1200" s="30"/>
      <c r="P1200" s="26">
        <v>725.0</v>
      </c>
      <c r="Q1200" s="35">
        <v>36.0</v>
      </c>
      <c r="R1200" s="32">
        <v>45862.0</v>
      </c>
      <c r="S1200" s="32">
        <v>45827.0</v>
      </c>
      <c r="T1200" s="29"/>
      <c r="U1200" s="33"/>
      <c r="V1200" s="1"/>
    </row>
    <row r="1201" ht="24.0" customHeight="1">
      <c r="A1201" s="1"/>
      <c r="B1201" s="24" t="str">
        <f>HYPERLINK("https://www.compass.com/listing/22-39-78th-street-unit-2f-queens-ny-11370/1844337567376630073/view?agent_id=610d3f3370540700019b0833","22-39 78th Street, Unit 2F")</f>
        <v>22-39 78th Street, Unit 2F</v>
      </c>
      <c r="C1201" s="25" t="s">
        <v>22</v>
      </c>
      <c r="D1201" s="26" t="s">
        <v>23</v>
      </c>
      <c r="E1201" s="27" t="str">
        <f>HYPERLINK("https://www.compass.com/building/22-39-78th-st-queens-ny-11370/307452258178426405/","22-39 78th St")</f>
        <v>22-39 78th St</v>
      </c>
      <c r="F1201" s="25" t="s">
        <v>68</v>
      </c>
      <c r="G1201" s="28">
        <v>475000.0</v>
      </c>
      <c r="H1201" s="28">
        <v>636.0</v>
      </c>
      <c r="I1201" s="28">
        <v>969.0</v>
      </c>
      <c r="J1201" s="28">
        <v>5020.0</v>
      </c>
      <c r="K1201" s="25" t="s">
        <v>28</v>
      </c>
      <c r="L1201" s="26">
        <v>5.0</v>
      </c>
      <c r="M1201" s="26">
        <v>2.0</v>
      </c>
      <c r="N1201" s="26">
        <v>1.0</v>
      </c>
      <c r="O1201" s="30"/>
      <c r="P1201" s="26">
        <v>747.0</v>
      </c>
      <c r="Q1201" s="35">
        <v>67.0</v>
      </c>
      <c r="R1201" s="32">
        <v>45860.0</v>
      </c>
      <c r="S1201" s="32">
        <v>45796.0</v>
      </c>
      <c r="T1201" s="29"/>
      <c r="U1201" s="33"/>
      <c r="V1201" s="1"/>
    </row>
    <row r="1202" ht="24.0" customHeight="1">
      <c r="A1202" s="1"/>
      <c r="B1202" s="24" t="str">
        <f>HYPERLINK("https://www.compass.com/listing/501-surf-avenue-unit-23m-brooklyn-ny-11224/1870783374792633361/view?agent_id=610d3f3370540700019b0833","501 Surf Avenue, Unit 23M")</f>
        <v>501 Surf Avenue, Unit 23M</v>
      </c>
      <c r="C1202" s="25" t="s">
        <v>22</v>
      </c>
      <c r="D1202" s="26" t="s">
        <v>23</v>
      </c>
      <c r="E1202" s="27" t="str">
        <f>HYPERLINK("https://www.compass.com/building/brightwater-towers-brooklyn-ny/294843377849785077/","Brightwater Towers")</f>
        <v>Brightwater Towers</v>
      </c>
      <c r="F1202" s="25" t="s">
        <v>183</v>
      </c>
      <c r="G1202" s="28">
        <v>699000.0</v>
      </c>
      <c r="H1202" s="28">
        <v>716.0</v>
      </c>
      <c r="I1202" s="28">
        <v>1146.0</v>
      </c>
      <c r="J1202" s="28">
        <v>1749.0</v>
      </c>
      <c r="K1202" s="25" t="s">
        <v>28</v>
      </c>
      <c r="L1202" s="26">
        <v>4.0</v>
      </c>
      <c r="M1202" s="26">
        <v>2.0</v>
      </c>
      <c r="N1202" s="26">
        <v>1.0</v>
      </c>
      <c r="O1202" s="30"/>
      <c r="P1202" s="26">
        <v>976.0</v>
      </c>
      <c r="Q1202" s="35">
        <v>27.0</v>
      </c>
      <c r="R1202" s="32">
        <v>45838.0</v>
      </c>
      <c r="S1202" s="32">
        <v>45836.0</v>
      </c>
      <c r="T1202" s="29"/>
      <c r="U1202" s="33"/>
      <c r="V1202" s="1"/>
    </row>
    <row r="1203" ht="24.0" customHeight="1">
      <c r="A1203" s="1"/>
      <c r="B1203" s="24" t="str">
        <f>HYPERLINK("https://www.compass.com/listing/69-40-yellowstone-boulevard-unit-207-queens-ny-11375/1825478723893744177/view?agent_id=610d3f3370540700019b0833","69-40 Yellowstone Boulevard, Unit 207")</f>
        <v>69-40 Yellowstone Boulevard, Unit 207</v>
      </c>
      <c r="C1203" s="25" t="s">
        <v>22</v>
      </c>
      <c r="D1203" s="26" t="s">
        <v>23</v>
      </c>
      <c r="E1203" s="27" t="str">
        <f>HYPERLINK("https://www.compass.com/building/69-40-yellowstone-blvd-queens-ny-11375/293532466285766597/","69-40 Yellowstone Blvd")</f>
        <v>69-40 Yellowstone Blvd</v>
      </c>
      <c r="F1203" s="25" t="s">
        <v>166</v>
      </c>
      <c r="G1203" s="28">
        <v>379000.0</v>
      </c>
      <c r="H1203" s="28">
        <v>399.0</v>
      </c>
      <c r="I1203" s="28">
        <v>1490.0</v>
      </c>
      <c r="J1203" s="29"/>
      <c r="K1203" s="25" t="s">
        <v>25</v>
      </c>
      <c r="L1203" s="26">
        <v>4.0</v>
      </c>
      <c r="M1203" s="26">
        <v>2.0</v>
      </c>
      <c r="N1203" s="26">
        <v>1.0</v>
      </c>
      <c r="O1203" s="30"/>
      <c r="P1203" s="26">
        <v>950.0</v>
      </c>
      <c r="Q1203" s="35">
        <v>92.0</v>
      </c>
      <c r="R1203" s="32">
        <v>45791.0</v>
      </c>
      <c r="S1203" s="32">
        <v>45771.0</v>
      </c>
      <c r="T1203" s="29"/>
      <c r="U1203" s="33"/>
      <c r="V1203" s="1"/>
    </row>
    <row r="1204" ht="24.0" customHeight="1">
      <c r="A1204" s="1"/>
      <c r="B1204" s="24" t="str">
        <f>HYPERLINK("https://www.compass.com/listing/8-church-street-queens-ny-11414/1854578602230581577/view?agent_id=610d3f3370540700019b0833","8 Church Street")</f>
        <v>8 Church Street</v>
      </c>
      <c r="C1204" s="25" t="s">
        <v>22</v>
      </c>
      <c r="D1204" s="26" t="s">
        <v>23</v>
      </c>
      <c r="E1204" s="27" t="str">
        <f>HYPERLINK("https://www.compass.com/building/8-church-st-queens-ny-11414/293530235922666325/","8 Church St")</f>
        <v>8 Church St</v>
      </c>
      <c r="F1204" s="25" t="s">
        <v>220</v>
      </c>
      <c r="G1204" s="28">
        <v>225000.0</v>
      </c>
      <c r="H1204" s="28">
        <v>474.0</v>
      </c>
      <c r="I1204" s="28">
        <v>452.0</v>
      </c>
      <c r="J1204" s="28">
        <v>5426.0</v>
      </c>
      <c r="K1204" s="25" t="s">
        <v>97</v>
      </c>
      <c r="L1204" s="26">
        <v>4.0</v>
      </c>
      <c r="M1204" s="26">
        <v>2.0</v>
      </c>
      <c r="N1204" s="26">
        <v>1.0</v>
      </c>
      <c r="O1204" s="30"/>
      <c r="P1204" s="26">
        <v>475.0</v>
      </c>
      <c r="Q1204" s="35">
        <v>53.0</v>
      </c>
      <c r="R1204" s="32">
        <v>45833.0</v>
      </c>
      <c r="S1204" s="32">
        <v>45810.0</v>
      </c>
      <c r="T1204" s="29"/>
      <c r="U1204" s="33"/>
      <c r="V1204" s="1"/>
    </row>
    <row r="1205" ht="24.0" customHeight="1">
      <c r="A1205" s="1"/>
      <c r="B1205" s="24" t="str">
        <f>HYPERLINK("https://www.compass.com/listing/7-fordham-hill-ovl-unit-10b-bronx-ny-10468/1725474162969774385/view?agent_id=610d3f3370540700019b0833","7 Fordham Hill Ovl, Unit 10B")</f>
        <v>7 Fordham Hill Ovl, Unit 10B</v>
      </c>
      <c r="C1205" s="25" t="s">
        <v>22</v>
      </c>
      <c r="D1205" s="26" t="s">
        <v>23</v>
      </c>
      <c r="E1205" s="27" t="str">
        <f>HYPERLINK("https://www.compass.com/building/7-fordham-hill-oval-bronx-ny-10468/294846564338037317/","7 Fordham Hill Oval")</f>
        <v>7 Fordham Hill Oval</v>
      </c>
      <c r="F1205" s="25" t="s">
        <v>126</v>
      </c>
      <c r="G1205" s="28">
        <v>275000.0</v>
      </c>
      <c r="H1205" s="29"/>
      <c r="I1205" s="28">
        <v>1488.0</v>
      </c>
      <c r="J1205" s="28">
        <v>0.0</v>
      </c>
      <c r="K1205" s="25" t="s">
        <v>25</v>
      </c>
      <c r="L1205" s="26">
        <v>4.0</v>
      </c>
      <c r="M1205" s="26">
        <v>2.0</v>
      </c>
      <c r="N1205" s="26">
        <v>1.0</v>
      </c>
      <c r="O1205" s="30"/>
      <c r="P1205" s="30"/>
      <c r="Q1205" s="35">
        <v>263.0</v>
      </c>
      <c r="R1205" s="32">
        <v>45844.0</v>
      </c>
      <c r="S1205" s="32">
        <v>45582.0</v>
      </c>
      <c r="T1205" s="29"/>
      <c r="U1205" s="33"/>
      <c r="V1205" s="1"/>
    </row>
    <row r="1206" ht="24.0" customHeight="1">
      <c r="A1206" s="1"/>
      <c r="B1206" s="24" t="str">
        <f>HYPERLINK("https://www.compass.com/listing/37-20-prince-street-unit-12c-queens-ny-11354/1876187171505717009/view?agent_id=610d3f3370540700019b0833","37-20 Prince Street, Unit 12C")</f>
        <v>37-20 Prince Street, Unit 12C</v>
      </c>
      <c r="C1206" s="25" t="s">
        <v>22</v>
      </c>
      <c r="D1206" s="26" t="s">
        <v>23</v>
      </c>
      <c r="E1206" s="27" t="str">
        <f>HYPERLINK("https://www.compass.com/building/37-20-prince-st-queens-ny-11354/293526653768891637/","37-20 Prince St")</f>
        <v>37-20 Prince St</v>
      </c>
      <c r="F1206" s="25" t="s">
        <v>221</v>
      </c>
      <c r="G1206" s="28">
        <v>759000.0</v>
      </c>
      <c r="H1206" s="28">
        <v>858.0</v>
      </c>
      <c r="I1206" s="28">
        <v>946.0</v>
      </c>
      <c r="J1206" s="28">
        <v>6432.0</v>
      </c>
      <c r="K1206" s="25" t="s">
        <v>28</v>
      </c>
      <c r="L1206" s="26">
        <v>4.0</v>
      </c>
      <c r="M1206" s="26">
        <v>2.0</v>
      </c>
      <c r="N1206" s="26">
        <v>1.0</v>
      </c>
      <c r="O1206" s="30"/>
      <c r="P1206" s="26">
        <v>885.0</v>
      </c>
      <c r="Q1206" s="35">
        <v>23.0</v>
      </c>
      <c r="R1206" s="32">
        <v>45863.0</v>
      </c>
      <c r="S1206" s="32">
        <v>45840.0</v>
      </c>
      <c r="T1206" s="29"/>
      <c r="U1206" s="33"/>
      <c r="V1206" s="1"/>
    </row>
    <row r="1207" ht="24.0" customHeight="1">
      <c r="A1207" s="1"/>
      <c r="B1207" s="24" t="str">
        <f>HYPERLINK("https://www.compass.com/listing/117-01-park-lane-south-unit-c1a-queens-ny-11418/1799940379763828345/view?agent_id=610d3f3370540700019b0833","117-01 Park Lane South, Unit C1A")</f>
        <v>117-01 Park Lane South, Unit C1A</v>
      </c>
      <c r="C1207" s="25" t="s">
        <v>22</v>
      </c>
      <c r="D1207" s="26" t="s">
        <v>23</v>
      </c>
      <c r="E1207" s="27" t="str">
        <f>HYPERLINK("https://www.compass.com/building/117-01-park-ln-s-queens-ny-11418/436387211567998613/","117-01 Park Ln S")</f>
        <v>117-01 Park Ln S</v>
      </c>
      <c r="F1207" s="25" t="s">
        <v>168</v>
      </c>
      <c r="G1207" s="28">
        <v>372000.0</v>
      </c>
      <c r="H1207" s="28">
        <v>338.0</v>
      </c>
      <c r="I1207" s="28">
        <v>1032.0</v>
      </c>
      <c r="J1207" s="28">
        <v>0.0</v>
      </c>
      <c r="K1207" s="25" t="s">
        <v>25</v>
      </c>
      <c r="L1207" s="26">
        <v>4.0</v>
      </c>
      <c r="M1207" s="26">
        <v>2.0</v>
      </c>
      <c r="N1207" s="26">
        <v>1.0</v>
      </c>
      <c r="O1207" s="30"/>
      <c r="P1207" s="34">
        <v>1100.0</v>
      </c>
      <c r="Q1207" s="35">
        <v>129.0</v>
      </c>
      <c r="R1207" s="32">
        <v>45735.0</v>
      </c>
      <c r="S1207" s="32">
        <v>45734.0</v>
      </c>
      <c r="T1207" s="29"/>
      <c r="U1207" s="33"/>
      <c r="V1207" s="1"/>
    </row>
    <row r="1208" ht="24.0" customHeight="1">
      <c r="A1208" s="1"/>
      <c r="B1208" s="24" t="str">
        <f>HYPERLINK("https://www.compass.com/listing/180-van-cortlandt-park-south-unit-4c-bronx-ny-10463/1688360650340851081/view?agent_id=610d3f3370540700019b0833","180 Van Cortlandt Park South, Unit 4C")</f>
        <v>180 Van Cortlandt Park South, Unit 4C</v>
      </c>
      <c r="C1208" s="25" t="s">
        <v>22</v>
      </c>
      <c r="D1208" s="26" t="s">
        <v>23</v>
      </c>
      <c r="E1208" s="27" t="str">
        <f>HYPERLINK("https://www.compass.com/building/the-van-cort-bronx-ny/293530598360751061/","The Van Cort")</f>
        <v>The Van Cort</v>
      </c>
      <c r="F1208" s="25" t="s">
        <v>268</v>
      </c>
      <c r="G1208" s="28">
        <v>325000.0</v>
      </c>
      <c r="H1208" s="29"/>
      <c r="I1208" s="28">
        <v>969.0</v>
      </c>
      <c r="J1208" s="28">
        <v>0.0</v>
      </c>
      <c r="K1208" s="25" t="s">
        <v>25</v>
      </c>
      <c r="L1208" s="26">
        <v>4.0</v>
      </c>
      <c r="M1208" s="26">
        <v>2.0</v>
      </c>
      <c r="N1208" s="26">
        <v>1.0</v>
      </c>
      <c r="O1208" s="30"/>
      <c r="P1208" s="30"/>
      <c r="Q1208" s="35">
        <v>283.0</v>
      </c>
      <c r="R1208" s="32">
        <v>45581.0</v>
      </c>
      <c r="S1208" s="32">
        <v>45580.0</v>
      </c>
      <c r="T1208" s="29"/>
      <c r="U1208" s="33"/>
      <c r="V1208" s="1"/>
    </row>
    <row r="1209" ht="24.0" customHeight="1">
      <c r="A1209" s="1"/>
      <c r="B1209" s="24" t="str">
        <f>HYPERLINK("https://www.compass.com/listing/9-fordham-hill-ovl-unit-9f-bronx-ny-10468/1728459964683248441/view?agent_id=610d3f3370540700019b0833","9 Fordham Hill Ovl, Unit 9F")</f>
        <v>9 Fordham Hill Ovl, Unit 9F</v>
      </c>
      <c r="C1209" s="25" t="s">
        <v>22</v>
      </c>
      <c r="D1209" s="26" t="s">
        <v>23</v>
      </c>
      <c r="E1209" s="27" t="str">
        <f>HYPERLINK("https://www.compass.com/building/9-fordham-hill-oval-bronx-ny-10468/294842156963339045/","9 Fordham Hill Oval")</f>
        <v>9 Fordham Hill Oval</v>
      </c>
      <c r="F1209" s="25" t="s">
        <v>126</v>
      </c>
      <c r="G1209" s="28">
        <v>209900.0</v>
      </c>
      <c r="H1209" s="28">
        <v>210.0</v>
      </c>
      <c r="I1209" s="28">
        <v>1300.0</v>
      </c>
      <c r="J1209" s="29"/>
      <c r="K1209" s="25" t="s">
        <v>25</v>
      </c>
      <c r="L1209" s="26">
        <v>4.0</v>
      </c>
      <c r="M1209" s="26">
        <v>2.0</v>
      </c>
      <c r="N1209" s="26">
        <v>1.0</v>
      </c>
      <c r="O1209" s="30"/>
      <c r="P1209" s="34">
        <v>1000.0</v>
      </c>
      <c r="Q1209" s="35">
        <v>227.0</v>
      </c>
      <c r="R1209" s="32">
        <v>45862.0</v>
      </c>
      <c r="S1209" s="32">
        <v>45636.0</v>
      </c>
      <c r="T1209" s="29"/>
      <c r="U1209" s="33"/>
      <c r="V1209" s="1"/>
    </row>
    <row r="1210" ht="24.0" customHeight="1">
      <c r="A1210" s="1"/>
      <c r="B1210" s="24" t="str">
        <f>HYPERLINK("https://www.compass.com/listing/35-21-81st-street-unit-1c-queens-ny-11372/1788414430829539897/view?agent_id=610d3f3370540700019b0833","35-21 81st Street, Unit 1C")</f>
        <v>35-21 81st Street, Unit 1C</v>
      </c>
      <c r="C1210" s="25" t="s">
        <v>22</v>
      </c>
      <c r="D1210" s="26" t="s">
        <v>23</v>
      </c>
      <c r="E1210" s="27" t="str">
        <f>HYPERLINK("https://www.compass.com/building/35-21-81st-st-queens-ny-11372/293534579350903445/","35-21 81st St")</f>
        <v>35-21 81st St</v>
      </c>
      <c r="F1210" s="25" t="s">
        <v>33</v>
      </c>
      <c r="G1210" s="28">
        <v>459000.0</v>
      </c>
      <c r="H1210" s="28">
        <v>510.0</v>
      </c>
      <c r="I1210" s="28">
        <v>1051.0</v>
      </c>
      <c r="J1210" s="29"/>
      <c r="K1210" s="25" t="s">
        <v>25</v>
      </c>
      <c r="L1210" s="26">
        <v>4.0</v>
      </c>
      <c r="M1210" s="26">
        <v>2.0</v>
      </c>
      <c r="N1210" s="26">
        <v>1.0</v>
      </c>
      <c r="O1210" s="30"/>
      <c r="P1210" s="26">
        <v>900.0</v>
      </c>
      <c r="Q1210" s="35">
        <v>144.0</v>
      </c>
      <c r="R1210" s="32">
        <v>45758.0</v>
      </c>
      <c r="S1210" s="32">
        <v>45719.0</v>
      </c>
      <c r="T1210" s="29"/>
      <c r="U1210" s="33"/>
      <c r="V1210" s="1"/>
    </row>
    <row r="1211" ht="24.0" customHeight="1">
      <c r="A1211" s="1"/>
      <c r="B1211" s="24" t="str">
        <f>HYPERLINK("https://www.compass.com/listing/6-fordham-hill-ovl-unit-2g-bronx-ny-10468/1633675510648210889/view?agent_id=610d3f3370540700019b0833","6 Fordham Hill Ovl, Unit 2G")</f>
        <v>6 Fordham Hill Ovl, Unit 2G</v>
      </c>
      <c r="C1211" s="25" t="s">
        <v>22</v>
      </c>
      <c r="D1211" s="26" t="s">
        <v>23</v>
      </c>
      <c r="E1211" s="27" t="str">
        <f>HYPERLINK("https://www.compass.com/building/6-fordham-hill-oval-bronx-ny-10468/294842302102907701/","6 Fordham Hill Oval")</f>
        <v>6 Fordham Hill Oval</v>
      </c>
      <c r="F1211" s="25" t="s">
        <v>126</v>
      </c>
      <c r="G1211" s="28">
        <v>286000.0</v>
      </c>
      <c r="H1211" s="28">
        <v>296.0</v>
      </c>
      <c r="I1211" s="28">
        <v>1316.0</v>
      </c>
      <c r="J1211" s="28">
        <v>0.0</v>
      </c>
      <c r="K1211" s="25" t="s">
        <v>25</v>
      </c>
      <c r="L1211" s="26">
        <v>3.0</v>
      </c>
      <c r="M1211" s="26">
        <v>2.0</v>
      </c>
      <c r="N1211" s="26">
        <v>1.0</v>
      </c>
      <c r="O1211" s="30"/>
      <c r="P1211" s="26">
        <v>965.0</v>
      </c>
      <c r="Q1211" s="35">
        <v>296.0</v>
      </c>
      <c r="R1211" s="32">
        <v>45863.0</v>
      </c>
      <c r="S1211" s="32">
        <v>45505.0</v>
      </c>
      <c r="T1211" s="29"/>
      <c r="U1211" s="33"/>
      <c r="V1211" s="1"/>
    </row>
    <row r="1212" ht="24.0" customHeight="1">
      <c r="A1212" s="1"/>
      <c r="B1212" s="24" t="str">
        <f>HYPERLINK("https://www.compass.com/listing/1935-shore-parkway-unit-1f-brooklyn-ny-11214/1866916592000784073/view?agent_id=610d3f3370540700019b0833","1935 Shore Parkway, Unit 1F")</f>
        <v>1935 Shore Parkway, Unit 1F</v>
      </c>
      <c r="C1212" s="25" t="s">
        <v>22</v>
      </c>
      <c r="D1212" s="26" t="s">
        <v>23</v>
      </c>
      <c r="E1212" s="27" t="str">
        <f>HYPERLINK("https://www.compass.com/building/1935-shore-pkwy-brooklyn-ny-11214/307458076684467781/","1935 Shore Pkwy")</f>
        <v>1935 Shore Pkwy</v>
      </c>
      <c r="F1212" s="25" t="s">
        <v>173</v>
      </c>
      <c r="G1212" s="28">
        <v>365000.0</v>
      </c>
      <c r="H1212" s="28">
        <v>365.0</v>
      </c>
      <c r="I1212" s="28">
        <v>1000.0</v>
      </c>
      <c r="J1212" s="29"/>
      <c r="K1212" s="25" t="s">
        <v>25</v>
      </c>
      <c r="L1212" s="26">
        <v>4.0</v>
      </c>
      <c r="M1212" s="26">
        <v>2.0</v>
      </c>
      <c r="N1212" s="26">
        <v>1.0</v>
      </c>
      <c r="O1212" s="30"/>
      <c r="P1212" s="34">
        <v>1000.0</v>
      </c>
      <c r="Q1212" s="35">
        <v>35.0</v>
      </c>
      <c r="R1212" s="32">
        <v>45857.0</v>
      </c>
      <c r="S1212" s="32">
        <v>45827.0</v>
      </c>
      <c r="T1212" s="29"/>
      <c r="U1212" s="33"/>
      <c r="V1212" s="1"/>
    </row>
    <row r="1213" ht="24.0" customHeight="1">
      <c r="A1213" s="1"/>
      <c r="B1213" s="24" t="str">
        <f>HYPERLINK("https://www.compass.com/listing/2555-batchelder-street-unit-1j-brooklyn-ny-11235/1871254346012729337/view?agent_id=610d3f3370540700019b0833","2555 Batchelder Street, Unit 1J")</f>
        <v>2555 Batchelder Street, Unit 1J</v>
      </c>
      <c r="C1213" s="25" t="s">
        <v>22</v>
      </c>
      <c r="D1213" s="26" t="s">
        <v>23</v>
      </c>
      <c r="E1213" s="27" t="str">
        <f>HYPERLINK("https://www.compass.com/building/2555-batchelder-st-brooklyn-ny-11235/293534245987621109/","2555 Batchelder St")</f>
        <v>2555 Batchelder St</v>
      </c>
      <c r="F1213" s="25" t="s">
        <v>70</v>
      </c>
      <c r="G1213" s="28">
        <v>231000.0</v>
      </c>
      <c r="H1213" s="28">
        <v>241.0</v>
      </c>
      <c r="I1213" s="28">
        <v>984.0</v>
      </c>
      <c r="J1213" s="29"/>
      <c r="K1213" s="25" t="s">
        <v>25</v>
      </c>
      <c r="L1213" s="26">
        <v>4.0</v>
      </c>
      <c r="M1213" s="26">
        <v>2.0</v>
      </c>
      <c r="N1213" s="26">
        <v>1.0</v>
      </c>
      <c r="O1213" s="30"/>
      <c r="P1213" s="26">
        <v>960.0</v>
      </c>
      <c r="Q1213" s="35">
        <v>29.0</v>
      </c>
      <c r="R1213" s="32">
        <v>45856.0</v>
      </c>
      <c r="S1213" s="32">
        <v>45833.0</v>
      </c>
      <c r="T1213" s="29"/>
      <c r="U1213" s="33"/>
      <c r="V1213" s="1"/>
    </row>
    <row r="1214" ht="24.0" customHeight="1">
      <c r="A1214" s="1"/>
      <c r="B1214" s="24" t="str">
        <f>HYPERLINK("https://www.compass.com/listing/67-15-bell-boulevard-unit-2-queens-ny-11364/1836328215534296697/view?agent_id=610d3f3370540700019b0833","67-15 Bell Boulevard, Unit 2")</f>
        <v>67-15 Bell Boulevard, Unit 2</v>
      </c>
      <c r="C1214" s="25" t="s">
        <v>22</v>
      </c>
      <c r="D1214" s="26" t="s">
        <v>23</v>
      </c>
      <c r="E1214" s="27" t="str">
        <f>HYPERLINK("https://www.compass.com/building/67-15-bell-blvd-queens-ny-11364/307439665032221637/","67-15 Bell Blvd")</f>
        <v>67-15 Bell Blvd</v>
      </c>
      <c r="F1214" s="25" t="s">
        <v>37</v>
      </c>
      <c r="G1214" s="28">
        <v>445000.0</v>
      </c>
      <c r="H1214" s="28">
        <v>497.0</v>
      </c>
      <c r="I1214" s="28">
        <v>1059.0</v>
      </c>
      <c r="J1214" s="28">
        <v>0.0</v>
      </c>
      <c r="K1214" s="25" t="s">
        <v>25</v>
      </c>
      <c r="L1214" s="26">
        <v>5.0</v>
      </c>
      <c r="M1214" s="26">
        <v>2.0</v>
      </c>
      <c r="N1214" s="26">
        <v>1.0</v>
      </c>
      <c r="O1214" s="30"/>
      <c r="P1214" s="26">
        <v>895.0</v>
      </c>
      <c r="Q1214" s="35">
        <v>78.0</v>
      </c>
      <c r="R1214" s="32">
        <v>45801.0</v>
      </c>
      <c r="S1214" s="32">
        <v>45785.0</v>
      </c>
      <c r="T1214" s="29"/>
      <c r="U1214" s="33"/>
      <c r="V1214" s="1"/>
    </row>
    <row r="1215" ht="24.0" customHeight="1">
      <c r="A1215" s="1"/>
      <c r="B1215" s="24" t="str">
        <f>HYPERLINK("https://www.compass.com/listing/56-05-31st-avenue-unit-15c-queens-ny-11377/1854650359750200929/view?agent_id=610d3f3370540700019b0833","56-05 31st Avenue, Unit 15C")</f>
        <v>56-05 31st Avenue, Unit 15C</v>
      </c>
      <c r="C1215" s="25" t="s">
        <v>22</v>
      </c>
      <c r="D1215" s="26" t="s">
        <v>23</v>
      </c>
      <c r="E1215" s="27" t="str">
        <f>HYPERLINK("https://www.compass.com/building/56-05-31st-ave-queens-ny-11377/294844032429540725/","56-05 31st Ave")</f>
        <v>56-05 31st Ave</v>
      </c>
      <c r="F1215" s="25" t="s">
        <v>137</v>
      </c>
      <c r="G1215" s="28">
        <v>395000.0</v>
      </c>
      <c r="H1215" s="28">
        <v>494.0</v>
      </c>
      <c r="I1215" s="28">
        <v>856.0</v>
      </c>
      <c r="J1215" s="29"/>
      <c r="K1215" s="25" t="s">
        <v>25</v>
      </c>
      <c r="L1215" s="26">
        <v>4.0</v>
      </c>
      <c r="M1215" s="26">
        <v>2.0</v>
      </c>
      <c r="N1215" s="30"/>
      <c r="O1215" s="30"/>
      <c r="P1215" s="26">
        <v>800.0</v>
      </c>
      <c r="Q1215" s="35">
        <v>57.0</v>
      </c>
      <c r="R1215" s="32">
        <v>45860.0</v>
      </c>
      <c r="S1215" s="32">
        <v>45806.0</v>
      </c>
      <c r="T1215" s="29"/>
      <c r="U1215" s="33"/>
      <c r="V1215" s="1"/>
    </row>
    <row r="1216" ht="24.0" customHeight="1">
      <c r="A1216" s="1"/>
      <c r="B1216" s="24" t="str">
        <f>HYPERLINK("https://www.compass.com/listing/131-30-laurelton-parkway-unit-uppr-queens-ny-11422/1864831934059818305/view?agent_id=610d3f3370540700019b0833","131-30 Laurelton Parkway, Unit UPPR")</f>
        <v>131-30 Laurelton Parkway, Unit UPPR</v>
      </c>
      <c r="C1216" s="25" t="s">
        <v>22</v>
      </c>
      <c r="D1216" s="26" t="s">
        <v>23</v>
      </c>
      <c r="E1216" s="27" t="str">
        <f>HYPERLINK("https://www.compass.com/building/131-30-laurelton-pkwy-queens-ny-11422/381297159933812341/","131-30 Laurelton Pkwy")</f>
        <v>131-30 Laurelton Pkwy</v>
      </c>
      <c r="F1216" s="25" t="s">
        <v>161</v>
      </c>
      <c r="G1216" s="28">
        <v>279000.0</v>
      </c>
      <c r="H1216" s="28">
        <v>279.0</v>
      </c>
      <c r="I1216" s="28">
        <v>2002.0</v>
      </c>
      <c r="J1216" s="29"/>
      <c r="K1216" s="25" t="s">
        <v>25</v>
      </c>
      <c r="L1216" s="26">
        <v>5.0</v>
      </c>
      <c r="M1216" s="26">
        <v>2.0</v>
      </c>
      <c r="N1216" s="26">
        <v>1.0</v>
      </c>
      <c r="O1216" s="30"/>
      <c r="P1216" s="34">
        <v>1000.0</v>
      </c>
      <c r="Q1216" s="35">
        <v>39.0</v>
      </c>
      <c r="R1216" s="32">
        <v>45825.0</v>
      </c>
      <c r="S1216" s="32">
        <v>45824.0</v>
      </c>
      <c r="T1216" s="29"/>
      <c r="U1216" s="33"/>
      <c r="V1216" s="1"/>
    </row>
    <row r="1217" ht="24.0" customHeight="1">
      <c r="A1217" s="1"/>
      <c r="B1217" s="24" t="str">
        <f>HYPERLINK("https://www.compass.com/listing/2866-marion-avenue-unit-4c-bronx-ny-10458/1861670458435070345/view?agent_id=610d3f3370540700019b0833","2866 Marion Avenue, Unit 4C")</f>
        <v>2866 Marion Avenue, Unit 4C</v>
      </c>
      <c r="C1217" s="25" t="s">
        <v>22</v>
      </c>
      <c r="D1217" s="26" t="s">
        <v>23</v>
      </c>
      <c r="E1217" s="27" t="str">
        <f>HYPERLINK("https://www.compass.com/building/2866-marion-ave-bronx-ny-10458/293535370765670485/","2866 Marion Ave")</f>
        <v>2866 Marion Ave</v>
      </c>
      <c r="F1217" s="25" t="s">
        <v>176</v>
      </c>
      <c r="G1217" s="28">
        <v>169900.0</v>
      </c>
      <c r="H1217" s="28">
        <v>170.0</v>
      </c>
      <c r="I1217" s="28">
        <v>1133.0</v>
      </c>
      <c r="J1217" s="29"/>
      <c r="K1217" s="25" t="s">
        <v>25</v>
      </c>
      <c r="L1217" s="26">
        <v>4.0</v>
      </c>
      <c r="M1217" s="26">
        <v>2.0</v>
      </c>
      <c r="N1217" s="26">
        <v>1.0</v>
      </c>
      <c r="O1217" s="30"/>
      <c r="P1217" s="34">
        <v>1000.0</v>
      </c>
      <c r="Q1217" s="35">
        <v>43.0</v>
      </c>
      <c r="R1217" s="32">
        <v>45861.0</v>
      </c>
      <c r="S1217" s="32">
        <v>45820.0</v>
      </c>
      <c r="T1217" s="29"/>
      <c r="U1217" s="33"/>
      <c r="V1217" s="1"/>
    </row>
    <row r="1218" ht="24.0" customHeight="1">
      <c r="A1218" s="1"/>
      <c r="B1218" s="24" t="str">
        <f>HYPERLINK("https://www.compass.com/listing/2061-st-raymond-avenue-unit-4a-bronx-ny-10462/1795263997884634177/view?agent_id=610d3f3370540700019b0833","2061 St Raymond Avenue, Unit 4A")</f>
        <v>2061 St Raymond Avenue, Unit 4A</v>
      </c>
      <c r="C1218" s="25" t="s">
        <v>22</v>
      </c>
      <c r="D1218" s="26" t="s">
        <v>23</v>
      </c>
      <c r="E1218" s="27" t="str">
        <f>HYPERLINK("https://www.compass.com/building/2061-st-raymond-ave-bronx-ny-10462/344159818534592661/","2061 St Raymond Ave")</f>
        <v>2061 St Raymond Ave</v>
      </c>
      <c r="F1218" s="25" t="s">
        <v>129</v>
      </c>
      <c r="G1218" s="28">
        <v>345000.0</v>
      </c>
      <c r="H1218" s="28">
        <v>424.0</v>
      </c>
      <c r="I1218" s="28">
        <v>1112.0</v>
      </c>
      <c r="J1218" s="28">
        <v>790.0</v>
      </c>
      <c r="K1218" s="25" t="s">
        <v>28</v>
      </c>
      <c r="L1218" s="26">
        <v>4.0</v>
      </c>
      <c r="M1218" s="26">
        <v>2.0</v>
      </c>
      <c r="N1218" s="26">
        <v>1.0</v>
      </c>
      <c r="O1218" s="30"/>
      <c r="P1218" s="26">
        <v>814.0</v>
      </c>
      <c r="Q1218" s="35">
        <v>59.0</v>
      </c>
      <c r="R1218" s="32">
        <v>45847.0</v>
      </c>
      <c r="S1218" s="32">
        <v>45728.0</v>
      </c>
      <c r="T1218" s="29"/>
      <c r="U1218" s="33"/>
      <c r="V1218" s="1"/>
    </row>
    <row r="1219" ht="24.0" customHeight="1">
      <c r="A1219" s="1"/>
      <c r="B1219" s="24" t="str">
        <f>HYPERLINK("https://www.compass.com/listing/34-21-78th-street-unit-6-queens-ny-11372/1760463518252223897/view?agent_id=610d3f3370540700019b0833","34-21 78th Street, Unit 6")</f>
        <v>34-21 78th Street, Unit 6</v>
      </c>
      <c r="C1219" s="25" t="s">
        <v>22</v>
      </c>
      <c r="D1219" s="26" t="s">
        <v>23</v>
      </c>
      <c r="E1219" s="27" t="str">
        <f>HYPERLINK("https://www.compass.com/building/34-21-78th-st-queens-ny-11372/293533105757743941/","34-21 78th St")</f>
        <v>34-21 78th St</v>
      </c>
      <c r="F1219" s="25" t="s">
        <v>33</v>
      </c>
      <c r="G1219" s="28">
        <v>395000.0</v>
      </c>
      <c r="H1219" s="29"/>
      <c r="I1219" s="28">
        <v>1148.0</v>
      </c>
      <c r="J1219" s="28">
        <v>0.0</v>
      </c>
      <c r="K1219" s="25" t="s">
        <v>25</v>
      </c>
      <c r="L1219" s="26">
        <v>4.0</v>
      </c>
      <c r="M1219" s="26">
        <v>2.0</v>
      </c>
      <c r="N1219" s="26">
        <v>1.0</v>
      </c>
      <c r="O1219" s="30"/>
      <c r="P1219" s="30"/>
      <c r="Q1219" s="35">
        <v>154.0</v>
      </c>
      <c r="R1219" s="32">
        <v>45731.0</v>
      </c>
      <c r="S1219" s="32">
        <v>45709.0</v>
      </c>
      <c r="T1219" s="29"/>
      <c r="U1219" s="33"/>
      <c r="V1219" s="1"/>
    </row>
    <row r="1220" ht="24.0" customHeight="1">
      <c r="A1220" s="1"/>
      <c r="B1220" s="24" t="str">
        <f>HYPERLINK("https://www.compass.com/listing/26-21-union-street-unit-1b-queens-ny-11354/1871968479108591993/view?agent_id=610d3f3370540700019b0833","26-21 Union Street, Unit 1B")</f>
        <v>26-21 Union Street, Unit 1B</v>
      </c>
      <c r="C1220" s="25" t="s">
        <v>22</v>
      </c>
      <c r="D1220" s="26" t="s">
        <v>23</v>
      </c>
      <c r="E1220" s="27" t="str">
        <f>HYPERLINK("https://www.compass.com/building/26-21-union-st-queens-ny-11354/293529962579762613/","26-21 Union St")</f>
        <v>26-21 Union St</v>
      </c>
      <c r="F1220" s="25" t="s">
        <v>185</v>
      </c>
      <c r="G1220" s="28">
        <v>388000.0</v>
      </c>
      <c r="H1220" s="28">
        <v>431.0</v>
      </c>
      <c r="I1220" s="28">
        <v>1137.0</v>
      </c>
      <c r="J1220" s="29"/>
      <c r="K1220" s="25" t="s">
        <v>25</v>
      </c>
      <c r="L1220" s="26">
        <v>6.0</v>
      </c>
      <c r="M1220" s="26">
        <v>2.0</v>
      </c>
      <c r="N1220" s="26">
        <v>1.0</v>
      </c>
      <c r="O1220" s="30"/>
      <c r="P1220" s="26">
        <v>900.0</v>
      </c>
      <c r="Q1220" s="35">
        <v>29.0</v>
      </c>
      <c r="R1220" s="32">
        <v>45857.0</v>
      </c>
      <c r="S1220" s="32">
        <v>45834.0</v>
      </c>
      <c r="T1220" s="29"/>
      <c r="U1220" s="33"/>
      <c r="V1220" s="1"/>
    </row>
    <row r="1221" ht="24.0" customHeight="1">
      <c r="A1221" s="1"/>
      <c r="B1221" s="24" t="str">
        <f>HYPERLINK("https://www.compass.com/listing/60-knolls-crescent-unit-6l-bronx-ny-10463/1771222488534794785/view?agent_id=610d3f3370540700019b0833","60 Knolls Crescent, Unit 6L")</f>
        <v>60 Knolls Crescent, Unit 6L</v>
      </c>
      <c r="C1221" s="25" t="s">
        <v>22</v>
      </c>
      <c r="D1221" s="26" t="s">
        <v>23</v>
      </c>
      <c r="E1221" s="27" t="str">
        <f>HYPERLINK("https://www.compass.com/building/60-knolls-cres-bronx-ny-10463/293418531339429541/","60 Knolls Cres")</f>
        <v>60 Knolls Cres</v>
      </c>
      <c r="F1221" s="25" t="s">
        <v>89</v>
      </c>
      <c r="G1221" s="28">
        <v>176455.0</v>
      </c>
      <c r="H1221" s="28">
        <v>221.0</v>
      </c>
      <c r="I1221" s="28">
        <v>944.0</v>
      </c>
      <c r="J1221" s="28">
        <v>0.0</v>
      </c>
      <c r="K1221" s="25" t="s">
        <v>25</v>
      </c>
      <c r="L1221" s="26">
        <v>4.0</v>
      </c>
      <c r="M1221" s="26">
        <v>2.0</v>
      </c>
      <c r="N1221" s="26">
        <v>1.0</v>
      </c>
      <c r="O1221" s="26">
        <v>0.0</v>
      </c>
      <c r="P1221" s="26">
        <v>800.0</v>
      </c>
      <c r="Q1221" s="35">
        <v>168.0</v>
      </c>
      <c r="R1221" s="32">
        <v>45860.0</v>
      </c>
      <c r="S1221" s="32">
        <v>45695.0</v>
      </c>
      <c r="T1221" s="29"/>
      <c r="U1221" s="33"/>
      <c r="V1221" s="1"/>
    </row>
    <row r="1222" ht="24.0" customHeight="1">
      <c r="A1222" s="1"/>
      <c r="B1222" s="24" t="str">
        <f>HYPERLINK("https://www.compass.com/listing/225-35-88th-avenue-unit-1-queens-ny-11427/1832157139731868665/view?agent_id=610d3f3370540700019b0833","225-35 88th Avenue, Unit 1")</f>
        <v>225-35 88th Avenue, Unit 1</v>
      </c>
      <c r="C1222" s="25" t="s">
        <v>22</v>
      </c>
      <c r="D1222" s="26" t="s">
        <v>23</v>
      </c>
      <c r="E1222" s="27" t="str">
        <f>HYPERLINK("https://www.compass.com/building/225-35-88th-ave-queens-ny-11427/307448287698893653/","225-35 88th Ave")</f>
        <v>225-35 88th Ave</v>
      </c>
      <c r="F1222" s="25" t="s">
        <v>69</v>
      </c>
      <c r="G1222" s="28">
        <v>322000.0</v>
      </c>
      <c r="H1222" s="28">
        <v>460.0</v>
      </c>
      <c r="I1222" s="28">
        <v>850.0</v>
      </c>
      <c r="J1222" s="29"/>
      <c r="K1222" s="25" t="s">
        <v>25</v>
      </c>
      <c r="L1222" s="26">
        <v>5.0</v>
      </c>
      <c r="M1222" s="26">
        <v>2.0</v>
      </c>
      <c r="N1222" s="26">
        <v>1.0</v>
      </c>
      <c r="O1222" s="30"/>
      <c r="P1222" s="26">
        <v>700.0</v>
      </c>
      <c r="Q1222" s="35">
        <v>84.0</v>
      </c>
      <c r="R1222" s="32">
        <v>45851.0</v>
      </c>
      <c r="S1222" s="32">
        <v>45779.0</v>
      </c>
      <c r="T1222" s="29"/>
      <c r="U1222" s="33"/>
      <c r="V1222" s="1"/>
    </row>
    <row r="1223" ht="24.0" customHeight="1">
      <c r="A1223" s="1"/>
      <c r="B1223" s="24" t="str">
        <f>HYPERLINK("https://www.compass.com/listing/12399-flatlands-avenue-unit-1j-brooklyn-ny-11207/1496531793773739553/view?agent_id=610d3f3370540700019b0833","12399 Flatlands Avenue, Unit 1J")</f>
        <v>12399 Flatlands Avenue, Unit 1J</v>
      </c>
      <c r="C1223" s="25" t="s">
        <v>22</v>
      </c>
      <c r="D1223" s="26" t="s">
        <v>23</v>
      </c>
      <c r="E1223" s="27" t="str">
        <f>HYPERLINK("https://www.compass.com/building/meadowwood-at-gateway-brooklyn-ny/294841805430184405/","Meadowwood at Gateway")</f>
        <v>Meadowwood at Gateway</v>
      </c>
      <c r="F1223" s="25" t="s">
        <v>85</v>
      </c>
      <c r="G1223" s="28">
        <v>450000.0</v>
      </c>
      <c r="H1223" s="28">
        <v>489.0</v>
      </c>
      <c r="I1223" s="28">
        <v>865.0</v>
      </c>
      <c r="J1223" s="28">
        <v>3177.0</v>
      </c>
      <c r="K1223" s="25" t="s">
        <v>28</v>
      </c>
      <c r="L1223" s="26">
        <v>5.0</v>
      </c>
      <c r="M1223" s="26">
        <v>2.0</v>
      </c>
      <c r="N1223" s="26">
        <v>1.0</v>
      </c>
      <c r="O1223" s="26">
        <v>0.0</v>
      </c>
      <c r="P1223" s="26">
        <v>920.0</v>
      </c>
      <c r="Q1223" s="35">
        <v>547.0</v>
      </c>
      <c r="R1223" s="32">
        <v>45838.0</v>
      </c>
      <c r="S1223" s="32">
        <v>45316.0</v>
      </c>
      <c r="T1223" s="29"/>
      <c r="U1223" s="33"/>
      <c r="V1223" s="1"/>
    </row>
    <row r="1224" ht="24.0" customHeight="1">
      <c r="A1224" s="1"/>
      <c r="B1224" s="24" t="str">
        <f>HYPERLINK("https://www.compass.com/listing/80-knolls-crescent-unit-8l-bronx-ny-10463/1820473026664121217/view?agent_id=610d3f3370540700019b0833","80 Knolls Crescent, Unit 8L")</f>
        <v>80 Knolls Crescent, Unit 8L</v>
      </c>
      <c r="C1224" s="25" t="s">
        <v>22</v>
      </c>
      <c r="D1224" s="26" t="s">
        <v>23</v>
      </c>
      <c r="E1224" s="27" t="str">
        <f>HYPERLINK("https://www.compass.com/building/80-knolls-cres-bronx-ny-10463/307457570071470565/","80 Knolls Cres")</f>
        <v>80 Knolls Cres</v>
      </c>
      <c r="F1224" s="25" t="s">
        <v>89</v>
      </c>
      <c r="G1224" s="28">
        <v>181002.0</v>
      </c>
      <c r="H1224" s="28">
        <v>241.0</v>
      </c>
      <c r="I1224" s="28">
        <v>949.0</v>
      </c>
      <c r="J1224" s="28">
        <v>0.0</v>
      </c>
      <c r="K1224" s="25" t="s">
        <v>25</v>
      </c>
      <c r="L1224" s="26">
        <v>3.0</v>
      </c>
      <c r="M1224" s="26">
        <v>2.0</v>
      </c>
      <c r="N1224" s="26">
        <v>1.0</v>
      </c>
      <c r="O1224" s="26">
        <v>0.0</v>
      </c>
      <c r="P1224" s="26">
        <v>750.0</v>
      </c>
      <c r="Q1224" s="35">
        <v>100.0</v>
      </c>
      <c r="R1224" s="32">
        <v>45860.0</v>
      </c>
      <c r="S1224" s="32">
        <v>45763.0</v>
      </c>
      <c r="T1224" s="29"/>
      <c r="U1224" s="33"/>
      <c r="V1224" s="1"/>
    </row>
    <row r="1225" ht="24.0" customHeight="1">
      <c r="A1225" s="1"/>
      <c r="B1225" s="24" t="str">
        <f>HYPERLINK("https://www.compass.com/listing/141-19-73rd-avenue-queens-ny-11367/1861950075804542985/view?agent_id=610d3f3370540700019b0833","141-19 73rd Avenue")</f>
        <v>141-19 73rd Avenue</v>
      </c>
      <c r="C1225" s="25" t="s">
        <v>22</v>
      </c>
      <c r="D1225" s="26" t="s">
        <v>23</v>
      </c>
      <c r="E1225" s="27" t="str">
        <f>HYPERLINK("https://www.compass.com/building/141-19-73rd-ave-queens-ny-11367/293418442428538485/","141-19 73rd Ave")</f>
        <v>141-19 73rd Ave</v>
      </c>
      <c r="F1225" s="25" t="s">
        <v>142</v>
      </c>
      <c r="G1225" s="28">
        <v>370000.0</v>
      </c>
      <c r="H1225" s="28">
        <v>463.0</v>
      </c>
      <c r="I1225" s="28">
        <v>990.0</v>
      </c>
      <c r="J1225" s="29"/>
      <c r="K1225" s="25" t="s">
        <v>25</v>
      </c>
      <c r="L1225" s="26">
        <v>5.0</v>
      </c>
      <c r="M1225" s="26">
        <v>2.0</v>
      </c>
      <c r="N1225" s="30"/>
      <c r="O1225" s="30"/>
      <c r="P1225" s="26">
        <v>800.0</v>
      </c>
      <c r="Q1225" s="35">
        <v>43.0</v>
      </c>
      <c r="R1225" s="32">
        <v>45859.0</v>
      </c>
      <c r="S1225" s="32">
        <v>45820.0</v>
      </c>
      <c r="T1225" s="29"/>
      <c r="U1225" s="33"/>
      <c r="V1225" s="1"/>
    </row>
    <row r="1226" ht="24.0" customHeight="1">
      <c r="A1226" s="1"/>
      <c r="B1226" s="24" t="str">
        <f>HYPERLINK("https://www.compass.com/listing/63-03-74th-street-queens-ny-11379/1869676214326915985/view?agent_id=610d3f3370540700019b0833","63-03 74th Street")</f>
        <v>63-03 74th Street</v>
      </c>
      <c r="C1226" s="25" t="s">
        <v>22</v>
      </c>
      <c r="D1226" s="26" t="s">
        <v>23</v>
      </c>
      <c r="E1226" s="27" t="str">
        <f>HYPERLINK("https://www.compass.com/building/63-03-74th-st-queens-ny-11379/293530380080831301/","63-03 74th St")</f>
        <v>63-03 74th St</v>
      </c>
      <c r="F1226" s="25" t="s">
        <v>269</v>
      </c>
      <c r="G1226" s="28">
        <v>769000.0</v>
      </c>
      <c r="H1226" s="28">
        <v>938.0</v>
      </c>
      <c r="I1226" s="28">
        <v>630.0</v>
      </c>
      <c r="J1226" s="28">
        <v>7563.0</v>
      </c>
      <c r="K1226" s="25" t="s">
        <v>159</v>
      </c>
      <c r="L1226" s="26">
        <v>5.0</v>
      </c>
      <c r="M1226" s="26">
        <v>2.0</v>
      </c>
      <c r="N1226" s="26">
        <v>1.0</v>
      </c>
      <c r="O1226" s="30"/>
      <c r="P1226" s="26">
        <v>820.0</v>
      </c>
      <c r="Q1226" s="35">
        <v>32.0</v>
      </c>
      <c r="R1226" s="32">
        <v>45862.0</v>
      </c>
      <c r="S1226" s="32">
        <v>45831.0</v>
      </c>
      <c r="T1226" s="29"/>
      <c r="U1226" s="33"/>
      <c r="V1226" s="1"/>
    </row>
    <row r="1227" ht="24.0" customHeight="1">
      <c r="A1227" s="1"/>
      <c r="B1227" s="24" t="str">
        <f>HYPERLINK("https://www.compass.com/listing/1752-zerega-avenue-bronx-ny-10462/1708879931421971913/view?agent_id=610d3f3370540700019b0833","1752 Zerega Avenue")</f>
        <v>1752 Zerega Avenue</v>
      </c>
      <c r="C1227" s="25" t="s">
        <v>22</v>
      </c>
      <c r="D1227" s="26" t="s">
        <v>23</v>
      </c>
      <c r="E1227" s="27" t="str">
        <f>HYPERLINK("https://www.compass.com/building/1752-zerega-ave-bronx-ny-10462/293534952081944149/","1752 Zerega Ave")</f>
        <v>1752 Zerega Ave</v>
      </c>
      <c r="F1227" s="25" t="s">
        <v>270</v>
      </c>
      <c r="G1227" s="28">
        <v>500000.0</v>
      </c>
      <c r="H1227" s="28">
        <v>303.0</v>
      </c>
      <c r="I1227" s="28">
        <v>364.0</v>
      </c>
      <c r="J1227" s="28">
        <v>4366.0</v>
      </c>
      <c r="K1227" s="25" t="s">
        <v>97</v>
      </c>
      <c r="L1227" s="26">
        <v>6.0</v>
      </c>
      <c r="M1227" s="26">
        <v>2.0</v>
      </c>
      <c r="N1227" s="26">
        <v>1.0</v>
      </c>
      <c r="O1227" s="30"/>
      <c r="P1227" s="34">
        <v>1649.0</v>
      </c>
      <c r="Q1227" s="35">
        <v>234.0</v>
      </c>
      <c r="R1227" s="32">
        <v>45837.0</v>
      </c>
      <c r="S1227" s="32">
        <v>45609.0</v>
      </c>
      <c r="T1227" s="29"/>
      <c r="U1227" s="33"/>
      <c r="V1227" s="1"/>
    </row>
    <row r="1228" ht="24.0" customHeight="1">
      <c r="A1228" s="1"/>
      <c r="B1228" s="24" t="str">
        <f>HYPERLINK("https://www.compass.com/listing/67-40-yellowstone-boulevard-unit-3b-queens-ny-11375/1822626148144100297/view?agent_id=610d3f3370540700019b0833","67-40 Yellowstone Boulevard, Unit 3B")</f>
        <v>67-40 Yellowstone Boulevard, Unit 3B</v>
      </c>
      <c r="C1228" s="25" t="s">
        <v>22</v>
      </c>
      <c r="D1228" s="26" t="s">
        <v>23</v>
      </c>
      <c r="E1228" s="27" t="str">
        <f>HYPERLINK("https://www.compass.com/building/67-40-yellowstone-blvd-queens-ny-11375/293533847721647189/","67-40 Yellowstone Blvd")</f>
        <v>67-40 Yellowstone Blvd</v>
      </c>
      <c r="F1228" s="25" t="s">
        <v>165</v>
      </c>
      <c r="G1228" s="28">
        <v>439000.0</v>
      </c>
      <c r="H1228" s="28">
        <v>505.0</v>
      </c>
      <c r="I1228" s="28">
        <v>887.0</v>
      </c>
      <c r="J1228" s="29"/>
      <c r="K1228" s="25" t="s">
        <v>25</v>
      </c>
      <c r="L1228" s="26">
        <v>5.0</v>
      </c>
      <c r="M1228" s="26">
        <v>2.0</v>
      </c>
      <c r="N1228" s="26">
        <v>1.0</v>
      </c>
      <c r="O1228" s="30"/>
      <c r="P1228" s="26">
        <v>870.0</v>
      </c>
      <c r="Q1228" s="35">
        <v>97.0</v>
      </c>
      <c r="R1228" s="32">
        <v>45767.0</v>
      </c>
      <c r="S1228" s="32">
        <v>45766.0</v>
      </c>
      <c r="T1228" s="29"/>
      <c r="U1228" s="33"/>
      <c r="V1228" s="1"/>
    </row>
    <row r="1229" ht="24.0" customHeight="1">
      <c r="A1229" s="1"/>
      <c r="B1229" s="24" t="str">
        <f>HYPERLINK("https://www.compass.com/listing/2550-independence-avenue-unit-7l-bronx-ny-10463/1793715970512643569/view?agent_id=610d3f3370540700019b0833","2550 Independence Avenue, Unit 7L")</f>
        <v>2550 Independence Avenue, Unit 7L</v>
      </c>
      <c r="C1229" s="25" t="s">
        <v>22</v>
      </c>
      <c r="D1229" s="26" t="s">
        <v>23</v>
      </c>
      <c r="E1229" s="27" t="str">
        <f>HYPERLINK("https://www.compass.com/building/2550-independence-ave-bronx-ny-10463/293530221427148037/","2550 Independence Ave")</f>
        <v>2550 Independence Ave</v>
      </c>
      <c r="F1229" s="25" t="s">
        <v>89</v>
      </c>
      <c r="G1229" s="28">
        <v>295000.0</v>
      </c>
      <c r="H1229" s="28">
        <v>322.0</v>
      </c>
      <c r="I1229" s="28">
        <v>1114.0</v>
      </c>
      <c r="J1229" s="28">
        <v>0.0</v>
      </c>
      <c r="K1229" s="25" t="s">
        <v>25</v>
      </c>
      <c r="L1229" s="26">
        <v>5.0</v>
      </c>
      <c r="M1229" s="26">
        <v>2.0</v>
      </c>
      <c r="N1229" s="26">
        <v>1.0</v>
      </c>
      <c r="O1229" s="26">
        <v>0.0</v>
      </c>
      <c r="P1229" s="26">
        <v>915.0</v>
      </c>
      <c r="Q1229" s="35">
        <v>137.0</v>
      </c>
      <c r="R1229" s="32">
        <v>45780.0</v>
      </c>
      <c r="S1229" s="32">
        <v>45726.0</v>
      </c>
      <c r="T1229" s="29"/>
      <c r="U1229" s="33"/>
      <c r="V1229" s="1"/>
    </row>
    <row r="1230" ht="24.0" customHeight="1">
      <c r="A1230" s="1"/>
      <c r="B1230" s="24" t="str">
        <f>HYPERLINK("https://www.compass.com/listing/35-24-78th-street-unit-b14-queens-ny-11372/1805287284999473033/view?agent_id=610d3f3370540700019b0833","35-24 78th Street, Unit B14")</f>
        <v>35-24 78th Street, Unit B14</v>
      </c>
      <c r="C1230" s="25" t="s">
        <v>22</v>
      </c>
      <c r="D1230" s="26" t="s">
        <v>23</v>
      </c>
      <c r="E1230" s="27" t="str">
        <f>HYPERLINK("https://www.compass.com/building/35-24-78th-st-queens-ny-11372/293531282351089605/","35-24 78th St")</f>
        <v>35-24 78th St</v>
      </c>
      <c r="F1230" s="25" t="s">
        <v>33</v>
      </c>
      <c r="G1230" s="28">
        <v>449000.0</v>
      </c>
      <c r="H1230" s="28">
        <v>374.0</v>
      </c>
      <c r="I1230" s="28">
        <v>1150.0</v>
      </c>
      <c r="J1230" s="28">
        <v>0.0</v>
      </c>
      <c r="K1230" s="25" t="s">
        <v>25</v>
      </c>
      <c r="L1230" s="26">
        <v>7.0</v>
      </c>
      <c r="M1230" s="26">
        <v>2.0</v>
      </c>
      <c r="N1230" s="26">
        <v>1.0</v>
      </c>
      <c r="O1230" s="26">
        <v>0.0</v>
      </c>
      <c r="P1230" s="34">
        <v>1200.0</v>
      </c>
      <c r="Q1230" s="35">
        <v>121.0</v>
      </c>
      <c r="R1230" s="32">
        <v>45862.0</v>
      </c>
      <c r="S1230" s="32">
        <v>45742.0</v>
      </c>
      <c r="T1230" s="29"/>
      <c r="U1230" s="33"/>
      <c r="V1230" s="1"/>
    </row>
    <row r="1231" ht="24.0" customHeight="1">
      <c r="A1231" s="1"/>
      <c r="B1231" s="24" t="str">
        <f>HYPERLINK("https://www.compass.com/listing/219-59-74th-avenue-unit-422a1-queens-ny-11364/1872564370181579193/view?agent_id=610d3f3370540700019b0833","219-59 74th Avenue, Unit 422A1")</f>
        <v>219-59 74th Avenue, Unit 422A1</v>
      </c>
      <c r="C1231" s="25" t="s">
        <v>22</v>
      </c>
      <c r="D1231" s="26" t="s">
        <v>23</v>
      </c>
      <c r="E1231" s="27" t="str">
        <f>HYPERLINK("https://www.compass.com/building/219-59-74th-ave-queens-ny-11364/307434521431432533/","219-59 74th Ave")</f>
        <v>219-59 74th Ave</v>
      </c>
      <c r="F1231" s="25" t="s">
        <v>37</v>
      </c>
      <c r="G1231" s="28">
        <v>365000.0</v>
      </c>
      <c r="H1231" s="28">
        <v>487.0</v>
      </c>
      <c r="I1231" s="28">
        <v>1139.0</v>
      </c>
      <c r="J1231" s="29"/>
      <c r="K1231" s="25" t="s">
        <v>25</v>
      </c>
      <c r="L1231" s="26">
        <v>4.0</v>
      </c>
      <c r="M1231" s="26">
        <v>2.0</v>
      </c>
      <c r="N1231" s="26">
        <v>1.0</v>
      </c>
      <c r="O1231" s="30"/>
      <c r="P1231" s="26">
        <v>750.0</v>
      </c>
      <c r="Q1231" s="35">
        <v>28.0</v>
      </c>
      <c r="R1231" s="32">
        <v>45862.0</v>
      </c>
      <c r="S1231" s="32">
        <v>45835.0</v>
      </c>
      <c r="T1231" s="29"/>
      <c r="U1231" s="33"/>
      <c r="V1231" s="1"/>
    </row>
    <row r="1232" ht="24.0" customHeight="1">
      <c r="A1232" s="1"/>
      <c r="B1232" s="24" t="str">
        <f>HYPERLINK("https://www.compass.com/listing/99-72-66th-road-unit-9b-queens-ny-11374/1871716733806669361/view?agent_id=610d3f3370540700019b0833","99-72 66th Road, Unit 9B")</f>
        <v>99-72 66th Road, Unit 9B</v>
      </c>
      <c r="C1232" s="25" t="s">
        <v>22</v>
      </c>
      <c r="D1232" s="26" t="s">
        <v>23</v>
      </c>
      <c r="E1232" s="27" t="str">
        <f>HYPERLINK("https://www.compass.com/building/99-72-66th-rd-queens-ny-11374/294845722683530805/","99-72 66th Rd")</f>
        <v>99-72 66th Rd</v>
      </c>
      <c r="F1232" s="25" t="s">
        <v>166</v>
      </c>
      <c r="G1232" s="28">
        <v>429000.0</v>
      </c>
      <c r="H1232" s="28">
        <v>505.0</v>
      </c>
      <c r="I1232" s="28">
        <v>1023.0</v>
      </c>
      <c r="J1232" s="29"/>
      <c r="K1232" s="25" t="s">
        <v>25</v>
      </c>
      <c r="L1232" s="26">
        <v>4.0</v>
      </c>
      <c r="M1232" s="26">
        <v>2.0</v>
      </c>
      <c r="N1232" s="26">
        <v>1.0</v>
      </c>
      <c r="O1232" s="30"/>
      <c r="P1232" s="26">
        <v>850.0</v>
      </c>
      <c r="Q1232" s="35">
        <v>29.0</v>
      </c>
      <c r="R1232" s="32">
        <v>45851.0</v>
      </c>
      <c r="S1232" s="32">
        <v>45834.0</v>
      </c>
      <c r="T1232" s="29"/>
      <c r="U1232" s="33"/>
      <c r="V1232" s="1"/>
    </row>
    <row r="1233" ht="24.0" customHeight="1">
      <c r="A1233" s="1"/>
      <c r="B1233" s="24" t="str">
        <f>HYPERLINK("https://www.compass.com/listing/39-poets-circle-staten-island-ny-10312/1855241190458688681/view?agent_id=610d3f3370540700019b0833","39 Poets Circle")</f>
        <v>39 Poets Circle</v>
      </c>
      <c r="C1233" s="25" t="s">
        <v>22</v>
      </c>
      <c r="D1233" s="26" t="s">
        <v>23</v>
      </c>
      <c r="E1233" s="27" t="str">
        <f>HYPERLINK("https://www.compass.com/building/39-poets-cir-staten-island-ny-10312/293526930332893285/","39 Poets Cir")</f>
        <v>39 Poets Cir</v>
      </c>
      <c r="F1233" s="25" t="s">
        <v>235</v>
      </c>
      <c r="G1233" s="28">
        <v>599000.0</v>
      </c>
      <c r="H1233" s="28">
        <v>551.0</v>
      </c>
      <c r="I1233" s="28">
        <v>458.0</v>
      </c>
      <c r="J1233" s="28">
        <v>4730.0</v>
      </c>
      <c r="K1233" s="25" t="s">
        <v>36</v>
      </c>
      <c r="L1233" s="26">
        <v>5.0</v>
      </c>
      <c r="M1233" s="26">
        <v>2.0</v>
      </c>
      <c r="N1233" s="26">
        <v>1.0</v>
      </c>
      <c r="O1233" s="26">
        <v>0.0</v>
      </c>
      <c r="P1233" s="34">
        <v>1088.0</v>
      </c>
      <c r="Q1233" s="35">
        <v>52.0</v>
      </c>
      <c r="R1233" s="32">
        <v>45831.0</v>
      </c>
      <c r="S1233" s="32">
        <v>45810.0</v>
      </c>
      <c r="T1233" s="29"/>
      <c r="U1233" s="33"/>
      <c r="V1233" s="1"/>
    </row>
    <row r="1234" ht="24.0" customHeight="1">
      <c r="A1234" s="1"/>
      <c r="B1234" s="24" t="str">
        <f>HYPERLINK("https://www.compass.com/listing/94-11-34th-road-unit-3j-queens-ny-11372/1794456205048132545/view?agent_id=610d3f3370540700019b0833","94-11 34th Road, Unit 3J")</f>
        <v>94-11 34th Road, Unit 3J</v>
      </c>
      <c r="C1234" s="25" t="s">
        <v>22</v>
      </c>
      <c r="D1234" s="26" t="s">
        <v>23</v>
      </c>
      <c r="E1234" s="27" t="str">
        <f>HYPERLINK("https://www.compass.com/building/94-11-34th-rd-queens-ny-11372/293530113667043973/","94-11 34th Rd")</f>
        <v>94-11 34th Rd</v>
      </c>
      <c r="F1234" s="25" t="s">
        <v>33</v>
      </c>
      <c r="G1234" s="28">
        <v>429000.0</v>
      </c>
      <c r="H1234" s="28">
        <v>499.0</v>
      </c>
      <c r="I1234" s="28">
        <v>611.0</v>
      </c>
      <c r="J1234" s="29"/>
      <c r="K1234" s="25" t="s">
        <v>25</v>
      </c>
      <c r="L1234" s="26">
        <v>4.0</v>
      </c>
      <c r="M1234" s="26">
        <v>2.0</v>
      </c>
      <c r="N1234" s="26">
        <v>1.0</v>
      </c>
      <c r="O1234" s="30"/>
      <c r="P1234" s="26">
        <v>860.0</v>
      </c>
      <c r="Q1234" s="35">
        <v>136.0</v>
      </c>
      <c r="R1234" s="32">
        <v>45760.0</v>
      </c>
      <c r="S1234" s="32">
        <v>45727.0</v>
      </c>
      <c r="T1234" s="29"/>
      <c r="U1234" s="33"/>
      <c r="V1234" s="1"/>
    </row>
    <row r="1235" ht="24.0" customHeight="1">
      <c r="A1235" s="1"/>
      <c r="B1235" s="24" t="str">
        <f>HYPERLINK("https://www.compass.com/listing/4016-7th-avenue-unit-4f-brooklyn-ny-11232/1592469439447638073/view?agent_id=610d3f3370540700019b0833","4016 7th Avenue, Unit 4F")</f>
        <v>4016 7th Avenue, Unit 4F</v>
      </c>
      <c r="C1235" s="25" t="s">
        <v>22</v>
      </c>
      <c r="D1235" s="26" t="s">
        <v>23</v>
      </c>
      <c r="E1235" s="27" t="str">
        <f>HYPERLINK("https://www.compass.com/building/4016-7th-ave-brooklyn-ny-11232/293527824550080405/","4016 7th Ave")</f>
        <v>4016 7th Ave</v>
      </c>
      <c r="F1235" s="25" t="s">
        <v>128</v>
      </c>
      <c r="G1235" s="28">
        <v>680000.0</v>
      </c>
      <c r="H1235" s="28">
        <v>1063.0</v>
      </c>
      <c r="I1235" s="28">
        <v>1079.0</v>
      </c>
      <c r="J1235" s="28">
        <v>6680.0</v>
      </c>
      <c r="K1235" s="25" t="s">
        <v>28</v>
      </c>
      <c r="L1235" s="26">
        <v>4.0</v>
      </c>
      <c r="M1235" s="26">
        <v>2.0</v>
      </c>
      <c r="N1235" s="26">
        <v>1.0</v>
      </c>
      <c r="O1235" s="30"/>
      <c r="P1235" s="26">
        <v>640.0</v>
      </c>
      <c r="Q1235" s="35">
        <v>114.0</v>
      </c>
      <c r="R1235" s="32">
        <v>45857.0</v>
      </c>
      <c r="S1235" s="32">
        <v>45748.0</v>
      </c>
      <c r="T1235" s="29"/>
      <c r="U1235" s="33"/>
      <c r="V1235" s="1"/>
    </row>
    <row r="1236" ht="24.0" customHeight="1">
      <c r="A1236" s="1"/>
      <c r="B1236" s="24" t="str">
        <f>HYPERLINK("https://www.compass.com/listing/35-53-77th-street-unit-2c-queens-ny-11372/1815399570278173753/view?agent_id=610d3f3370540700019b0833","35-53 77th Street, Unit 2C")</f>
        <v>35-53 77th Street, Unit 2C</v>
      </c>
      <c r="C1236" s="25" t="s">
        <v>22</v>
      </c>
      <c r="D1236" s="26" t="s">
        <v>23</v>
      </c>
      <c r="E1236" s="27" t="str">
        <f>HYPERLINK("https://www.compass.com/building/35-53-77th-st-queens-ny-11372/293417583225422661/","35-53 77th St")</f>
        <v>35-53 77th St</v>
      </c>
      <c r="F1236" s="25" t="s">
        <v>33</v>
      </c>
      <c r="G1236" s="28">
        <v>619000.0</v>
      </c>
      <c r="H1236" s="28">
        <v>548.0</v>
      </c>
      <c r="I1236" s="28">
        <v>1351.0</v>
      </c>
      <c r="J1236" s="29"/>
      <c r="K1236" s="25" t="s">
        <v>25</v>
      </c>
      <c r="L1236" s="26">
        <v>4.0</v>
      </c>
      <c r="M1236" s="26">
        <v>2.0</v>
      </c>
      <c r="N1236" s="26">
        <v>1.0</v>
      </c>
      <c r="O1236" s="30"/>
      <c r="P1236" s="34">
        <v>1130.0</v>
      </c>
      <c r="Q1236" s="35">
        <v>107.0</v>
      </c>
      <c r="R1236" s="32">
        <v>45791.0</v>
      </c>
      <c r="S1236" s="32">
        <v>45756.0</v>
      </c>
      <c r="T1236" s="29"/>
      <c r="U1236" s="33"/>
      <c r="V1236" s="1"/>
    </row>
    <row r="1237" ht="24.0" customHeight="1">
      <c r="A1237" s="1"/>
      <c r="B1237" s="24" t="str">
        <f>HYPERLINK("https://www.compass.com/listing/1545-east-55th-street-brooklyn-ny-11234/1830829905732489817/view?agent_id=610d3f3370540700019b0833","1545 East 55th Street")</f>
        <v>1545 East 55th Street</v>
      </c>
      <c r="C1237" s="25" t="s">
        <v>22</v>
      </c>
      <c r="D1237" s="26" t="s">
        <v>23</v>
      </c>
      <c r="E1237" s="27" t="str">
        <f>HYPERLINK("https://www.compass.com/building/1545-e-55th-st-brooklyn-ny-11234/293532520383790933/","1545 E 55th St")</f>
        <v>1545 E 55th St</v>
      </c>
      <c r="F1237" s="25" t="s">
        <v>271</v>
      </c>
      <c r="G1237" s="28">
        <v>709000.0</v>
      </c>
      <c r="H1237" s="28">
        <v>545.0</v>
      </c>
      <c r="I1237" s="28">
        <v>357.0</v>
      </c>
      <c r="J1237" s="28">
        <v>4280.0</v>
      </c>
      <c r="K1237" s="25" t="s">
        <v>97</v>
      </c>
      <c r="L1237" s="26">
        <v>6.0</v>
      </c>
      <c r="M1237" s="26">
        <v>2.0</v>
      </c>
      <c r="N1237" s="26">
        <v>1.0</v>
      </c>
      <c r="O1237" s="30"/>
      <c r="P1237" s="34">
        <v>1302.0</v>
      </c>
      <c r="Q1237" s="35">
        <v>85.0</v>
      </c>
      <c r="R1237" s="32">
        <v>45852.0</v>
      </c>
      <c r="S1237" s="32">
        <v>45777.0</v>
      </c>
      <c r="T1237" s="29"/>
      <c r="U1237" s="33"/>
      <c r="V1237" s="1"/>
    </row>
    <row r="1238" ht="24.0" customHeight="1">
      <c r="A1238" s="1"/>
      <c r="B1238" s="24" t="str">
        <f>HYPERLINK("https://www.compass.com/listing/166-26-powells-cove-boulevard-unit-5d-queens-ny-11357/1854721038436728553/view?agent_id=610d3f3370540700019b0833","166-26 Powells Cove Boulevard, Unit 5D")</f>
        <v>166-26 Powells Cove Boulevard, Unit 5D</v>
      </c>
      <c r="C1238" s="25" t="s">
        <v>22</v>
      </c>
      <c r="D1238" s="26" t="s">
        <v>23</v>
      </c>
      <c r="E1238" s="27" t="str">
        <f>HYPERLINK("https://www.compass.com/building/166-26-powells-cove-blvd-queens-ny-11357/293534645830647797/","166-26 Powells Cove Blvd")</f>
        <v>166-26 Powells Cove Blvd</v>
      </c>
      <c r="F1238" s="25" t="s">
        <v>94</v>
      </c>
      <c r="G1238" s="28">
        <v>399000.0</v>
      </c>
      <c r="H1238" s="28">
        <v>393.0</v>
      </c>
      <c r="I1238" s="28">
        <v>1370.0</v>
      </c>
      <c r="J1238" s="29"/>
      <c r="K1238" s="25" t="s">
        <v>25</v>
      </c>
      <c r="L1238" s="26">
        <v>5.0</v>
      </c>
      <c r="M1238" s="26">
        <v>2.0</v>
      </c>
      <c r="N1238" s="26">
        <v>1.0</v>
      </c>
      <c r="O1238" s="30"/>
      <c r="P1238" s="34">
        <v>1015.0</v>
      </c>
      <c r="Q1238" s="35">
        <v>53.0</v>
      </c>
      <c r="R1238" s="32">
        <v>45837.0</v>
      </c>
      <c r="S1238" s="32">
        <v>45810.0</v>
      </c>
      <c r="T1238" s="29"/>
      <c r="U1238" s="33"/>
      <c r="V1238" s="1"/>
    </row>
    <row r="1239" ht="24.0" customHeight="1">
      <c r="A1239" s="1"/>
      <c r="B1239" s="24" t="str">
        <f>HYPERLINK("https://www.compass.com/listing/1961-65th-street-unit-3b-brooklyn-ny-11204/1872001939927156529/view?agent_id=610d3f3370540700019b0833","1961 65th Street, Unit 3B")</f>
        <v>1961 65th Street, Unit 3B</v>
      </c>
      <c r="C1239" s="25" t="s">
        <v>22</v>
      </c>
      <c r="D1239" s="26" t="s">
        <v>23</v>
      </c>
      <c r="E1239" s="27" t="str">
        <f>HYPERLINK("https://www.compass.com/building/1961-65th-st-brooklyn-ny-11204/293529031847048325/","1961 65th St")</f>
        <v>1961 65th St</v>
      </c>
      <c r="F1239" s="25" t="s">
        <v>259</v>
      </c>
      <c r="G1239" s="28">
        <v>280000.0</v>
      </c>
      <c r="H1239" s="28">
        <v>365.0</v>
      </c>
      <c r="I1239" s="28">
        <v>999.0</v>
      </c>
      <c r="J1239" s="29"/>
      <c r="K1239" s="25" t="s">
        <v>25</v>
      </c>
      <c r="L1239" s="26">
        <v>4.0</v>
      </c>
      <c r="M1239" s="26">
        <v>2.0</v>
      </c>
      <c r="N1239" s="26">
        <v>1.0</v>
      </c>
      <c r="O1239" s="26">
        <v>0.0</v>
      </c>
      <c r="P1239" s="26">
        <v>768.0</v>
      </c>
      <c r="Q1239" s="35">
        <v>29.0</v>
      </c>
      <c r="R1239" s="32">
        <v>45854.0</v>
      </c>
      <c r="S1239" s="32">
        <v>45834.0</v>
      </c>
      <c r="T1239" s="29"/>
      <c r="U1239" s="33"/>
      <c r="V1239" s="1"/>
    </row>
    <row r="1240" ht="24.0" customHeight="1">
      <c r="A1240" s="1"/>
      <c r="B1240" s="24" t="str">
        <f>HYPERLINK("https://www.compass.com/listing/88-10-34th-avenue-unit-3a-queens-ny-11372/1798778589637575265/view?agent_id=610d3f3370540700019b0833","88-10 34th Avenue, Unit 3A")</f>
        <v>88-10 34th Avenue, Unit 3A</v>
      </c>
      <c r="C1240" s="25" t="s">
        <v>22</v>
      </c>
      <c r="D1240" s="26" t="s">
        <v>23</v>
      </c>
      <c r="E1240" s="27" t="str">
        <f>HYPERLINK("https://www.compass.com/building/88-10-34th-ave-queens-ny-11372/293526247793777909/","88-10 34th Ave")</f>
        <v>88-10 34th Ave</v>
      </c>
      <c r="F1240" s="25" t="s">
        <v>33</v>
      </c>
      <c r="G1240" s="28">
        <v>475000.0</v>
      </c>
      <c r="H1240" s="29"/>
      <c r="I1240" s="28">
        <v>1104.0</v>
      </c>
      <c r="J1240" s="28">
        <v>0.0</v>
      </c>
      <c r="K1240" s="25" t="s">
        <v>25</v>
      </c>
      <c r="L1240" s="26">
        <v>5.0</v>
      </c>
      <c r="M1240" s="26">
        <v>2.0</v>
      </c>
      <c r="N1240" s="26">
        <v>1.0</v>
      </c>
      <c r="O1240" s="26">
        <v>0.0</v>
      </c>
      <c r="P1240" s="30"/>
      <c r="Q1240" s="35">
        <v>130.0</v>
      </c>
      <c r="R1240" s="32">
        <v>45812.0</v>
      </c>
      <c r="S1240" s="32">
        <v>45733.0</v>
      </c>
      <c r="T1240" s="29"/>
      <c r="U1240" s="33"/>
      <c r="V1240" s="1"/>
    </row>
    <row r="1241" ht="24.0" customHeight="1">
      <c r="A1241" s="1"/>
      <c r="B1241" s="24" t="str">
        <f>HYPERLINK("https://www.compass.com/listing/1131-61st-street-brooklyn-ny-11219/1662457471908125777/view?agent_id=610d3f3370540700019b0833","1131 61st Street")</f>
        <v>1131 61st Street</v>
      </c>
      <c r="C1241" s="25" t="s">
        <v>22</v>
      </c>
      <c r="D1241" s="26" t="s">
        <v>23</v>
      </c>
      <c r="E1241" s="27" t="str">
        <f>HYPERLINK("https://www.compass.com/building/1131-61st-st-brooklyn-ny-11219/293526225782061381/","1131 61st St")</f>
        <v>1131 61st St</v>
      </c>
      <c r="F1241" s="25" t="s">
        <v>272</v>
      </c>
      <c r="G1241" s="28">
        <v>1190000.0</v>
      </c>
      <c r="H1241" s="28">
        <v>1190.0</v>
      </c>
      <c r="I1241" s="28">
        <v>279.0</v>
      </c>
      <c r="J1241" s="28">
        <v>3350.0</v>
      </c>
      <c r="K1241" s="25" t="s">
        <v>159</v>
      </c>
      <c r="L1241" s="26">
        <v>4.0</v>
      </c>
      <c r="M1241" s="26">
        <v>2.0</v>
      </c>
      <c r="N1241" s="26">
        <v>1.0</v>
      </c>
      <c r="O1241" s="30"/>
      <c r="P1241" s="34">
        <v>1000.0</v>
      </c>
      <c r="Q1241" s="35">
        <v>318.0</v>
      </c>
      <c r="R1241" s="32">
        <v>45852.0</v>
      </c>
      <c r="S1241" s="32">
        <v>45545.0</v>
      </c>
      <c r="T1241" s="29"/>
      <c r="U1241" s="33"/>
      <c r="V1241" s="1"/>
    </row>
    <row r="1242" ht="24.0" customHeight="1">
      <c r="A1242" s="1"/>
      <c r="B1242" s="24" t="str">
        <f>HYPERLINK("https://www.compass.com/listing/2475-west-16th-street-unit-18g-brooklyn-ny-11214/1863250559951030385/view?agent_id=610d3f3370540700019b0833","2475 West 16th Street, Unit 18G")</f>
        <v>2475 West 16th Street, Unit 18G</v>
      </c>
      <c r="C1242" s="25" t="s">
        <v>22</v>
      </c>
      <c r="D1242" s="26" t="s">
        <v>23</v>
      </c>
      <c r="E1242" s="27" t="str">
        <f>HYPERLINK("https://www.compass.com/building/2475-w-16th-st-brooklyn-ny-11214/293529337553092373/","2475 W 16th St")</f>
        <v>2475 W 16th St</v>
      </c>
      <c r="F1242" s="25" t="s">
        <v>173</v>
      </c>
      <c r="G1242" s="28">
        <v>379999.0</v>
      </c>
      <c r="H1242" s="28">
        <v>475.0</v>
      </c>
      <c r="I1242" s="28">
        <v>872.0</v>
      </c>
      <c r="J1242" s="29"/>
      <c r="K1242" s="25" t="s">
        <v>25</v>
      </c>
      <c r="L1242" s="26">
        <v>4.0</v>
      </c>
      <c r="M1242" s="26">
        <v>2.0</v>
      </c>
      <c r="N1242" s="26">
        <v>1.0</v>
      </c>
      <c r="O1242" s="26">
        <v>0.0</v>
      </c>
      <c r="P1242" s="26">
        <v>800.0</v>
      </c>
      <c r="Q1242" s="35">
        <v>41.0</v>
      </c>
      <c r="R1242" s="32">
        <v>45825.0</v>
      </c>
      <c r="S1242" s="32">
        <v>45822.0</v>
      </c>
      <c r="T1242" s="29"/>
      <c r="U1242" s="33"/>
      <c r="V1242" s="1"/>
    </row>
    <row r="1243" ht="24.0" customHeight="1">
      <c r="A1243" s="1"/>
      <c r="B1243" s="24" t="str">
        <f>HYPERLINK("https://www.compass.com/listing/34-30-78th-street-unit-3h-queens-ny-11372/1826837746925321553/view?agent_id=610d3f3370540700019b0833","34-30 78th Street, Unit 3H")</f>
        <v>34-30 78th Street, Unit 3H</v>
      </c>
      <c r="C1243" s="25" t="s">
        <v>22</v>
      </c>
      <c r="D1243" s="26" t="s">
        <v>23</v>
      </c>
      <c r="E1243" s="27" t="str">
        <f>HYPERLINK("https://www.compass.com/building/34-30-78th-st-queens-ny-11372/307450775500026437/","34-30 78th St")</f>
        <v>34-30 78th St</v>
      </c>
      <c r="F1243" s="25" t="s">
        <v>33</v>
      </c>
      <c r="G1243" s="28">
        <v>512000.0</v>
      </c>
      <c r="H1243" s="28">
        <v>621.0</v>
      </c>
      <c r="I1243" s="28">
        <v>1013.0</v>
      </c>
      <c r="J1243" s="29"/>
      <c r="K1243" s="25" t="s">
        <v>25</v>
      </c>
      <c r="L1243" s="26">
        <v>5.0</v>
      </c>
      <c r="M1243" s="26">
        <v>2.0</v>
      </c>
      <c r="N1243" s="26">
        <v>1.0</v>
      </c>
      <c r="O1243" s="26">
        <v>0.0</v>
      </c>
      <c r="P1243" s="26">
        <v>825.0</v>
      </c>
      <c r="Q1243" s="35">
        <v>91.0</v>
      </c>
      <c r="R1243" s="32">
        <v>45822.0</v>
      </c>
      <c r="S1243" s="32">
        <v>45772.0</v>
      </c>
      <c r="T1243" s="29"/>
      <c r="U1243" s="33"/>
      <c r="V1243" s="1"/>
    </row>
    <row r="1244" ht="24.0" customHeight="1">
      <c r="A1244" s="1"/>
      <c r="B1244" s="24" t="str">
        <f>HYPERLINK("https://www.compass.com/listing/35-38-junction-boulevard-unit-5h-queens-ny-11368/1844259693118252537/view?agent_id=610d3f3370540700019b0833","35-38 Junction Boulevard, Unit 5H")</f>
        <v>35-38 Junction Boulevard, Unit 5H</v>
      </c>
      <c r="C1244" s="25" t="s">
        <v>22</v>
      </c>
      <c r="D1244" s="26" t="s">
        <v>23</v>
      </c>
      <c r="E1244" s="27" t="str">
        <f>HYPERLINK("https://www.compass.com/building/35-38-junction-blvd-queens-ny-11368/455662380530604717/","35-38 Junction Blvd")</f>
        <v>35-38 Junction Blvd</v>
      </c>
      <c r="F1244" s="25" t="s">
        <v>33</v>
      </c>
      <c r="G1244" s="28">
        <v>579000.0</v>
      </c>
      <c r="H1244" s="28">
        <v>775.0</v>
      </c>
      <c r="I1244" s="28">
        <v>520.0</v>
      </c>
      <c r="J1244" s="28">
        <v>1029.0</v>
      </c>
      <c r="K1244" s="25" t="s">
        <v>28</v>
      </c>
      <c r="L1244" s="26">
        <v>4.0</v>
      </c>
      <c r="M1244" s="26">
        <v>2.0</v>
      </c>
      <c r="N1244" s="26">
        <v>1.0</v>
      </c>
      <c r="O1244" s="30"/>
      <c r="P1244" s="26">
        <v>747.0</v>
      </c>
      <c r="Q1244" s="35">
        <v>67.0</v>
      </c>
      <c r="R1244" s="32">
        <v>45847.0</v>
      </c>
      <c r="S1244" s="32">
        <v>45796.0</v>
      </c>
      <c r="T1244" s="29"/>
      <c r="U1244" s="33"/>
      <c r="V1244" s="1"/>
    </row>
    <row r="1245" ht="24.0" customHeight="1">
      <c r="A1245" s="1"/>
      <c r="B1245" s="24" t="str">
        <f>HYPERLINK("https://www.compass.com/listing/67-09-136th-street-unit-b-queens-ny-11367/1856102887587515041/view?agent_id=610d3f3370540700019b0833","67-09 136th Street, Unit B")</f>
        <v>67-09 136th Street, Unit B</v>
      </c>
      <c r="C1245" s="25" t="s">
        <v>22</v>
      </c>
      <c r="D1245" s="26" t="s">
        <v>23</v>
      </c>
      <c r="E1245" s="26" t="s">
        <v>273</v>
      </c>
      <c r="F1245" s="25" t="s">
        <v>142</v>
      </c>
      <c r="G1245" s="28">
        <v>349000.0</v>
      </c>
      <c r="H1245" s="28">
        <v>411.0</v>
      </c>
      <c r="I1245" s="28">
        <v>2206.0</v>
      </c>
      <c r="J1245" s="29"/>
      <c r="K1245" s="25" t="s">
        <v>25</v>
      </c>
      <c r="L1245" s="26">
        <v>5.0</v>
      </c>
      <c r="M1245" s="26">
        <v>2.0</v>
      </c>
      <c r="N1245" s="26">
        <v>1.0</v>
      </c>
      <c r="O1245" s="30"/>
      <c r="P1245" s="26">
        <v>850.0</v>
      </c>
      <c r="Q1245" s="35">
        <v>47.0</v>
      </c>
      <c r="R1245" s="32">
        <v>45862.0</v>
      </c>
      <c r="S1245" s="32">
        <v>45816.0</v>
      </c>
      <c r="T1245" s="29"/>
      <c r="U1245" s="33"/>
      <c r="V1245" s="1"/>
    </row>
    <row r="1246" ht="24.0" customHeight="1">
      <c r="A1246" s="1"/>
      <c r="B1246" s="24" t="str">
        <f>HYPERLINK("https://www.compass.com/listing/78-10-34th-avenue-unit-4e-queens-ny-11372/1763122330306136729/view?agent_id=610d3f3370540700019b0833","78-10 34th Avenue, Unit 4E")</f>
        <v>78-10 34th Avenue, Unit 4E</v>
      </c>
      <c r="C1246" s="25" t="s">
        <v>22</v>
      </c>
      <c r="D1246" s="26" t="s">
        <v>23</v>
      </c>
      <c r="E1246" s="27" t="str">
        <f>HYPERLINK("https://www.compass.com/building/78-10-34th-ave-queens-ny-11372/293533023599683269/","78-10 34th Ave")</f>
        <v>78-10 34th Ave</v>
      </c>
      <c r="F1246" s="25" t="s">
        <v>33</v>
      </c>
      <c r="G1246" s="28">
        <v>399000.0</v>
      </c>
      <c r="H1246" s="28">
        <v>431.0</v>
      </c>
      <c r="I1246" s="28">
        <v>1293.0</v>
      </c>
      <c r="J1246" s="29"/>
      <c r="K1246" s="25" t="s">
        <v>25</v>
      </c>
      <c r="L1246" s="26">
        <v>5.0</v>
      </c>
      <c r="M1246" s="26">
        <v>2.0</v>
      </c>
      <c r="N1246" s="26">
        <v>1.0</v>
      </c>
      <c r="O1246" s="30"/>
      <c r="P1246" s="26">
        <v>925.0</v>
      </c>
      <c r="Q1246" s="35">
        <v>179.0</v>
      </c>
      <c r="R1246" s="32">
        <v>45854.0</v>
      </c>
      <c r="S1246" s="32">
        <v>45684.0</v>
      </c>
      <c r="T1246" s="29"/>
      <c r="U1246" s="33"/>
      <c r="V1246" s="1"/>
    </row>
    <row r="1247" ht="24.0" customHeight="1">
      <c r="A1247" s="1"/>
      <c r="B1247" s="24" t="str">
        <f>HYPERLINK("https://www.compass.com/listing/77-34-77th-street-unit-2g-queens-ny-11372/1793878222088433353/view?agent_id=610d3f3370540700019b0833","77-34 77th Street, Unit 2G")</f>
        <v>77-34 77th Street, Unit 2G</v>
      </c>
      <c r="C1247" s="25" t="s">
        <v>22</v>
      </c>
      <c r="D1247" s="26" t="s">
        <v>23</v>
      </c>
      <c r="E1247" s="26" t="s">
        <v>274</v>
      </c>
      <c r="F1247" s="25" t="s">
        <v>33</v>
      </c>
      <c r="G1247" s="28">
        <v>459000.0</v>
      </c>
      <c r="H1247" s="29"/>
      <c r="I1247" s="28">
        <v>1019.0</v>
      </c>
      <c r="J1247" s="28">
        <v>0.0</v>
      </c>
      <c r="K1247" s="25" t="s">
        <v>25</v>
      </c>
      <c r="L1247" s="26">
        <v>5.0</v>
      </c>
      <c r="M1247" s="26">
        <v>2.0</v>
      </c>
      <c r="N1247" s="26">
        <v>1.0</v>
      </c>
      <c r="O1247" s="30"/>
      <c r="P1247" s="30"/>
      <c r="Q1247" s="35">
        <v>1750.0</v>
      </c>
      <c r="R1247" s="32">
        <v>44113.0</v>
      </c>
      <c r="S1247" s="32">
        <v>44113.0</v>
      </c>
      <c r="T1247" s="29"/>
      <c r="U1247" s="33"/>
      <c r="V1247" s="1"/>
    </row>
    <row r="1248" ht="24.0" customHeight="1">
      <c r="A1248" s="1"/>
      <c r="B1248" s="24" t="str">
        <f>HYPERLINK("https://www.compass.com/listing/2390-palisade-avenue-unit-5j-bronx-ny-10463/1788473004545181465/view?agent_id=610d3f3370540700019b0833","2390 Palisade Avenue, Unit 5J")</f>
        <v>2390 Palisade Avenue, Unit 5J</v>
      </c>
      <c r="C1248" s="25" t="s">
        <v>22</v>
      </c>
      <c r="D1248" s="26" t="s">
        <v>23</v>
      </c>
      <c r="E1248" s="27" t="str">
        <f>HYPERLINK("https://www.compass.com/building/2390-palisade-ave-bronx-ny-10463/293529703321467621/","2390 Palisade Ave")</f>
        <v>2390 Palisade Ave</v>
      </c>
      <c r="F1248" s="25" t="s">
        <v>89</v>
      </c>
      <c r="G1248" s="28">
        <v>299000.0</v>
      </c>
      <c r="H1248" s="28">
        <v>299.0</v>
      </c>
      <c r="I1248" s="28">
        <v>1268.0</v>
      </c>
      <c r="J1248" s="28">
        <v>0.0</v>
      </c>
      <c r="K1248" s="25" t="s">
        <v>25</v>
      </c>
      <c r="L1248" s="26">
        <v>4.0</v>
      </c>
      <c r="M1248" s="26">
        <v>2.0</v>
      </c>
      <c r="N1248" s="26">
        <v>1.0</v>
      </c>
      <c r="O1248" s="26">
        <v>0.0</v>
      </c>
      <c r="P1248" s="34">
        <v>1000.0</v>
      </c>
      <c r="Q1248" s="35">
        <v>144.0</v>
      </c>
      <c r="R1248" s="32">
        <v>45861.0</v>
      </c>
      <c r="S1248" s="32">
        <v>45719.0</v>
      </c>
      <c r="T1248" s="29"/>
      <c r="U1248" s="33"/>
      <c r="V1248" s="1"/>
    </row>
    <row r="1249" ht="24.0" customHeight="1">
      <c r="A1249" s="1"/>
      <c r="B1249" s="24" t="str">
        <f>HYPERLINK("https://www.compass.com/listing/48-50-44th-street-unit-6b-queens-ny-11377/1712996974490870617/view?agent_id=610d3f3370540700019b0833","48-50 44th Street, Unit 6B")</f>
        <v>48-50 44th Street, Unit 6B</v>
      </c>
      <c r="C1249" s="25" t="s">
        <v>22</v>
      </c>
      <c r="D1249" s="26" t="s">
        <v>23</v>
      </c>
      <c r="E1249" s="27" t="str">
        <f>HYPERLINK("https://www.compass.com/building/celtic-park-queens-ny/307460286789197013/","Celtic Park")</f>
        <v>Celtic Park</v>
      </c>
      <c r="F1249" s="25" t="s">
        <v>88</v>
      </c>
      <c r="G1249" s="28">
        <v>545000.0</v>
      </c>
      <c r="H1249" s="28">
        <v>577.0</v>
      </c>
      <c r="I1249" s="28">
        <v>1134.0</v>
      </c>
      <c r="J1249" s="28">
        <v>0.0</v>
      </c>
      <c r="K1249" s="25" t="s">
        <v>25</v>
      </c>
      <c r="L1249" s="26">
        <v>4.0</v>
      </c>
      <c r="M1249" s="26">
        <v>2.0</v>
      </c>
      <c r="N1249" s="26">
        <v>1.0</v>
      </c>
      <c r="O1249" s="30"/>
      <c r="P1249" s="26">
        <v>945.0</v>
      </c>
      <c r="Q1249" s="35">
        <v>249.0</v>
      </c>
      <c r="R1249" s="32">
        <v>45615.0</v>
      </c>
      <c r="S1249" s="32">
        <v>45614.0</v>
      </c>
      <c r="T1249" s="29"/>
      <c r="U1249" s="33"/>
      <c r="V1249" s="1"/>
    </row>
    <row r="1250" ht="24.0" customHeight="1">
      <c r="A1250" s="1"/>
      <c r="B1250" s="24" t="str">
        <f>HYPERLINK("https://www.compass.com/listing/60-knolls-crescent-unit-7l-bronx-ny-10463/1780714280571513481/view?agent_id=610d3f3370540700019b0833","60 Knolls Crescent, Unit 7L")</f>
        <v>60 Knolls Crescent, Unit 7L</v>
      </c>
      <c r="C1250" s="25" t="s">
        <v>22</v>
      </c>
      <c r="D1250" s="26" t="s">
        <v>23</v>
      </c>
      <c r="E1250" s="27" t="str">
        <f>HYPERLINK("https://www.compass.com/building/60-knolls-cres-bronx-ny-10463/293418531339429541/","60 Knolls Cres")</f>
        <v>60 Knolls Cres</v>
      </c>
      <c r="F1250" s="25" t="s">
        <v>89</v>
      </c>
      <c r="G1250" s="28">
        <v>178729.0</v>
      </c>
      <c r="H1250" s="28">
        <v>210.0</v>
      </c>
      <c r="I1250" s="28">
        <v>940.0</v>
      </c>
      <c r="J1250" s="29"/>
      <c r="K1250" s="25" t="s">
        <v>25</v>
      </c>
      <c r="L1250" s="26">
        <v>5.0</v>
      </c>
      <c r="M1250" s="26">
        <v>2.0</v>
      </c>
      <c r="N1250" s="26">
        <v>1.0</v>
      </c>
      <c r="O1250" s="30"/>
      <c r="P1250" s="26">
        <v>850.0</v>
      </c>
      <c r="Q1250" s="35">
        <v>155.0</v>
      </c>
      <c r="R1250" s="32">
        <v>45795.0</v>
      </c>
      <c r="S1250" s="32">
        <v>45708.0</v>
      </c>
      <c r="T1250" s="29"/>
      <c r="U1250" s="33"/>
      <c r="V1250" s="1"/>
    </row>
    <row r="1251" ht="24.0" customHeight="1">
      <c r="A1251" s="1"/>
      <c r="B1251" s="24" t="str">
        <f>HYPERLINK("https://www.compass.com/listing/87-70-173rd-street-unit-5e-queens-ny-11432/1849388245375930177/view?agent_id=610d3f3370540700019b0833","87-70 173rd Street, Unit 5E")</f>
        <v>87-70 173rd Street, Unit 5E</v>
      </c>
      <c r="C1251" s="25" t="s">
        <v>22</v>
      </c>
      <c r="D1251" s="26" t="s">
        <v>23</v>
      </c>
      <c r="E1251" s="27" t="str">
        <f>HYPERLINK("https://www.compass.com/building/87-70-173rd-st-queens-ny-11432/293417969093019925/","87-70 173rd St")</f>
        <v>87-70 173rd St</v>
      </c>
      <c r="F1251" s="25" t="s">
        <v>275</v>
      </c>
      <c r="G1251" s="28">
        <v>234000.0</v>
      </c>
      <c r="H1251" s="28">
        <v>275.0</v>
      </c>
      <c r="I1251" s="28">
        <v>1050.0</v>
      </c>
      <c r="J1251" s="29"/>
      <c r="K1251" s="25" t="s">
        <v>25</v>
      </c>
      <c r="L1251" s="26">
        <v>5.0</v>
      </c>
      <c r="M1251" s="26">
        <v>2.0</v>
      </c>
      <c r="N1251" s="26">
        <v>1.0</v>
      </c>
      <c r="O1251" s="30"/>
      <c r="P1251" s="26">
        <v>850.0</v>
      </c>
      <c r="Q1251" s="35">
        <v>60.0</v>
      </c>
      <c r="R1251" s="32">
        <v>45804.0</v>
      </c>
      <c r="S1251" s="32">
        <v>45803.0</v>
      </c>
      <c r="T1251" s="29"/>
      <c r="U1251" s="33"/>
      <c r="V1251" s="1"/>
    </row>
    <row r="1252" ht="24.0" customHeight="1">
      <c r="A1252" s="1"/>
      <c r="B1252" s="24" t="str">
        <f>HYPERLINK("https://www.compass.com/listing/611-banner-avenue-unit-1a-brooklyn-ny-11235/1855706059142530833/view?agent_id=610d3f3370540700019b0833","611 Banner Avenue, Unit 1A")</f>
        <v>611 Banner Avenue, Unit 1A</v>
      </c>
      <c r="C1252" s="25" t="s">
        <v>22</v>
      </c>
      <c r="D1252" s="26" t="s">
        <v>23</v>
      </c>
      <c r="E1252" s="27" t="str">
        <f>HYPERLINK("https://www.compass.com/building/611-banner-ave-brooklyn-ny-11235/293534146330914789/","611 Banner Ave")</f>
        <v>611 Banner Ave</v>
      </c>
      <c r="F1252" s="25" t="s">
        <v>74</v>
      </c>
      <c r="G1252" s="28">
        <v>349000.0</v>
      </c>
      <c r="H1252" s="28">
        <v>388.0</v>
      </c>
      <c r="I1252" s="28">
        <v>921.0</v>
      </c>
      <c r="J1252" s="28">
        <v>0.0</v>
      </c>
      <c r="K1252" s="25" t="s">
        <v>49</v>
      </c>
      <c r="L1252" s="26">
        <v>4.0</v>
      </c>
      <c r="M1252" s="26">
        <v>2.0</v>
      </c>
      <c r="N1252" s="26">
        <v>1.0</v>
      </c>
      <c r="O1252" s="30"/>
      <c r="P1252" s="26">
        <v>900.0</v>
      </c>
      <c r="Q1252" s="35">
        <v>52.0</v>
      </c>
      <c r="R1252" s="32">
        <v>45828.0</v>
      </c>
      <c r="S1252" s="32">
        <v>45811.0</v>
      </c>
      <c r="T1252" s="29"/>
      <c r="U1252" s="33"/>
      <c r="V1252" s="1"/>
    </row>
    <row r="1253" ht="24.0" customHeight="1">
      <c r="A1253" s="1"/>
      <c r="B1253" s="24" t="str">
        <f>HYPERLINK("https://www.compass.com/listing/87-40-francis-lewis-boulevard-unit-b38-queens-ny-11427/1843219269586689281/view?agent_id=610d3f3370540700019b0833","87-40 Francis Lewis Boulevard, Unit B38")</f>
        <v>87-40 Francis Lewis Boulevard, Unit B38</v>
      </c>
      <c r="C1253" s="25" t="s">
        <v>22</v>
      </c>
      <c r="D1253" s="26" t="s">
        <v>23</v>
      </c>
      <c r="E1253" s="27" t="str">
        <f>HYPERLINK("https://www.compass.com/building/87-40-francis-lewis-blvd-queens-ny-11427/307456540596013365/","87-40 Francis Lewis Blvd")</f>
        <v>87-40 Francis Lewis Blvd</v>
      </c>
      <c r="F1253" s="25" t="s">
        <v>99</v>
      </c>
      <c r="G1253" s="28">
        <v>349888.0</v>
      </c>
      <c r="H1253" s="28">
        <v>368.0</v>
      </c>
      <c r="I1253" s="28">
        <v>1059.0</v>
      </c>
      <c r="J1253" s="29"/>
      <c r="K1253" s="25" t="s">
        <v>25</v>
      </c>
      <c r="L1253" s="26">
        <v>5.0</v>
      </c>
      <c r="M1253" s="26">
        <v>2.0</v>
      </c>
      <c r="N1253" s="26">
        <v>1.0</v>
      </c>
      <c r="O1253" s="30"/>
      <c r="P1253" s="26">
        <v>950.0</v>
      </c>
      <c r="Q1253" s="35">
        <v>68.0</v>
      </c>
      <c r="R1253" s="32">
        <v>45834.0</v>
      </c>
      <c r="S1253" s="32">
        <v>45794.0</v>
      </c>
      <c r="T1253" s="29"/>
      <c r="U1253" s="33"/>
      <c r="V1253" s="1"/>
    </row>
    <row r="1254" ht="24.0" customHeight="1">
      <c r="A1254" s="1"/>
      <c r="B1254" s="24" t="str">
        <f>HYPERLINK("https://www.compass.com/listing/647-correll-avenue-staten-island-ny-10309/1866135497705134465/view?agent_id=610d3f3370540700019b0833","647 Correll Avenue")</f>
        <v>647 Correll Avenue</v>
      </c>
      <c r="C1254" s="25" t="s">
        <v>22</v>
      </c>
      <c r="D1254" s="26" t="s">
        <v>23</v>
      </c>
      <c r="E1254" s="27" t="str">
        <f>HYPERLINK("https://www.compass.com/building/647-correll-ave-staten-island-ny-10309/358733062092798901/","647 Correll Ave")</f>
        <v>647 Correll Ave</v>
      </c>
      <c r="F1254" s="25" t="s">
        <v>276</v>
      </c>
      <c r="G1254" s="28">
        <v>499000.0</v>
      </c>
      <c r="H1254" s="28">
        <v>510.0</v>
      </c>
      <c r="I1254" s="28">
        <v>669.0</v>
      </c>
      <c r="J1254" s="28">
        <v>3706.0</v>
      </c>
      <c r="K1254" s="36"/>
      <c r="L1254" s="26">
        <v>4.0</v>
      </c>
      <c r="M1254" s="26">
        <v>2.0</v>
      </c>
      <c r="N1254" s="26">
        <v>1.0</v>
      </c>
      <c r="O1254" s="26">
        <v>0.0</v>
      </c>
      <c r="P1254" s="26">
        <v>978.0</v>
      </c>
      <c r="Q1254" s="35">
        <v>37.0</v>
      </c>
      <c r="R1254" s="32">
        <v>45854.0</v>
      </c>
      <c r="S1254" s="32">
        <v>45825.0</v>
      </c>
      <c r="T1254" s="29"/>
      <c r="U1254" s="33"/>
      <c r="V1254" s="1"/>
    </row>
    <row r="1255" ht="24.0" customHeight="1">
      <c r="A1255" s="1"/>
      <c r="B1255" s="24" t="str">
        <f>HYPERLINK("https://www.compass.com/listing/37-50-87th-street-unit-5f-queens-ny-11372/1744896176769095201/view?agent_id=610d3f3370540700019b0833","37-50 87th Street, Unit 5F")</f>
        <v>37-50 87th Street, Unit 5F</v>
      </c>
      <c r="C1255" s="25" t="s">
        <v>22</v>
      </c>
      <c r="D1255" s="26" t="s">
        <v>23</v>
      </c>
      <c r="E1255" s="27" t="str">
        <f>HYPERLINK("https://www.compass.com/building/37-50-87th-st-queens-ny-11372/307444884457770437/","37-50 87th St")</f>
        <v>37-50 87th St</v>
      </c>
      <c r="F1255" s="25" t="s">
        <v>33</v>
      </c>
      <c r="G1255" s="28">
        <v>445000.0</v>
      </c>
      <c r="H1255" s="28">
        <v>468.0</v>
      </c>
      <c r="I1255" s="28">
        <v>926.0</v>
      </c>
      <c r="J1255" s="28">
        <v>0.0</v>
      </c>
      <c r="K1255" s="25" t="s">
        <v>25</v>
      </c>
      <c r="L1255" s="26">
        <v>5.0</v>
      </c>
      <c r="M1255" s="26">
        <v>2.0</v>
      </c>
      <c r="N1255" s="26">
        <v>1.0</v>
      </c>
      <c r="O1255" s="30"/>
      <c r="P1255" s="26">
        <v>950.0</v>
      </c>
      <c r="Q1255" s="35">
        <v>205.0</v>
      </c>
      <c r="R1255" s="32">
        <v>45659.0</v>
      </c>
      <c r="S1255" s="32">
        <v>45658.0</v>
      </c>
      <c r="T1255" s="29"/>
      <c r="U1255" s="33"/>
      <c r="V1255" s="1"/>
    </row>
    <row r="1256" ht="24.0" customHeight="1">
      <c r="A1256" s="1"/>
      <c r="B1256" s="24" t="str">
        <f>HYPERLINK("https://www.compass.com/listing/128-26-gotham-road-queens-ny-11420/1867602289443509841/view?agent_id=610d3f3370540700019b0833","128-26 Gotham Road")</f>
        <v>128-26 Gotham Road</v>
      </c>
      <c r="C1256" s="25" t="s">
        <v>22</v>
      </c>
      <c r="D1256" s="26" t="s">
        <v>23</v>
      </c>
      <c r="E1256" s="27" t="str">
        <f>HYPERLINK("https://www.compass.com/building/128-26-gotham-rd-queens-ny-11420/293535200602819605/","128-26 Gotham Rd")</f>
        <v>128-26 Gotham Rd</v>
      </c>
      <c r="F1256" s="25" t="s">
        <v>277</v>
      </c>
      <c r="G1256" s="28">
        <v>649000.0</v>
      </c>
      <c r="H1256" s="28">
        <v>322.0</v>
      </c>
      <c r="I1256" s="28">
        <v>336.0</v>
      </c>
      <c r="J1256" s="28">
        <v>4037.0</v>
      </c>
      <c r="K1256" s="25" t="s">
        <v>97</v>
      </c>
      <c r="L1256" s="26">
        <v>5.0</v>
      </c>
      <c r="M1256" s="26">
        <v>2.0</v>
      </c>
      <c r="N1256" s="26">
        <v>1.0</v>
      </c>
      <c r="O1256" s="30"/>
      <c r="P1256" s="34">
        <v>2018.0</v>
      </c>
      <c r="Q1256" s="35">
        <v>35.0</v>
      </c>
      <c r="R1256" s="32">
        <v>45858.0</v>
      </c>
      <c r="S1256" s="32">
        <v>45828.0</v>
      </c>
      <c r="T1256" s="29"/>
      <c r="U1256" s="33"/>
      <c r="V1256" s="1"/>
    </row>
    <row r="1257" ht="24.0" customHeight="1">
      <c r="A1257" s="1"/>
      <c r="B1257" s="24" t="str">
        <f>HYPERLINK("https://www.compass.com/listing/679-west-239th-street-unit-5h-bronx-ny-10463/1815966783489896217/view?agent_id=610d3f3370540700019b0833","679 West 239th Street, Unit 5H")</f>
        <v>679 West 239th Street, Unit 5H</v>
      </c>
      <c r="C1257" s="25" t="s">
        <v>22</v>
      </c>
      <c r="D1257" s="26" t="s">
        <v>23</v>
      </c>
      <c r="E1257" s="27" t="str">
        <f>HYPERLINK("https://www.compass.com/building/679-w-239th-st-bronx-ny-10463/293529511759261157/","679 W 239th St")</f>
        <v>679 W 239th St</v>
      </c>
      <c r="F1257" s="25" t="s">
        <v>76</v>
      </c>
      <c r="G1257" s="28">
        <v>314900.0</v>
      </c>
      <c r="H1257" s="28">
        <v>315.0</v>
      </c>
      <c r="I1257" s="28">
        <v>1249.0</v>
      </c>
      <c r="J1257" s="29"/>
      <c r="K1257" s="25" t="s">
        <v>25</v>
      </c>
      <c r="L1257" s="26">
        <v>5.0</v>
      </c>
      <c r="M1257" s="26">
        <v>2.0</v>
      </c>
      <c r="N1257" s="26">
        <v>1.0</v>
      </c>
      <c r="O1257" s="30"/>
      <c r="P1257" s="34">
        <v>1000.0</v>
      </c>
      <c r="Q1257" s="35">
        <v>106.0</v>
      </c>
      <c r="R1257" s="32">
        <v>45846.0</v>
      </c>
      <c r="S1257" s="32">
        <v>45757.0</v>
      </c>
      <c r="T1257" s="29"/>
      <c r="U1257" s="33"/>
      <c r="V1257" s="1"/>
    </row>
    <row r="1258" ht="24.0" customHeight="1">
      <c r="A1258" s="1"/>
      <c r="B1258" s="24" t="str">
        <f>HYPERLINK("https://www.compass.com/listing/3725-henry-hudson-parkway-west-unit-4h-bronx-ny-10463/1532513152241768361/view?agent_id=610d3f3370540700019b0833","3725 Henry Hudson Parkway West, Unit 4H")</f>
        <v>3725 Henry Hudson Parkway West, Unit 4H</v>
      </c>
      <c r="C1258" s="25" t="s">
        <v>22</v>
      </c>
      <c r="D1258" s="26" t="s">
        <v>23</v>
      </c>
      <c r="E1258" s="27" t="str">
        <f>HYPERLINK("https://www.compass.com/building/3725-henry-hudson-pkwy-w-bronx-ny-10463/293528076829178405/","3725 Henry Hudson Pkwy W")</f>
        <v>3725 Henry Hudson Pkwy W</v>
      </c>
      <c r="F1258" s="25" t="s">
        <v>76</v>
      </c>
      <c r="G1258" s="28">
        <v>260000.0</v>
      </c>
      <c r="H1258" s="29"/>
      <c r="I1258" s="28">
        <v>1282.0</v>
      </c>
      <c r="J1258" s="28">
        <v>0.0</v>
      </c>
      <c r="K1258" s="25" t="s">
        <v>25</v>
      </c>
      <c r="L1258" s="26">
        <v>2.0</v>
      </c>
      <c r="M1258" s="26">
        <v>2.0</v>
      </c>
      <c r="N1258" s="26">
        <v>1.0</v>
      </c>
      <c r="O1258" s="30"/>
      <c r="P1258" s="30"/>
      <c r="Q1258" s="35">
        <v>498.0</v>
      </c>
      <c r="R1258" s="32">
        <v>45366.0</v>
      </c>
      <c r="S1258" s="32">
        <v>45365.0</v>
      </c>
      <c r="T1258" s="29"/>
      <c r="U1258" s="33"/>
      <c r="V1258" s="1"/>
    </row>
    <row r="1259" ht="24.0" customHeight="1">
      <c r="A1259" s="1"/>
      <c r="B1259" s="24" t="str">
        <f>HYPERLINK("https://www.compass.com/listing/86-11-34th-avenue-unit-1a-queens-ny-11372/1800257336837544529/view?agent_id=610d3f3370540700019b0833","86-11 34th Avenue, Unit 1A")</f>
        <v>86-11 34th Avenue, Unit 1A</v>
      </c>
      <c r="C1259" s="25" t="s">
        <v>22</v>
      </c>
      <c r="D1259" s="26" t="s">
        <v>23</v>
      </c>
      <c r="E1259" s="27" t="str">
        <f>HYPERLINK("https://www.compass.com/building/86-11-34th-ave-queens-ny-11372/293535649703771813/","86-11 34th Ave")</f>
        <v>86-11 34th Ave</v>
      </c>
      <c r="F1259" s="25" t="s">
        <v>33</v>
      </c>
      <c r="G1259" s="28">
        <v>479999.0</v>
      </c>
      <c r="H1259" s="28">
        <v>533.0</v>
      </c>
      <c r="I1259" s="28">
        <v>924.0</v>
      </c>
      <c r="J1259" s="29"/>
      <c r="K1259" s="25" t="s">
        <v>25</v>
      </c>
      <c r="L1259" s="26">
        <v>4.0</v>
      </c>
      <c r="M1259" s="26">
        <v>2.0</v>
      </c>
      <c r="N1259" s="26">
        <v>1.0</v>
      </c>
      <c r="O1259" s="30"/>
      <c r="P1259" s="26">
        <v>900.0</v>
      </c>
      <c r="Q1259" s="35">
        <v>128.0</v>
      </c>
      <c r="R1259" s="32">
        <v>45862.0</v>
      </c>
      <c r="S1259" s="32">
        <v>45735.0</v>
      </c>
      <c r="T1259" s="29"/>
      <c r="U1259" s="33"/>
      <c r="V1259" s="1"/>
    </row>
    <row r="1260" ht="24.0" customHeight="1">
      <c r="A1260" s="1"/>
      <c r="B1260" s="24" t="str">
        <f>HYPERLINK("https://www.compass.com/listing/2621-palisade-avenue-unit-2d-bronx-ny-10463/1816675631805372105/view?agent_id=610d3f3370540700019b0833","2621 Palisade Avenue, Unit 2D")</f>
        <v>2621 Palisade Avenue, Unit 2D</v>
      </c>
      <c r="C1260" s="25" t="s">
        <v>22</v>
      </c>
      <c r="D1260" s="26" t="s">
        <v>23</v>
      </c>
      <c r="E1260" s="27" t="str">
        <f>HYPERLINK("https://www.compass.com/building/river-terrace-bronx-ny/293533891082377845/","River Terrace")</f>
        <v>River Terrace</v>
      </c>
      <c r="F1260" s="25" t="s">
        <v>89</v>
      </c>
      <c r="G1260" s="28">
        <v>460000.0</v>
      </c>
      <c r="H1260" s="29"/>
      <c r="I1260" s="28">
        <v>1340.0</v>
      </c>
      <c r="J1260" s="28">
        <v>0.0</v>
      </c>
      <c r="K1260" s="25" t="s">
        <v>25</v>
      </c>
      <c r="L1260" s="26">
        <v>3.0</v>
      </c>
      <c r="M1260" s="26">
        <v>2.0</v>
      </c>
      <c r="N1260" s="26">
        <v>1.0</v>
      </c>
      <c r="O1260" s="26">
        <v>0.0</v>
      </c>
      <c r="P1260" s="30"/>
      <c r="Q1260" s="35">
        <v>105.0</v>
      </c>
      <c r="R1260" s="32">
        <v>45851.0</v>
      </c>
      <c r="S1260" s="32">
        <v>45758.0</v>
      </c>
      <c r="T1260" s="29"/>
      <c r="U1260" s="33"/>
      <c r="V1260" s="1"/>
    </row>
    <row r="1261" ht="24.0" customHeight="1">
      <c r="A1261" s="1"/>
      <c r="B1261" s="24" t="str">
        <f>HYPERLINK("https://www.compass.com/listing/37-56-87th-street-unit-1b-queens-ny-11372/1710342225977295265/view?agent_id=610d3f3370540700019b0833","37-56 87th Street, Unit 1B")</f>
        <v>37-56 87th Street, Unit 1B</v>
      </c>
      <c r="C1261" s="25" t="s">
        <v>22</v>
      </c>
      <c r="D1261" s="26" t="s">
        <v>23</v>
      </c>
      <c r="E1261" s="27" t="str">
        <f>HYPERLINK("https://www.compass.com/building/37-56-87th-st-queens-ny-11372/307444591703734325/","37-56 87th St")</f>
        <v>37-56 87th St</v>
      </c>
      <c r="F1261" s="25" t="s">
        <v>33</v>
      </c>
      <c r="G1261" s="28">
        <v>388000.0</v>
      </c>
      <c r="H1261" s="28">
        <v>456.0</v>
      </c>
      <c r="I1261" s="28">
        <v>1037.0</v>
      </c>
      <c r="J1261" s="28">
        <v>0.0</v>
      </c>
      <c r="K1261" s="25" t="s">
        <v>25</v>
      </c>
      <c r="L1261" s="26">
        <v>5.0</v>
      </c>
      <c r="M1261" s="26">
        <v>2.0</v>
      </c>
      <c r="N1261" s="26">
        <v>1.0</v>
      </c>
      <c r="O1261" s="30"/>
      <c r="P1261" s="26">
        <v>850.0</v>
      </c>
      <c r="Q1261" s="35">
        <v>252.0</v>
      </c>
      <c r="R1261" s="32">
        <v>45783.0</v>
      </c>
      <c r="S1261" s="32">
        <v>45611.0</v>
      </c>
      <c r="T1261" s="29"/>
      <c r="U1261" s="33"/>
      <c r="V1261" s="1"/>
    </row>
    <row r="1262" ht="24.0" customHeight="1">
      <c r="A1262" s="1"/>
      <c r="B1262" s="24" t="str">
        <f>HYPERLINK("https://www.compass.com/listing/229-20-hillside-avenue-unit-1-queens-ny-11427/1793720442211250737/view?agent_id=610d3f3370540700019b0833","229-20 Hillside Avenue, Unit 1")</f>
        <v>229-20 Hillside Avenue, Unit 1</v>
      </c>
      <c r="C1262" s="25" t="s">
        <v>22</v>
      </c>
      <c r="D1262" s="26" t="s">
        <v>23</v>
      </c>
      <c r="E1262" s="27" t="str">
        <f>HYPERLINK("https://www.compass.com/building/229-20-hillside-ave-queens-ny-11427/307440856239667333/","229-20 Hillside Ave")</f>
        <v>229-20 Hillside Ave</v>
      </c>
      <c r="F1262" s="25" t="s">
        <v>69</v>
      </c>
      <c r="G1262" s="28">
        <v>265000.0</v>
      </c>
      <c r="H1262" s="28">
        <v>379.0</v>
      </c>
      <c r="I1262" s="28">
        <v>871.0</v>
      </c>
      <c r="J1262" s="29"/>
      <c r="K1262" s="25" t="s">
        <v>25</v>
      </c>
      <c r="L1262" s="26">
        <v>3.0</v>
      </c>
      <c r="M1262" s="26">
        <v>2.0</v>
      </c>
      <c r="N1262" s="26">
        <v>1.0</v>
      </c>
      <c r="O1262" s="30"/>
      <c r="P1262" s="26">
        <v>700.0</v>
      </c>
      <c r="Q1262" s="35">
        <v>136.0</v>
      </c>
      <c r="R1262" s="32">
        <v>45843.0</v>
      </c>
      <c r="S1262" s="32">
        <v>45727.0</v>
      </c>
      <c r="T1262" s="29"/>
      <c r="U1262" s="33"/>
      <c r="V1262" s="1"/>
    </row>
    <row r="1263" ht="24.0" customHeight="1">
      <c r="A1263" s="1"/>
      <c r="B1263" s="24" t="str">
        <f>HYPERLINK("https://www.compass.com/listing/80-knolls-crescent-unit-6b-bronx-ny-10463/1794692423300893545/view?agent_id=610d3f3370540700019b0833","80 Knolls Crescent, Unit 6B")</f>
        <v>80 Knolls Crescent, Unit 6B</v>
      </c>
      <c r="C1263" s="25" t="s">
        <v>22</v>
      </c>
      <c r="D1263" s="26" t="s">
        <v>23</v>
      </c>
      <c r="E1263" s="27" t="str">
        <f>HYPERLINK("https://www.compass.com/building/80-knolls-cres-bronx-ny-10463/307457570071470565/","80 Knolls Cres")</f>
        <v>80 Knolls Cres</v>
      </c>
      <c r="F1263" s="25" t="s">
        <v>89</v>
      </c>
      <c r="G1263" s="28">
        <v>168053.0</v>
      </c>
      <c r="H1263" s="28">
        <v>198.0</v>
      </c>
      <c r="I1263" s="28">
        <v>1860.0</v>
      </c>
      <c r="J1263" s="29"/>
      <c r="K1263" s="25" t="s">
        <v>25</v>
      </c>
      <c r="L1263" s="26">
        <v>5.0</v>
      </c>
      <c r="M1263" s="26">
        <v>2.0</v>
      </c>
      <c r="N1263" s="26">
        <v>1.0</v>
      </c>
      <c r="O1263" s="30"/>
      <c r="P1263" s="26">
        <v>850.0</v>
      </c>
      <c r="Q1263" s="35">
        <v>135.0</v>
      </c>
      <c r="R1263" s="32">
        <v>45797.0</v>
      </c>
      <c r="S1263" s="32">
        <v>45728.0</v>
      </c>
      <c r="T1263" s="29"/>
      <c r="U1263" s="33"/>
      <c r="V1263" s="1"/>
    </row>
    <row r="1264" ht="24.0" customHeight="1">
      <c r="A1264" s="1"/>
      <c r="B1264" s="24" t="str">
        <f>HYPERLINK("https://www.compass.com/listing/2375-ocean-avenue-unit-3h-brooklyn-ny-11229/1855818788611838177/view?agent_id=610d3f3370540700019b0833","2375 Ocean Avenue, Unit 3H")</f>
        <v>2375 Ocean Avenue, Unit 3H</v>
      </c>
      <c r="C1264" s="25" t="s">
        <v>22</v>
      </c>
      <c r="D1264" s="26" t="s">
        <v>23</v>
      </c>
      <c r="E1264" s="27" t="str">
        <f>HYPERLINK("https://www.compass.com/building/2375-ocean-ave-brooklyn-ny-11229/293529080786078789/","2375 Ocean Ave")</f>
        <v>2375 Ocean Ave</v>
      </c>
      <c r="F1264" s="25" t="s">
        <v>152</v>
      </c>
      <c r="G1264" s="28">
        <v>596000.0</v>
      </c>
      <c r="H1264" s="28">
        <v>497.0</v>
      </c>
      <c r="I1264" s="28">
        <v>937.0</v>
      </c>
      <c r="J1264" s="29"/>
      <c r="K1264" s="25" t="s">
        <v>25</v>
      </c>
      <c r="L1264" s="26">
        <v>6.0</v>
      </c>
      <c r="M1264" s="26">
        <v>2.0</v>
      </c>
      <c r="N1264" s="26">
        <v>1.0</v>
      </c>
      <c r="O1264" s="30"/>
      <c r="P1264" s="34">
        <v>1200.0</v>
      </c>
      <c r="Q1264" s="35">
        <v>52.0</v>
      </c>
      <c r="R1264" s="32">
        <v>45862.0</v>
      </c>
      <c r="S1264" s="32">
        <v>45811.0</v>
      </c>
      <c r="T1264" s="29"/>
      <c r="U1264" s="33"/>
      <c r="V1264" s="1"/>
    </row>
    <row r="1265" ht="24.0" customHeight="1">
      <c r="A1265" s="1"/>
      <c r="B1265" s="24" t="str">
        <f>HYPERLINK("https://www.compass.com/listing/1543-west-1st-street-unit-d1-brooklyn-ny-11204/1867579308373569449/view?agent_id=610d3f3370540700019b0833","1543 West 1st Street, Unit D1")</f>
        <v>1543 West 1st Street, Unit D1</v>
      </c>
      <c r="C1265" s="25" t="s">
        <v>22</v>
      </c>
      <c r="D1265" s="26" t="s">
        <v>23</v>
      </c>
      <c r="E1265" s="27" t="str">
        <f>HYPERLINK("https://www.compass.com/building/1543-w-1st-st-brooklyn-ny-11204/293531222481569061/","1543 W 1st St")</f>
        <v>1543 W 1st St</v>
      </c>
      <c r="F1265" s="25" t="s">
        <v>236</v>
      </c>
      <c r="G1265" s="28">
        <v>559999.0</v>
      </c>
      <c r="H1265" s="28">
        <v>457.0</v>
      </c>
      <c r="I1265" s="28">
        <v>1178.0</v>
      </c>
      <c r="J1265" s="28">
        <v>7848.0</v>
      </c>
      <c r="K1265" s="25" t="s">
        <v>28</v>
      </c>
      <c r="L1265" s="26">
        <v>5.0</v>
      </c>
      <c r="M1265" s="26">
        <v>2.0</v>
      </c>
      <c r="N1265" s="26">
        <v>1.0</v>
      </c>
      <c r="O1265" s="30"/>
      <c r="P1265" s="34">
        <v>1225.0</v>
      </c>
      <c r="Q1265" s="35">
        <v>35.0</v>
      </c>
      <c r="R1265" s="32">
        <v>45836.0</v>
      </c>
      <c r="S1265" s="32">
        <v>45828.0</v>
      </c>
      <c r="T1265" s="29"/>
      <c r="U1265" s="33"/>
      <c r="V1265" s="1"/>
    </row>
    <row r="1266" ht="24.0" customHeight="1">
      <c r="A1266" s="1"/>
      <c r="B1266" s="24" t="str">
        <f>HYPERLINK("https://www.compass.com/listing/9701-shore-road-unit-1o-brooklyn-ny-11209/1798705288731090593/view?agent_id=610d3f3370540700019b0833","9701 Shore Road, Unit 1O")</f>
        <v>9701 Shore Road, Unit 1O</v>
      </c>
      <c r="C1266" s="25" t="s">
        <v>22</v>
      </c>
      <c r="D1266" s="26" t="s">
        <v>23</v>
      </c>
      <c r="E1266" s="27" t="str">
        <f>HYPERLINK("https://www.compass.com/building/9701-shore-rd-brooklyn-ny-11209/293417944992538757/","9701 Shore Rd")</f>
        <v>9701 Shore Rd</v>
      </c>
      <c r="F1266" s="25" t="s">
        <v>55</v>
      </c>
      <c r="G1266" s="28">
        <v>599000.0</v>
      </c>
      <c r="H1266" s="28">
        <v>599.0</v>
      </c>
      <c r="I1266" s="28">
        <v>1480.0</v>
      </c>
      <c r="J1266" s="29"/>
      <c r="K1266" s="25" t="s">
        <v>25</v>
      </c>
      <c r="L1266" s="26">
        <v>5.0</v>
      </c>
      <c r="M1266" s="26">
        <v>2.0</v>
      </c>
      <c r="N1266" s="26">
        <v>1.0</v>
      </c>
      <c r="O1266" s="26">
        <v>0.0</v>
      </c>
      <c r="P1266" s="34">
        <v>1000.0</v>
      </c>
      <c r="Q1266" s="35">
        <v>129.0</v>
      </c>
      <c r="R1266" s="32">
        <v>45862.0</v>
      </c>
      <c r="S1266" s="32">
        <v>45733.0</v>
      </c>
      <c r="T1266" s="29"/>
      <c r="U1266" s="33"/>
      <c r="V1266" s="1"/>
    </row>
    <row r="1267" ht="24.0" customHeight="1">
      <c r="A1267" s="1"/>
      <c r="B1267" s="24" t="str">
        <f>HYPERLINK("https://www.compass.com/listing/56-07-31st-avenue-unit-2d-queens-ny-11377/1785742803960130377/view?agent_id=610d3f3370540700019b0833","56-07 31st Avenue, Unit 2D")</f>
        <v>56-07 31st Avenue, Unit 2D</v>
      </c>
      <c r="C1267" s="25" t="s">
        <v>22</v>
      </c>
      <c r="D1267" s="26" t="s">
        <v>23</v>
      </c>
      <c r="E1267" s="27" t="str">
        <f>HYPERLINK("https://www.compass.com/building/56-07-31st-ave-queens-ny-11377/307434032777933877/","56-07 31st Ave")</f>
        <v>56-07 31st Ave</v>
      </c>
      <c r="F1267" s="25" t="s">
        <v>137</v>
      </c>
      <c r="G1267" s="28">
        <v>375000.0</v>
      </c>
      <c r="H1267" s="28">
        <v>455.0</v>
      </c>
      <c r="I1267" s="28">
        <v>846.0</v>
      </c>
      <c r="J1267" s="29"/>
      <c r="K1267" s="25" t="s">
        <v>25</v>
      </c>
      <c r="L1267" s="26">
        <v>4.0</v>
      </c>
      <c r="M1267" s="26">
        <v>2.0</v>
      </c>
      <c r="N1267" s="26">
        <v>1.0</v>
      </c>
      <c r="O1267" s="30"/>
      <c r="P1267" s="26">
        <v>825.0</v>
      </c>
      <c r="Q1267" s="35">
        <v>147.0</v>
      </c>
      <c r="R1267" s="32">
        <v>45837.0</v>
      </c>
      <c r="S1267" s="32">
        <v>45715.0</v>
      </c>
      <c r="T1267" s="29"/>
      <c r="U1267" s="33"/>
      <c r="V1267" s="1"/>
    </row>
    <row r="1268" ht="24.0" customHeight="1">
      <c r="A1268" s="1"/>
      <c r="B1268" s="24" t="str">
        <f>HYPERLINK("https://www.compass.com/listing/32-43-91st-street-unit-504-queens-ny-11369/1855995736868673137/view?agent_id=610d3f3370540700019b0833","32-43 91st Street, Unit 504")</f>
        <v>32-43 91st Street, Unit 504</v>
      </c>
      <c r="C1268" s="25" t="s">
        <v>22</v>
      </c>
      <c r="D1268" s="26" t="s">
        <v>23</v>
      </c>
      <c r="E1268" s="27" t="str">
        <f>HYPERLINK("https://www.compass.com/building/32-43-91st-st-queens-ny-11369/307432589199354037/","32-43 91st St")</f>
        <v>32-43 91st St</v>
      </c>
      <c r="F1268" s="25" t="s">
        <v>33</v>
      </c>
      <c r="G1268" s="28">
        <v>315000.0</v>
      </c>
      <c r="H1268" s="28">
        <v>360.0</v>
      </c>
      <c r="I1268" s="28">
        <v>956.0</v>
      </c>
      <c r="J1268" s="29"/>
      <c r="K1268" s="25" t="s">
        <v>25</v>
      </c>
      <c r="L1268" s="26">
        <v>4.0</v>
      </c>
      <c r="M1268" s="26">
        <v>2.0</v>
      </c>
      <c r="N1268" s="26">
        <v>1.0</v>
      </c>
      <c r="O1268" s="30"/>
      <c r="P1268" s="26">
        <v>875.0</v>
      </c>
      <c r="Q1268" s="35">
        <v>50.0</v>
      </c>
      <c r="R1268" s="32">
        <v>45854.0</v>
      </c>
      <c r="S1268" s="32">
        <v>45812.0</v>
      </c>
      <c r="T1268" s="29"/>
      <c r="U1268" s="33"/>
      <c r="V1268" s="1"/>
    </row>
    <row r="1269" ht="24.0" customHeight="1">
      <c r="A1269" s="1"/>
      <c r="B1269" s="24" t="str">
        <f>HYPERLINK("https://www.compass.com/listing/59-11-queens-boulevard-unit-5h-queens-ny-11377/1769790307118340665/view?agent_id=610d3f3370540700019b0833","59-11 Queens Boulevard, Unit 5H")</f>
        <v>59-11 Queens Boulevard, Unit 5H</v>
      </c>
      <c r="C1269" s="25" t="s">
        <v>22</v>
      </c>
      <c r="D1269" s="26" t="s">
        <v>23</v>
      </c>
      <c r="E1269" s="27" t="str">
        <f>HYPERLINK("https://www.compass.com/building/59-11-queens-blvd-queens-ny-11377/293532762881767717/","59-11 Queens Blvd")</f>
        <v>59-11 Queens Blvd</v>
      </c>
      <c r="F1269" s="25" t="s">
        <v>137</v>
      </c>
      <c r="G1269" s="28">
        <v>438000.0</v>
      </c>
      <c r="H1269" s="28">
        <v>528.0</v>
      </c>
      <c r="I1269" s="28">
        <v>841.0</v>
      </c>
      <c r="J1269" s="29"/>
      <c r="K1269" s="25" t="s">
        <v>25</v>
      </c>
      <c r="L1269" s="26">
        <v>5.0</v>
      </c>
      <c r="M1269" s="26">
        <v>2.0</v>
      </c>
      <c r="N1269" s="26">
        <v>1.0</v>
      </c>
      <c r="O1269" s="30"/>
      <c r="P1269" s="26">
        <v>830.0</v>
      </c>
      <c r="Q1269" s="35">
        <v>169.0</v>
      </c>
      <c r="R1269" s="32">
        <v>45857.0</v>
      </c>
      <c r="S1269" s="32">
        <v>45693.0</v>
      </c>
      <c r="T1269" s="29"/>
      <c r="U1269" s="33"/>
      <c r="V1269" s="1"/>
    </row>
    <row r="1270" ht="24.0" customHeight="1">
      <c r="A1270" s="1"/>
      <c r="B1270" s="24" t="str">
        <f>HYPERLINK("https://www.compass.com/listing/33-04-91st-street-unit-5w-queens-ny-11372/1599562619265541593/view?agent_id=610d3f3370540700019b0833","33-04 91st Street, Unit 5W")</f>
        <v>33-04 91st Street, Unit 5W</v>
      </c>
      <c r="C1270" s="25" t="s">
        <v>22</v>
      </c>
      <c r="D1270" s="26" t="s">
        <v>23</v>
      </c>
      <c r="E1270" s="27" t="str">
        <f>HYPERLINK("https://www.compass.com/building/33-04-91st-st-queens-ny-11372/307433135868169637/","33-04 91st St")</f>
        <v>33-04 91st St</v>
      </c>
      <c r="F1270" s="25" t="s">
        <v>33</v>
      </c>
      <c r="G1270" s="28">
        <v>339000.0</v>
      </c>
      <c r="H1270" s="28">
        <v>357.0</v>
      </c>
      <c r="I1270" s="28">
        <v>923.0</v>
      </c>
      <c r="J1270" s="28">
        <v>0.0</v>
      </c>
      <c r="K1270" s="25" t="s">
        <v>25</v>
      </c>
      <c r="L1270" s="26">
        <v>4.0</v>
      </c>
      <c r="M1270" s="26">
        <v>2.0</v>
      </c>
      <c r="N1270" s="26">
        <v>1.0</v>
      </c>
      <c r="O1270" s="30"/>
      <c r="P1270" s="26">
        <v>950.0</v>
      </c>
      <c r="Q1270" s="35">
        <v>405.0</v>
      </c>
      <c r="R1270" s="32">
        <v>45831.0</v>
      </c>
      <c r="S1270" s="32">
        <v>45458.0</v>
      </c>
      <c r="T1270" s="29"/>
      <c r="U1270" s="33"/>
      <c r="V1270" s="1"/>
    </row>
    <row r="1271" ht="24.0" customHeight="1">
      <c r="A1271" s="1"/>
      <c r="B1271" s="24" t="str">
        <f>HYPERLINK("https://www.compass.com/listing/34-47-82nd-street-unit-42-queens-ny-11372/1799602955514694473/view?agent_id=610d3f3370540700019b0833","34-47 82nd Street, Unit 42")</f>
        <v>34-47 82nd Street, Unit 42</v>
      </c>
      <c r="C1271" s="25" t="s">
        <v>22</v>
      </c>
      <c r="D1271" s="26" t="s">
        <v>23</v>
      </c>
      <c r="E1271" s="27" t="str">
        <f>HYPERLINK("https://www.compass.com/building/34-47-82nd-st-queens-ny-11372/293529918850063221/","34-47 82nd St")</f>
        <v>34-47 82nd St</v>
      </c>
      <c r="F1271" s="25" t="s">
        <v>33</v>
      </c>
      <c r="G1271" s="28">
        <v>530000.0</v>
      </c>
      <c r="H1271" s="28">
        <v>482.0</v>
      </c>
      <c r="I1271" s="28">
        <v>1050.0</v>
      </c>
      <c r="J1271" s="29"/>
      <c r="K1271" s="25" t="s">
        <v>25</v>
      </c>
      <c r="L1271" s="26">
        <v>5.0</v>
      </c>
      <c r="M1271" s="26">
        <v>2.0</v>
      </c>
      <c r="N1271" s="26">
        <v>1.0</v>
      </c>
      <c r="O1271" s="30"/>
      <c r="P1271" s="34">
        <v>1100.0</v>
      </c>
      <c r="Q1271" s="35">
        <v>129.0</v>
      </c>
      <c r="R1271" s="32">
        <v>45829.0</v>
      </c>
      <c r="S1271" s="32">
        <v>45734.0</v>
      </c>
      <c r="T1271" s="29"/>
      <c r="U1271" s="33"/>
      <c r="V1271" s="1"/>
    </row>
    <row r="1272" ht="24.0" customHeight="1">
      <c r="A1272" s="1"/>
      <c r="B1272" s="24" t="str">
        <f>HYPERLINK("https://www.compass.com/listing/446-east-149th-street-bronx-ny-10455/1732772505070373529/view?agent_id=610d3f3370540700019b0833","446 East 149th Street")</f>
        <v>446 East 149th Street</v>
      </c>
      <c r="C1272" s="25" t="s">
        <v>22</v>
      </c>
      <c r="D1272" s="26" t="s">
        <v>23</v>
      </c>
      <c r="E1272" s="27" t="str">
        <f>HYPERLINK("https://www.compass.com/building/446-e-149th-st-bronx-ny-10455/293418333947145125/","446 E 149th St")</f>
        <v>446 E 149th St</v>
      </c>
      <c r="F1272" s="25" t="s">
        <v>278</v>
      </c>
      <c r="G1272" s="28">
        <v>4150000.0</v>
      </c>
      <c r="H1272" s="28">
        <v>331.0</v>
      </c>
      <c r="I1272" s="28">
        <v>4146.0</v>
      </c>
      <c r="J1272" s="28">
        <v>44750.0</v>
      </c>
      <c r="K1272" s="25" t="s">
        <v>62</v>
      </c>
      <c r="L1272" s="26">
        <v>4.0</v>
      </c>
      <c r="M1272" s="26">
        <v>2.0</v>
      </c>
      <c r="N1272" s="30"/>
      <c r="O1272" s="30"/>
      <c r="P1272" s="34">
        <v>12539.0</v>
      </c>
      <c r="Q1272" s="35">
        <v>221.0</v>
      </c>
      <c r="R1272" s="32">
        <v>45862.0</v>
      </c>
      <c r="S1272" s="32">
        <v>45642.0</v>
      </c>
      <c r="T1272" s="29"/>
      <c r="U1272" s="33"/>
      <c r="V1272" s="1"/>
    </row>
    <row r="1273" ht="24.0" customHeight="1">
      <c r="A1273" s="1"/>
      <c r="B1273" s="24" t="str">
        <f>HYPERLINK("https://www.compass.com/listing/227-16-88th-avenue-unit-lowr-queens-ny-11427/1738565523673356369/view?agent_id=610d3f3370540700019b0833","227-16 88th Avenue, Unit LOWR")</f>
        <v>227-16 88th Avenue, Unit LOWR</v>
      </c>
      <c r="C1273" s="25" t="s">
        <v>22</v>
      </c>
      <c r="D1273" s="26" t="s">
        <v>23</v>
      </c>
      <c r="E1273" s="26" t="s">
        <v>279</v>
      </c>
      <c r="F1273" s="25" t="s">
        <v>69</v>
      </c>
      <c r="G1273" s="28">
        <v>260000.0</v>
      </c>
      <c r="H1273" s="28">
        <v>455.0</v>
      </c>
      <c r="I1273" s="28">
        <v>866.0</v>
      </c>
      <c r="J1273" s="29"/>
      <c r="K1273" s="25" t="s">
        <v>25</v>
      </c>
      <c r="L1273" s="26">
        <v>5.0</v>
      </c>
      <c r="M1273" s="26">
        <v>2.0</v>
      </c>
      <c r="N1273" s="26">
        <v>1.0</v>
      </c>
      <c r="O1273" s="30"/>
      <c r="P1273" s="26">
        <v>571.0</v>
      </c>
      <c r="Q1273" s="35">
        <v>146.0</v>
      </c>
      <c r="R1273" s="32">
        <v>45758.0</v>
      </c>
      <c r="S1273" s="32">
        <v>45650.0</v>
      </c>
      <c r="T1273" s="29"/>
      <c r="U1273" s="33"/>
      <c r="V1273" s="1"/>
    </row>
    <row r="1274" ht="24.0" customHeight="1">
      <c r="A1274" s="1"/>
      <c r="B1274" s="24" t="str">
        <f>HYPERLINK("https://www.compass.com/listing/137-bay-ridge-parkway-unit-1-brooklyn-ny-11209/1694735896219268745/view?agent_id=610d3f3370540700019b0833","137 Bay Ridge Parkway, Unit 1")</f>
        <v>137 Bay Ridge Parkway, Unit 1</v>
      </c>
      <c r="C1274" s="25" t="s">
        <v>22</v>
      </c>
      <c r="D1274" s="26" t="s">
        <v>23</v>
      </c>
      <c r="E1274" s="27" t="str">
        <f>HYPERLINK("https://www.compass.com/building/137-bay-ridge-pkwy-brooklyn-ny-11209/293535621115387269/","137 Bay Ridge Pkwy")</f>
        <v>137 Bay Ridge Pkwy</v>
      </c>
      <c r="F1274" s="25" t="s">
        <v>55</v>
      </c>
      <c r="G1274" s="28">
        <v>595000.0</v>
      </c>
      <c r="H1274" s="28">
        <v>992.0</v>
      </c>
      <c r="I1274" s="28">
        <v>784.0</v>
      </c>
      <c r="J1274" s="28">
        <v>0.0</v>
      </c>
      <c r="K1274" s="25" t="s">
        <v>25</v>
      </c>
      <c r="L1274" s="26">
        <v>4.0</v>
      </c>
      <c r="M1274" s="26">
        <v>2.0</v>
      </c>
      <c r="N1274" s="26">
        <v>1.0</v>
      </c>
      <c r="O1274" s="26">
        <v>0.0</v>
      </c>
      <c r="P1274" s="26">
        <v>600.0</v>
      </c>
      <c r="Q1274" s="35">
        <v>146.0</v>
      </c>
      <c r="R1274" s="32">
        <v>45856.0</v>
      </c>
      <c r="S1274" s="32">
        <v>45594.0</v>
      </c>
      <c r="T1274" s="29"/>
      <c r="U1274" s="33"/>
      <c r="V1274" s="1"/>
    </row>
    <row r="1275" ht="24.0" customHeight="1">
      <c r="A1275" s="1"/>
      <c r="B1275" s="24" t="str">
        <f>HYPERLINK("https://www.compass.com/listing/166-31-9th-avenue-unit-6a-queens-ny-11357/1870404302014997377/view?agent_id=610d3f3370540700019b0833","166-31 9th Avenue, Unit 6A")</f>
        <v>166-31 9th Avenue, Unit 6A</v>
      </c>
      <c r="C1275" s="25" t="s">
        <v>22</v>
      </c>
      <c r="D1275" s="26" t="s">
        <v>23</v>
      </c>
      <c r="E1275" s="27" t="str">
        <f>HYPERLINK("https://www.compass.com/building/166-31-9th-ave-queens-ny-11357/293527561869236821/","166-31 9th Ave")</f>
        <v>166-31 9th Ave</v>
      </c>
      <c r="F1275" s="25" t="s">
        <v>94</v>
      </c>
      <c r="G1275" s="28">
        <v>390000.0</v>
      </c>
      <c r="H1275" s="28">
        <v>390.0</v>
      </c>
      <c r="I1275" s="28">
        <v>1604.0</v>
      </c>
      <c r="J1275" s="29"/>
      <c r="K1275" s="25" t="s">
        <v>25</v>
      </c>
      <c r="L1275" s="26">
        <v>4.0</v>
      </c>
      <c r="M1275" s="26">
        <v>2.0</v>
      </c>
      <c r="N1275" s="26">
        <v>1.0</v>
      </c>
      <c r="O1275" s="30"/>
      <c r="P1275" s="34">
        <v>1000.0</v>
      </c>
      <c r="Q1275" s="35">
        <v>31.0</v>
      </c>
      <c r="R1275" s="32">
        <v>45862.0</v>
      </c>
      <c r="S1275" s="32">
        <v>45832.0</v>
      </c>
      <c r="T1275" s="29"/>
      <c r="U1275" s="33"/>
      <c r="V1275" s="1"/>
    </row>
    <row r="1276" ht="24.0" customHeight="1">
      <c r="A1276" s="1"/>
      <c r="B1276" s="24" t="str">
        <f>HYPERLINK("https://www.compass.com/listing/3901-independence-avenue-unit-2f-bronx-ny-10463/1784123499707610945/view?agent_id=610d3f3370540700019b0833","3901 Independence Avenue, Unit 2F")</f>
        <v>3901 Independence Avenue, Unit 2F</v>
      </c>
      <c r="C1276" s="25" t="s">
        <v>22</v>
      </c>
      <c r="D1276" s="26" t="s">
        <v>23</v>
      </c>
      <c r="E1276" s="27" t="str">
        <f>HYPERLINK("https://www.compass.com/building/3901-independence-ave-bronx-ny-10463/293535535492830069/","3901 Independence Ave")</f>
        <v>3901 Independence Ave</v>
      </c>
      <c r="F1276" s="25" t="s">
        <v>76</v>
      </c>
      <c r="G1276" s="28">
        <v>298000.0</v>
      </c>
      <c r="H1276" s="28">
        <v>298.0</v>
      </c>
      <c r="I1276" s="28">
        <v>2294.0</v>
      </c>
      <c r="J1276" s="29"/>
      <c r="K1276" s="25" t="s">
        <v>25</v>
      </c>
      <c r="L1276" s="26">
        <v>4.0</v>
      </c>
      <c r="M1276" s="26">
        <v>2.0</v>
      </c>
      <c r="N1276" s="26">
        <v>1.0</v>
      </c>
      <c r="O1276" s="30"/>
      <c r="P1276" s="34">
        <v>1000.0</v>
      </c>
      <c r="Q1276" s="35">
        <v>146.0</v>
      </c>
      <c r="R1276" s="32">
        <v>45839.0</v>
      </c>
      <c r="S1276" s="32">
        <v>45713.0</v>
      </c>
      <c r="T1276" s="29"/>
      <c r="U1276" s="33"/>
      <c r="V1276" s="1"/>
    </row>
    <row r="1277" ht="24.0" customHeight="1">
      <c r="A1277" s="1"/>
      <c r="B1277" s="24" t="str">
        <f>HYPERLINK("https://www.compass.com/listing/80-knolls-crescent-unit-1l-bronx-ny-10463/1806653902376129889/view?agent_id=610d3f3370540700019b0833","80 Knolls Crescent, Unit 1L")</f>
        <v>80 Knolls Crescent, Unit 1L</v>
      </c>
      <c r="C1277" s="25" t="s">
        <v>22</v>
      </c>
      <c r="D1277" s="26" t="s">
        <v>23</v>
      </c>
      <c r="E1277" s="27" t="str">
        <f>HYPERLINK("https://www.compass.com/building/80-knolls-cres-bronx-ny-10463/307457570071470565/","80 Knolls Cres")</f>
        <v>80 Knolls Cres</v>
      </c>
      <c r="F1277" s="25" t="s">
        <v>89</v>
      </c>
      <c r="G1277" s="28">
        <v>165085.0</v>
      </c>
      <c r="H1277" s="28">
        <v>220.0</v>
      </c>
      <c r="I1277" s="28">
        <v>904.0</v>
      </c>
      <c r="J1277" s="28">
        <v>0.0</v>
      </c>
      <c r="K1277" s="25" t="s">
        <v>25</v>
      </c>
      <c r="L1277" s="26">
        <v>4.0</v>
      </c>
      <c r="M1277" s="26">
        <v>2.0</v>
      </c>
      <c r="N1277" s="26">
        <v>1.0</v>
      </c>
      <c r="O1277" s="26">
        <v>0.0</v>
      </c>
      <c r="P1277" s="26">
        <v>750.0</v>
      </c>
      <c r="Q1277" s="35">
        <v>119.0</v>
      </c>
      <c r="R1277" s="32">
        <v>45860.0</v>
      </c>
      <c r="S1277" s="32">
        <v>45744.0</v>
      </c>
      <c r="T1277" s="29"/>
      <c r="U1277" s="33"/>
      <c r="V1277" s="1"/>
    </row>
    <row r="1278" ht="24.0" customHeight="1">
      <c r="A1278" s="1"/>
      <c r="B1278" s="24" t="str">
        <f>HYPERLINK("https://www.compass.com/listing/187-04-williamson-avenue-queens-ny-11413/1866798396463639825/view?agent_id=610d3f3370540700019b0833","187-04 Williamson Avenue")</f>
        <v>187-04 Williamson Avenue</v>
      </c>
      <c r="C1278" s="25" t="s">
        <v>22</v>
      </c>
      <c r="D1278" s="26" t="s">
        <v>23</v>
      </c>
      <c r="E1278" s="27" t="str">
        <f>HYPERLINK("https://www.compass.com/building/187-04-williamson-ave-queens-ny-11413/293533431923475365/","187-04 Williamson Ave")</f>
        <v>187-04 Williamson Ave</v>
      </c>
      <c r="F1278" s="25" t="s">
        <v>174</v>
      </c>
      <c r="G1278" s="28">
        <v>490000.0</v>
      </c>
      <c r="H1278" s="28">
        <v>625.0</v>
      </c>
      <c r="I1278" s="28">
        <v>353.0</v>
      </c>
      <c r="J1278" s="28">
        <v>4241.0</v>
      </c>
      <c r="K1278" s="25" t="s">
        <v>97</v>
      </c>
      <c r="L1278" s="26">
        <v>3.0</v>
      </c>
      <c r="M1278" s="26">
        <v>2.0</v>
      </c>
      <c r="N1278" s="26">
        <v>1.0</v>
      </c>
      <c r="O1278" s="30"/>
      <c r="P1278" s="26">
        <v>784.0</v>
      </c>
      <c r="Q1278" s="35">
        <v>32.0</v>
      </c>
      <c r="R1278" s="32">
        <v>45854.0</v>
      </c>
      <c r="S1278" s="32">
        <v>45831.0</v>
      </c>
      <c r="T1278" s="29"/>
      <c r="U1278" s="33"/>
      <c r="V1278" s="1"/>
    </row>
    <row r="1279" ht="24.0" customHeight="1">
      <c r="A1279" s="1"/>
      <c r="B1279" s="24" t="str">
        <f>HYPERLINK("https://www.compass.com/listing/9722-avenue-k-brooklyn-ny-11236/1811864914013841537/view?agent_id=610d3f3370540700019b0833","9722 Avenue K")</f>
        <v>9722 Avenue K</v>
      </c>
      <c r="C1279" s="25" t="s">
        <v>22</v>
      </c>
      <c r="D1279" s="26" t="s">
        <v>23</v>
      </c>
      <c r="E1279" s="27" t="str">
        <f>HYPERLINK("https://www.compass.com/building/9722-avenue-k-brooklyn-ny-11236/293532157945578341/","9722 Avenue K")</f>
        <v>9722 Avenue K</v>
      </c>
      <c r="F1279" s="25" t="s">
        <v>187</v>
      </c>
      <c r="G1279" s="28">
        <v>915000.0</v>
      </c>
      <c r="H1279" s="28">
        <v>520.0</v>
      </c>
      <c r="I1279" s="28">
        <v>505.0</v>
      </c>
      <c r="J1279" s="28">
        <v>6056.0</v>
      </c>
      <c r="K1279" s="25" t="s">
        <v>149</v>
      </c>
      <c r="L1279" s="30"/>
      <c r="M1279" s="26">
        <v>2.0</v>
      </c>
      <c r="N1279" s="26">
        <v>1.0</v>
      </c>
      <c r="O1279" s="30"/>
      <c r="P1279" s="34">
        <v>1760.0</v>
      </c>
      <c r="Q1279" s="35">
        <v>112.0</v>
      </c>
      <c r="R1279" s="32">
        <v>45795.0</v>
      </c>
      <c r="S1279" s="32">
        <v>45751.0</v>
      </c>
      <c r="T1279" s="29"/>
      <c r="U1279" s="33"/>
      <c r="V1279" s="1"/>
    </row>
    <row r="1280" ht="24.0" customHeight="1">
      <c r="A1280" s="1"/>
      <c r="B1280" s="24" t="str">
        <f>HYPERLINK("https://www.compass.com/listing/2546-east-13th-street-unit-d9-brooklyn-ny-11235/1864630689516936233/view?agent_id=610d3f3370540700019b0833","2546 East 13th Street, Unit D9")</f>
        <v>2546 East 13th Street, Unit D9</v>
      </c>
      <c r="C1280" s="25" t="s">
        <v>22</v>
      </c>
      <c r="D1280" s="26" t="s">
        <v>23</v>
      </c>
      <c r="E1280" s="27" t="str">
        <f>HYPERLINK("https://www.compass.com/building/2546-e-13th-st-brooklyn-ny-11235/293532142896539381/","2546 E 13th St")</f>
        <v>2546 E 13th St</v>
      </c>
      <c r="F1280" s="25" t="s">
        <v>70</v>
      </c>
      <c r="G1280" s="28">
        <v>570000.0</v>
      </c>
      <c r="H1280" s="28">
        <v>456.0</v>
      </c>
      <c r="I1280" s="28">
        <v>1103.0</v>
      </c>
      <c r="J1280" s="29"/>
      <c r="K1280" s="25" t="s">
        <v>25</v>
      </c>
      <c r="L1280" s="26">
        <v>4.0</v>
      </c>
      <c r="M1280" s="26">
        <v>2.0</v>
      </c>
      <c r="N1280" s="26">
        <v>1.0</v>
      </c>
      <c r="O1280" s="30"/>
      <c r="P1280" s="34">
        <v>1250.0</v>
      </c>
      <c r="Q1280" s="35">
        <v>39.0</v>
      </c>
      <c r="R1280" s="32">
        <v>45858.0</v>
      </c>
      <c r="S1280" s="32">
        <v>45824.0</v>
      </c>
      <c r="T1280" s="29"/>
      <c r="U1280" s="33"/>
      <c r="V1280" s="1"/>
    </row>
    <row r="1281" ht="24.0" customHeight="1">
      <c r="A1281" s="1"/>
      <c r="B1281" s="24" t="str">
        <f>HYPERLINK("https://www.compass.com/listing/35-35-75th-street-unit-127-queens-ny-11372/1724951239190992137/view?agent_id=610d3f3370540700019b0833","35-35 75th Street, Unit 127")</f>
        <v>35-35 75th Street, Unit 127</v>
      </c>
      <c r="C1281" s="25" t="s">
        <v>22</v>
      </c>
      <c r="D1281" s="26" t="s">
        <v>23</v>
      </c>
      <c r="E1281" s="27" t="str">
        <f>HYPERLINK("https://www.compass.com/building/montclair-gardens-queens-ny/293418019030423669/","Montclair Gardens")</f>
        <v>Montclair Gardens</v>
      </c>
      <c r="F1281" s="25" t="s">
        <v>33</v>
      </c>
      <c r="G1281" s="28">
        <v>566999.0</v>
      </c>
      <c r="H1281" s="28">
        <v>603.0</v>
      </c>
      <c r="I1281" s="28">
        <v>844.0</v>
      </c>
      <c r="J1281" s="29"/>
      <c r="K1281" s="25" t="s">
        <v>25</v>
      </c>
      <c r="L1281" s="26">
        <v>6.0</v>
      </c>
      <c r="M1281" s="26">
        <v>2.0</v>
      </c>
      <c r="N1281" s="26">
        <v>1.0</v>
      </c>
      <c r="O1281" s="30"/>
      <c r="P1281" s="26">
        <v>940.0</v>
      </c>
      <c r="Q1281" s="35">
        <v>231.0</v>
      </c>
      <c r="R1281" s="32">
        <v>45860.0</v>
      </c>
      <c r="S1281" s="32">
        <v>45632.0</v>
      </c>
      <c r="T1281" s="29"/>
      <c r="U1281" s="33"/>
      <c r="V1281" s="1"/>
    </row>
    <row r="1282" ht="24.0" customHeight="1">
      <c r="A1282" s="1"/>
      <c r="B1282" s="24" t="str">
        <f>HYPERLINK("https://www.compass.com/listing/88-08-32nd-avenue-unit-103-queens-ny-11369/1763336591888594753/view?agent_id=610d3f3370540700019b0833","88-08 32nd Avenue, Unit 103")</f>
        <v>88-08 32nd Avenue, Unit 103</v>
      </c>
      <c r="C1282" s="25" t="s">
        <v>22</v>
      </c>
      <c r="D1282" s="26" t="s">
        <v>23</v>
      </c>
      <c r="E1282" s="27" t="str">
        <f>HYPERLINK("https://www.compass.com/building/88-08-32nd-ave-queens-ny-11369/436389271239772773/","88-08 32nd Ave")</f>
        <v>88-08 32nd Ave</v>
      </c>
      <c r="F1282" s="25" t="s">
        <v>33</v>
      </c>
      <c r="G1282" s="28">
        <v>351000.0</v>
      </c>
      <c r="H1282" s="29"/>
      <c r="I1282" s="28">
        <v>875.0</v>
      </c>
      <c r="J1282" s="28">
        <v>0.0</v>
      </c>
      <c r="K1282" s="25" t="s">
        <v>25</v>
      </c>
      <c r="L1282" s="26">
        <v>4.0</v>
      </c>
      <c r="M1282" s="26">
        <v>2.0</v>
      </c>
      <c r="N1282" s="26">
        <v>1.0</v>
      </c>
      <c r="O1282" s="30"/>
      <c r="P1282" s="30"/>
      <c r="Q1282" s="35">
        <v>178.0</v>
      </c>
      <c r="R1282" s="32">
        <v>45684.0</v>
      </c>
      <c r="S1282" s="32">
        <v>45684.0</v>
      </c>
      <c r="T1282" s="29"/>
      <c r="U1282" s="33"/>
      <c r="V1282" s="1"/>
    </row>
    <row r="1283" ht="24.0" customHeight="1">
      <c r="A1283" s="1"/>
      <c r="B1283" s="24" t="str">
        <f>HYPERLINK("https://www.compass.com/listing/32-23-90th-street-unit-103-queens-ny-11369/1855153047529494153/view?agent_id=610d3f3370540700019b0833","32-23 90th Street, Unit 103")</f>
        <v>32-23 90th Street, Unit 103</v>
      </c>
      <c r="C1283" s="25" t="s">
        <v>22</v>
      </c>
      <c r="D1283" s="26" t="s">
        <v>23</v>
      </c>
      <c r="E1283" s="27" t="str">
        <f>HYPERLINK("https://www.compass.com/building/32-23-90th-st-queens-ny-11369/307434188604719029/","32-23 90th St")</f>
        <v>32-23 90th St</v>
      </c>
      <c r="F1283" s="25" t="s">
        <v>33</v>
      </c>
      <c r="G1283" s="28">
        <v>329000.0</v>
      </c>
      <c r="H1283" s="28">
        <v>346.0</v>
      </c>
      <c r="I1283" s="28">
        <v>1021.0</v>
      </c>
      <c r="J1283" s="29"/>
      <c r="K1283" s="25" t="s">
        <v>25</v>
      </c>
      <c r="L1283" s="26">
        <v>4.0</v>
      </c>
      <c r="M1283" s="26">
        <v>2.0</v>
      </c>
      <c r="N1283" s="26">
        <v>1.0</v>
      </c>
      <c r="O1283" s="30"/>
      <c r="P1283" s="26">
        <v>950.0</v>
      </c>
      <c r="Q1283" s="35">
        <v>52.0</v>
      </c>
      <c r="R1283" s="32">
        <v>45829.0</v>
      </c>
      <c r="S1283" s="32">
        <v>45811.0</v>
      </c>
      <c r="T1283" s="29"/>
      <c r="U1283" s="33"/>
      <c r="V1283" s="1"/>
    </row>
    <row r="1284" ht="24.0" customHeight="1">
      <c r="A1284" s="1"/>
      <c r="B1284" s="24" t="str">
        <f>HYPERLINK("https://www.compass.com/listing/16-landis-court-brooklyn-ny-11229/1850925710315252505/view?agent_id=610d3f3370540700019b0833","16 Landis Court")</f>
        <v>16 Landis Court</v>
      </c>
      <c r="C1284" s="25" t="s">
        <v>22</v>
      </c>
      <c r="D1284" s="26" t="s">
        <v>23</v>
      </c>
      <c r="E1284" s="27" t="str">
        <f>HYPERLINK("https://www.compass.com/building/16-landis-ct-brooklyn-ny-11229/293531018562946757/","16 Landis Ct")</f>
        <v>16 Landis Ct</v>
      </c>
      <c r="F1284" s="25" t="s">
        <v>240</v>
      </c>
      <c r="G1284" s="28">
        <v>525000.0</v>
      </c>
      <c r="H1284" s="28">
        <v>709.0</v>
      </c>
      <c r="I1284" s="28">
        <v>342.0</v>
      </c>
      <c r="J1284" s="28">
        <v>4100.0</v>
      </c>
      <c r="K1284" s="25" t="s">
        <v>159</v>
      </c>
      <c r="L1284" s="26">
        <v>5.0</v>
      </c>
      <c r="M1284" s="26">
        <v>2.0</v>
      </c>
      <c r="N1284" s="26">
        <v>1.0</v>
      </c>
      <c r="O1284" s="26">
        <v>0.0</v>
      </c>
      <c r="P1284" s="26">
        <v>740.0</v>
      </c>
      <c r="Q1284" s="35">
        <v>58.0</v>
      </c>
      <c r="R1284" s="32">
        <v>45822.0</v>
      </c>
      <c r="S1284" s="32">
        <v>45805.0</v>
      </c>
      <c r="T1284" s="29"/>
      <c r="U1284" s="33"/>
      <c r="V1284" s="1"/>
    </row>
    <row r="1285" ht="24.0" customHeight="1">
      <c r="A1285" s="1"/>
      <c r="B1285" s="24" t="str">
        <f>HYPERLINK("https://www.compass.com/listing/67-38-108th-street-unit-41d-queens-ny-11375/1785336544219259593/view?agent_id=610d3f3370540700019b0833","67-38 108th Street, Unit 41D")</f>
        <v>67-38 108th Street, Unit 41D</v>
      </c>
      <c r="C1285" s="25" t="s">
        <v>22</v>
      </c>
      <c r="D1285" s="26" t="s">
        <v>23</v>
      </c>
      <c r="E1285" s="27" t="str">
        <f>HYPERLINK("https://www.compass.com/building/67-38-108th-st-queens-ny-11375/293530282873597669/","67-38 108th St")</f>
        <v>67-38 108th St</v>
      </c>
      <c r="F1285" s="25" t="s">
        <v>83</v>
      </c>
      <c r="G1285" s="28">
        <v>399000.0</v>
      </c>
      <c r="H1285" s="29"/>
      <c r="I1285" s="28">
        <v>1227.0</v>
      </c>
      <c r="J1285" s="28">
        <v>0.0</v>
      </c>
      <c r="K1285" s="25" t="s">
        <v>25</v>
      </c>
      <c r="L1285" s="26">
        <v>5.0</v>
      </c>
      <c r="M1285" s="26">
        <v>2.0</v>
      </c>
      <c r="N1285" s="26">
        <v>1.0</v>
      </c>
      <c r="O1285" s="30"/>
      <c r="P1285" s="30"/>
      <c r="Q1285" s="35">
        <v>149.0</v>
      </c>
      <c r="R1285" s="32">
        <v>45715.0</v>
      </c>
      <c r="S1285" s="32">
        <v>45714.0</v>
      </c>
      <c r="T1285" s="29"/>
      <c r="U1285" s="33"/>
      <c r="V1285" s="1"/>
    </row>
    <row r="1286" ht="24.0" customHeight="1">
      <c r="A1286" s="1"/>
      <c r="B1286" s="24" t="str">
        <f>HYPERLINK("https://www.compass.com/listing/645-east-87th-street-brooklyn-ny-11236/1763630826432966273/view?agent_id=610d3f3370540700019b0833","645 East 87th Street")</f>
        <v>645 East 87th Street</v>
      </c>
      <c r="C1286" s="25" t="s">
        <v>22</v>
      </c>
      <c r="D1286" s="26" t="s">
        <v>23</v>
      </c>
      <c r="E1286" s="27" t="str">
        <f>HYPERLINK("https://www.compass.com/building/645-e-87th-st-brooklyn-ny-11236/293528681572311813/","645 E 87th St")</f>
        <v>645 E 87th St</v>
      </c>
      <c r="F1286" s="25" t="s">
        <v>187</v>
      </c>
      <c r="G1286" s="28">
        <v>499000.0</v>
      </c>
      <c r="H1286" s="28">
        <v>1129.0</v>
      </c>
      <c r="I1286" s="28">
        <v>167.0</v>
      </c>
      <c r="J1286" s="28">
        <v>2004.0</v>
      </c>
      <c r="K1286" s="25" t="s">
        <v>97</v>
      </c>
      <c r="L1286" s="26">
        <v>4.0</v>
      </c>
      <c r="M1286" s="26">
        <v>2.0</v>
      </c>
      <c r="N1286" s="26">
        <v>1.0</v>
      </c>
      <c r="O1286" s="30"/>
      <c r="P1286" s="26">
        <v>442.0</v>
      </c>
      <c r="Q1286" s="35">
        <v>179.0</v>
      </c>
      <c r="R1286" s="32">
        <v>45685.0</v>
      </c>
      <c r="S1286" s="32">
        <v>45684.0</v>
      </c>
      <c r="T1286" s="29"/>
      <c r="U1286" s="33"/>
      <c r="V1286" s="1"/>
    </row>
    <row r="1287" ht="24.0" customHeight="1">
      <c r="A1287" s="1"/>
      <c r="B1287" s="24" t="str">
        <f>HYPERLINK("https://www.compass.com/listing/34-20-83rd-street-unit-3f-queens-ny-11372/1753119113654109393/view?agent_id=610d3f3370540700019b0833","34-20 83rd Street, Unit 3F")</f>
        <v>34-20 83rd Street, Unit 3F</v>
      </c>
      <c r="C1287" s="25" t="s">
        <v>22</v>
      </c>
      <c r="D1287" s="26" t="s">
        <v>23</v>
      </c>
      <c r="E1287" s="27" t="str">
        <f>HYPERLINK("https://www.compass.com/building/34-20-83rd-st-queens-ny-11372/441176588873251245/","34-20 83rd St")</f>
        <v>34-20 83rd St</v>
      </c>
      <c r="F1287" s="25" t="s">
        <v>33</v>
      </c>
      <c r="G1287" s="28">
        <v>405000.0</v>
      </c>
      <c r="H1287" s="28">
        <v>434.0</v>
      </c>
      <c r="I1287" s="28">
        <v>1563.0</v>
      </c>
      <c r="J1287" s="28">
        <v>4351.0</v>
      </c>
      <c r="K1287" s="25" t="s">
        <v>28</v>
      </c>
      <c r="L1287" s="26">
        <v>5.0</v>
      </c>
      <c r="M1287" s="26">
        <v>2.0</v>
      </c>
      <c r="N1287" s="26">
        <v>1.0</v>
      </c>
      <c r="O1287" s="30"/>
      <c r="P1287" s="26">
        <v>934.0</v>
      </c>
      <c r="Q1287" s="35">
        <v>192.0</v>
      </c>
      <c r="R1287" s="32">
        <v>45788.0</v>
      </c>
      <c r="S1287" s="32">
        <v>45670.0</v>
      </c>
      <c r="T1287" s="29"/>
      <c r="U1287" s="33"/>
      <c r="V1287" s="1"/>
    </row>
    <row r="1288" ht="24.0" customHeight="1">
      <c r="A1288" s="1"/>
      <c r="B1288" s="24" t="str">
        <f>HYPERLINK("https://www.compass.com/listing/139-15-83rd-avenue-unit-409-queens-ny-11435/1840053505816328385/view?agent_id=610d3f3370540700019b0833","139-15 83rd Avenue, Unit 409")</f>
        <v>139-15 83rd Avenue, Unit 409</v>
      </c>
      <c r="C1288" s="25" t="s">
        <v>22</v>
      </c>
      <c r="D1288" s="26" t="s">
        <v>23</v>
      </c>
      <c r="E1288" s="27" t="str">
        <f>HYPERLINK("https://www.compass.com/building/139-15-83rd-ave-queens-ny-11435/293531355952770837/","139-15 83rd Ave")</f>
        <v>139-15 83rd Ave</v>
      </c>
      <c r="F1288" s="25" t="s">
        <v>146</v>
      </c>
      <c r="G1288" s="28">
        <v>279000.0</v>
      </c>
      <c r="H1288" s="28">
        <v>361.0</v>
      </c>
      <c r="I1288" s="28">
        <v>1062.0</v>
      </c>
      <c r="J1288" s="29"/>
      <c r="K1288" s="25" t="s">
        <v>25</v>
      </c>
      <c r="L1288" s="26">
        <v>5.0</v>
      </c>
      <c r="M1288" s="26">
        <v>2.0</v>
      </c>
      <c r="N1288" s="26">
        <v>1.0</v>
      </c>
      <c r="O1288" s="30"/>
      <c r="P1288" s="26">
        <v>772.0</v>
      </c>
      <c r="Q1288" s="35">
        <v>72.0</v>
      </c>
      <c r="R1288" s="32">
        <v>45848.0</v>
      </c>
      <c r="S1288" s="32">
        <v>45790.0</v>
      </c>
      <c r="T1288" s="29"/>
      <c r="U1288" s="33"/>
      <c r="V1288" s="1"/>
    </row>
    <row r="1289" ht="24.0" customHeight="1">
      <c r="A1289" s="1"/>
      <c r="B1289" s="24" t="str">
        <f>HYPERLINK("https://www.compass.com/listing/68-36-140th-street-unit-b-queens-ny-11367/1834913911760205193/view?agent_id=610d3f3370540700019b0833","68-36 140th Street, Unit B")</f>
        <v>68-36 140th Street, Unit B</v>
      </c>
      <c r="C1289" s="25" t="s">
        <v>22</v>
      </c>
      <c r="D1289" s="26" t="s">
        <v>23</v>
      </c>
      <c r="E1289" s="26" t="s">
        <v>280</v>
      </c>
      <c r="F1289" s="25" t="s">
        <v>142</v>
      </c>
      <c r="G1289" s="28">
        <v>418888.0</v>
      </c>
      <c r="H1289" s="28">
        <v>441.0</v>
      </c>
      <c r="I1289" s="28">
        <v>1325.0</v>
      </c>
      <c r="J1289" s="29"/>
      <c r="K1289" s="25" t="s">
        <v>25</v>
      </c>
      <c r="L1289" s="26">
        <v>6.0</v>
      </c>
      <c r="M1289" s="26">
        <v>2.0</v>
      </c>
      <c r="N1289" s="26">
        <v>1.0</v>
      </c>
      <c r="O1289" s="30"/>
      <c r="P1289" s="26">
        <v>950.0</v>
      </c>
      <c r="Q1289" s="35">
        <v>80.0</v>
      </c>
      <c r="R1289" s="32">
        <v>45833.0</v>
      </c>
      <c r="S1289" s="32">
        <v>45783.0</v>
      </c>
      <c r="T1289" s="29"/>
      <c r="U1289" s="33"/>
      <c r="V1289" s="1"/>
    </row>
    <row r="1290" ht="24.0" customHeight="1">
      <c r="A1290" s="1"/>
      <c r="B1290" s="24" t="str">
        <f>HYPERLINK("https://www.compass.com/listing/2-21-beach-80th-street-unit-7b-queens-ny-11693/1854550306256153857/view?agent_id=610d3f3370540700019b0833","2-21 Beach 80th Street, Unit 7B")</f>
        <v>2-21 Beach 80th Street, Unit 7B</v>
      </c>
      <c r="C1290" s="25" t="s">
        <v>22</v>
      </c>
      <c r="D1290" s="26" t="s">
        <v>23</v>
      </c>
      <c r="E1290" s="27" t="str">
        <f>HYPERLINK("https://www.compass.com/building/2-21-beach-80th-st-queens-ny-11693/293530886509551861/","2-21 Beach 80th St")</f>
        <v>2-21 Beach 80th St</v>
      </c>
      <c r="F1290" s="25" t="s">
        <v>35</v>
      </c>
      <c r="G1290" s="28">
        <v>499000.0</v>
      </c>
      <c r="H1290" s="28">
        <v>554.0</v>
      </c>
      <c r="I1290" s="28">
        <v>1506.0</v>
      </c>
      <c r="J1290" s="28">
        <v>8238.0</v>
      </c>
      <c r="K1290" s="25" t="s">
        <v>28</v>
      </c>
      <c r="L1290" s="26">
        <v>5.0</v>
      </c>
      <c r="M1290" s="26">
        <v>2.0</v>
      </c>
      <c r="N1290" s="26">
        <v>1.0</v>
      </c>
      <c r="O1290" s="30"/>
      <c r="P1290" s="26">
        <v>900.0</v>
      </c>
      <c r="Q1290" s="35">
        <v>53.0</v>
      </c>
      <c r="R1290" s="32">
        <v>45812.0</v>
      </c>
      <c r="S1290" s="32">
        <v>45810.0</v>
      </c>
      <c r="T1290" s="29"/>
      <c r="U1290" s="33"/>
      <c r="V1290" s="1"/>
    </row>
    <row r="1291" ht="24.0" customHeight="1">
      <c r="A1291" s="1"/>
      <c r="B1291" s="24" t="str">
        <f>HYPERLINK("https://www.compass.com/listing/2842-brighton-4th-street-brooklyn-ny-11235/1866162322921697337/view?agent_id=610d3f3370540700019b0833","2842 Brighton 4th Street")</f>
        <v>2842 Brighton 4th Street</v>
      </c>
      <c r="C1291" s="25" t="s">
        <v>22</v>
      </c>
      <c r="D1291" s="26" t="s">
        <v>23</v>
      </c>
      <c r="E1291" s="27" t="str">
        <f>HYPERLINK("https://www.compass.com/building/2842-brighton-4th-st-brooklyn-ny-11235/293534310990966885/","2842 Brighton 4th St")</f>
        <v>2842 Brighton 4th St</v>
      </c>
      <c r="F1291" s="25" t="s">
        <v>74</v>
      </c>
      <c r="G1291" s="28">
        <v>560000.0</v>
      </c>
      <c r="H1291" s="28">
        <v>691.0</v>
      </c>
      <c r="I1291" s="28">
        <v>360.0</v>
      </c>
      <c r="J1291" s="28">
        <v>4318.0</v>
      </c>
      <c r="K1291" s="25" t="s">
        <v>159</v>
      </c>
      <c r="L1291" s="26">
        <v>4.0</v>
      </c>
      <c r="M1291" s="26">
        <v>2.0</v>
      </c>
      <c r="N1291" s="26">
        <v>1.0</v>
      </c>
      <c r="O1291" s="30"/>
      <c r="P1291" s="26">
        <v>810.0</v>
      </c>
      <c r="Q1291" s="35">
        <v>37.0</v>
      </c>
      <c r="R1291" s="32">
        <v>45827.0</v>
      </c>
      <c r="S1291" s="32">
        <v>45826.0</v>
      </c>
      <c r="T1291" s="29"/>
      <c r="U1291" s="33"/>
      <c r="V1291" s="1"/>
    </row>
    <row r="1292" ht="24.0" customHeight="1">
      <c r="A1292" s="1"/>
      <c r="B1292" s="24" t="str">
        <f>HYPERLINK("https://www.compass.com/listing/83-85-woodhaven-boulevard-unit-6f-queens-ny-11421/1864877377111827249/view?agent_id=610d3f3370540700019b0833","83-85 Woodhaven Boulevard, Unit 6F")</f>
        <v>83-85 Woodhaven Boulevard, Unit 6F</v>
      </c>
      <c r="C1292" s="25" t="s">
        <v>22</v>
      </c>
      <c r="D1292" s="26" t="s">
        <v>23</v>
      </c>
      <c r="E1292" s="27" t="str">
        <f>HYPERLINK("https://www.compass.com/building/83-85-woodhaven-blvd-queens-ny-11421/293532508622956293/","83-85 Woodhaven Blvd")</f>
        <v>83-85 Woodhaven Blvd</v>
      </c>
      <c r="F1292" s="25" t="s">
        <v>168</v>
      </c>
      <c r="G1292" s="28">
        <v>309000.0</v>
      </c>
      <c r="H1292" s="28">
        <v>384.0</v>
      </c>
      <c r="I1292" s="28">
        <v>684.0</v>
      </c>
      <c r="J1292" s="29"/>
      <c r="K1292" s="25" t="s">
        <v>25</v>
      </c>
      <c r="L1292" s="26">
        <v>4.0</v>
      </c>
      <c r="M1292" s="26">
        <v>2.0</v>
      </c>
      <c r="N1292" s="26">
        <v>1.0</v>
      </c>
      <c r="O1292" s="30"/>
      <c r="P1292" s="26">
        <v>805.0</v>
      </c>
      <c r="Q1292" s="35">
        <v>39.0</v>
      </c>
      <c r="R1292" s="32">
        <v>45836.0</v>
      </c>
      <c r="S1292" s="32">
        <v>45824.0</v>
      </c>
      <c r="T1292" s="29"/>
      <c r="U1292" s="33"/>
      <c r="V1292" s="1"/>
    </row>
    <row r="1293" ht="24.0" customHeight="1">
      <c r="A1293" s="1"/>
      <c r="B1293" s="24" t="str">
        <f>HYPERLINK("https://www.compass.com/listing/2727-palisade-avenue-unit-2g-bronx-ny-10463/1582537983823131929/view?agent_id=610d3f3370540700019b0833","2727 Palisade Avenue, Unit 2G")</f>
        <v>2727 Palisade Avenue, Unit 2G</v>
      </c>
      <c r="C1293" s="25" t="s">
        <v>22</v>
      </c>
      <c r="D1293" s="26" t="s">
        <v>23</v>
      </c>
      <c r="E1293" s="27" t="str">
        <f>HYPERLINK("https://www.compass.com/building/2727-palisade-ave-bronx-ny-10463/293532008066387573/","2727 Palisade Ave")</f>
        <v>2727 Palisade Ave</v>
      </c>
      <c r="F1293" s="25" t="s">
        <v>89</v>
      </c>
      <c r="G1293" s="28">
        <v>550000.0</v>
      </c>
      <c r="H1293" s="28">
        <v>500.0</v>
      </c>
      <c r="I1293" s="28">
        <v>1400.0</v>
      </c>
      <c r="J1293" s="28">
        <v>0.0</v>
      </c>
      <c r="K1293" s="25" t="s">
        <v>25</v>
      </c>
      <c r="L1293" s="26">
        <v>6.0</v>
      </c>
      <c r="M1293" s="26">
        <v>2.0</v>
      </c>
      <c r="N1293" s="30"/>
      <c r="O1293" s="30"/>
      <c r="P1293" s="34">
        <v>1100.0</v>
      </c>
      <c r="Q1293" s="35">
        <v>428.0</v>
      </c>
      <c r="R1293" s="32">
        <v>45435.0</v>
      </c>
      <c r="S1293" s="32">
        <v>45435.0</v>
      </c>
      <c r="T1293" s="29"/>
      <c r="U1293" s="33"/>
      <c r="V1293" s="1"/>
    </row>
    <row r="1294" ht="24.0" customHeight="1">
      <c r="A1294" s="1"/>
      <c r="B1294" s="24" t="str">
        <f>HYPERLINK("https://www.compass.com/listing/8701-shore-road-unit-421-brooklyn-ny-11209/1824677081128539561/view?agent_id=610d3f3370540700019b0833","8701 Shore Road, Unit 421")</f>
        <v>8701 Shore Road, Unit 421</v>
      </c>
      <c r="C1294" s="25" t="s">
        <v>22</v>
      </c>
      <c r="D1294" s="26" t="s">
        <v>23</v>
      </c>
      <c r="E1294" s="27" t="str">
        <f>HYPERLINK("https://www.compass.com/building/8701-shore-rd-brooklyn-ny-11209/293535527389430821/","8701 Shore Rd")</f>
        <v>8701 Shore Rd</v>
      </c>
      <c r="F1294" s="25" t="s">
        <v>55</v>
      </c>
      <c r="G1294" s="28">
        <v>479000.0</v>
      </c>
      <c r="H1294" s="28">
        <v>479.0</v>
      </c>
      <c r="I1294" s="28">
        <v>985.0</v>
      </c>
      <c r="J1294" s="29"/>
      <c r="K1294" s="25" t="s">
        <v>25</v>
      </c>
      <c r="L1294" s="26">
        <v>4.0</v>
      </c>
      <c r="M1294" s="26">
        <v>2.0</v>
      </c>
      <c r="N1294" s="26">
        <v>1.0</v>
      </c>
      <c r="O1294" s="26">
        <v>0.0</v>
      </c>
      <c r="P1294" s="34">
        <v>1000.0</v>
      </c>
      <c r="Q1294" s="35">
        <v>94.0</v>
      </c>
      <c r="R1294" s="32">
        <v>45860.0</v>
      </c>
      <c r="S1294" s="32">
        <v>45769.0</v>
      </c>
      <c r="T1294" s="29"/>
      <c r="U1294" s="33"/>
      <c r="V1294" s="1"/>
    </row>
    <row r="1295" ht="24.0" customHeight="1">
      <c r="A1295" s="1"/>
      <c r="B1295" s="24" t="str">
        <f>HYPERLINK("https://www.compass.com/listing/34-43-82nd-street-unit-51-queens-ny-11372/1814735228426543169/view?agent_id=610d3f3370540700019b0833","34-43 82nd Street, Unit 51")</f>
        <v>34-43 82nd Street, Unit 51</v>
      </c>
      <c r="C1295" s="25" t="s">
        <v>22</v>
      </c>
      <c r="D1295" s="26" t="s">
        <v>23</v>
      </c>
      <c r="E1295" s="27" t="str">
        <f>HYPERLINK("https://www.compass.com/building/34-43-82nd-st-queens-ny-11372/293527682203866037/","34-43 82nd St")</f>
        <v>34-43 82nd St</v>
      </c>
      <c r="F1295" s="25" t="s">
        <v>33</v>
      </c>
      <c r="G1295" s="28">
        <v>599000.0</v>
      </c>
      <c r="H1295" s="29"/>
      <c r="I1295" s="28">
        <v>1000.0</v>
      </c>
      <c r="J1295" s="28">
        <v>0.0</v>
      </c>
      <c r="K1295" s="25" t="s">
        <v>25</v>
      </c>
      <c r="L1295" s="26">
        <v>5.0</v>
      </c>
      <c r="M1295" s="26">
        <v>2.0</v>
      </c>
      <c r="N1295" s="26">
        <v>1.0</v>
      </c>
      <c r="O1295" s="26">
        <v>0.0</v>
      </c>
      <c r="P1295" s="30"/>
      <c r="Q1295" s="35">
        <v>108.0</v>
      </c>
      <c r="R1295" s="32">
        <v>45861.0</v>
      </c>
      <c r="S1295" s="32">
        <v>45755.0</v>
      </c>
      <c r="T1295" s="29"/>
      <c r="U1295" s="33"/>
      <c r="V1295" s="1"/>
    </row>
    <row r="1296" ht="24.0" customHeight="1">
      <c r="A1296" s="1"/>
      <c r="B1296" s="24" t="str">
        <f>HYPERLINK("https://www.compass.com/listing/249-42-57th-avenue-unit-2-queens-ny-11362/1847210366588275729/view?agent_id=610d3f3370540700019b0833","249-42 57th Avenue, Unit 2")</f>
        <v>249-42 57th Avenue, Unit 2</v>
      </c>
      <c r="C1296" s="25" t="s">
        <v>22</v>
      </c>
      <c r="D1296" s="26" t="s">
        <v>23</v>
      </c>
      <c r="E1296" s="27" t="str">
        <f>HYPERLINK("https://www.compass.com/building/249-42-57th-ave-queens-ny-11362/307438787147600853/","249-42 57th Ave")</f>
        <v>249-42 57th Ave</v>
      </c>
      <c r="F1296" s="25" t="s">
        <v>158</v>
      </c>
      <c r="G1296" s="28">
        <v>420000.0</v>
      </c>
      <c r="H1296" s="28">
        <v>438.0</v>
      </c>
      <c r="I1296" s="28">
        <v>1127.0</v>
      </c>
      <c r="J1296" s="29"/>
      <c r="K1296" s="25" t="s">
        <v>25</v>
      </c>
      <c r="L1296" s="26">
        <v>5.0</v>
      </c>
      <c r="M1296" s="26">
        <v>2.0</v>
      </c>
      <c r="N1296" s="26">
        <v>1.0</v>
      </c>
      <c r="O1296" s="26">
        <v>0.0</v>
      </c>
      <c r="P1296" s="26">
        <v>960.0</v>
      </c>
      <c r="Q1296" s="35">
        <v>63.0</v>
      </c>
      <c r="R1296" s="32">
        <v>45863.0</v>
      </c>
      <c r="S1296" s="32">
        <v>45800.0</v>
      </c>
      <c r="T1296" s="29"/>
      <c r="U1296" s="33"/>
      <c r="V1296" s="1"/>
    </row>
    <row r="1297" ht="24.0" customHeight="1">
      <c r="A1297" s="1"/>
      <c r="B1297" s="24" t="str">
        <f>HYPERLINK("https://www.compass.com/listing/35-20-leverich-street-unit-b-227-queens-ny-11372/1839097880213144257/view?agent_id=610d3f3370540700019b0833","35-20 Leverich Street, Unit B 227")</f>
        <v>35-20 Leverich Street, Unit B 227</v>
      </c>
      <c r="C1297" s="25" t="s">
        <v>22</v>
      </c>
      <c r="D1297" s="26" t="s">
        <v>23</v>
      </c>
      <c r="E1297" s="27" t="str">
        <f>HYPERLINK("https://www.compass.com/building/andrew-jackson-queens-ny/293527618886627749/","Andrew Jackson ")</f>
        <v>Andrew Jackson </v>
      </c>
      <c r="F1297" s="25" t="s">
        <v>33</v>
      </c>
      <c r="G1297" s="28">
        <v>598888.0</v>
      </c>
      <c r="H1297" s="28">
        <v>716.0</v>
      </c>
      <c r="I1297" s="28">
        <v>1171.0</v>
      </c>
      <c r="J1297" s="28">
        <v>3300.0</v>
      </c>
      <c r="K1297" s="25" t="s">
        <v>28</v>
      </c>
      <c r="L1297" s="26">
        <v>4.0</v>
      </c>
      <c r="M1297" s="26">
        <v>2.0</v>
      </c>
      <c r="N1297" s="26">
        <v>1.0</v>
      </c>
      <c r="O1297" s="30"/>
      <c r="P1297" s="26">
        <v>836.0</v>
      </c>
      <c r="Q1297" s="35">
        <v>71.0</v>
      </c>
      <c r="R1297" s="32">
        <v>45862.0</v>
      </c>
      <c r="S1297" s="32">
        <v>45792.0</v>
      </c>
      <c r="T1297" s="29"/>
      <c r="U1297" s="33"/>
      <c r="V1297" s="1"/>
    </row>
    <row r="1298" ht="24.0" customHeight="1">
      <c r="A1298" s="1"/>
      <c r="B1298" s="24" t="str">
        <f>HYPERLINK("https://www.compass.com/listing/105-20-66th-road-unit-5f-queens-ny-11375/1869406067796214225/view?agent_id=610d3f3370540700019b0833","105-20 66th Road, Unit 5F")</f>
        <v>105-20 66th Road, Unit 5F</v>
      </c>
      <c r="C1298" s="25" t="s">
        <v>22</v>
      </c>
      <c r="D1298" s="26" t="s">
        <v>23</v>
      </c>
      <c r="E1298" s="27" t="str">
        <f>HYPERLINK("https://www.compass.com/building/quality-ruskin-queens-ny/294836239597076917/","Quality &amp; Ruskin")</f>
        <v>Quality &amp; Ruskin</v>
      </c>
      <c r="F1298" s="25" t="s">
        <v>83</v>
      </c>
      <c r="G1298" s="28">
        <v>338000.0</v>
      </c>
      <c r="H1298" s="29"/>
      <c r="I1298" s="28">
        <v>920.0</v>
      </c>
      <c r="J1298" s="28">
        <v>0.0</v>
      </c>
      <c r="K1298" s="25" t="s">
        <v>25</v>
      </c>
      <c r="L1298" s="26">
        <v>5.0</v>
      </c>
      <c r="M1298" s="26">
        <v>2.0</v>
      </c>
      <c r="N1298" s="26">
        <v>1.0</v>
      </c>
      <c r="O1298" s="26">
        <v>0.0</v>
      </c>
      <c r="P1298" s="26">
        <v>0.0</v>
      </c>
      <c r="Q1298" s="35">
        <v>27.0</v>
      </c>
      <c r="R1298" s="32">
        <v>45837.0</v>
      </c>
      <c r="S1298" s="32">
        <v>45836.0</v>
      </c>
      <c r="T1298" s="29"/>
      <c r="U1298" s="33"/>
      <c r="V1298" s="1"/>
    </row>
    <row r="1299" ht="24.0" customHeight="1">
      <c r="A1299" s="1"/>
      <c r="B1299" s="24" t="str">
        <f>HYPERLINK("https://www.compass.com/listing/39-60-54th-street-unit-9h-queens-ny-11377/1713737929455544833/view?agent_id=610d3f3370540700019b0833","39-60 54th Street, Unit 9H")</f>
        <v>39-60 54th Street, Unit 9H</v>
      </c>
      <c r="C1299" s="25" t="s">
        <v>22</v>
      </c>
      <c r="D1299" s="26" t="s">
        <v>23</v>
      </c>
      <c r="E1299" s="27" t="str">
        <f>HYPERLINK("https://www.compass.com/building/39-60-54th-st-queens-ny-11377/293527054794718469/","39-60 54th St")</f>
        <v>39-60 54th St</v>
      </c>
      <c r="F1299" s="25" t="s">
        <v>137</v>
      </c>
      <c r="G1299" s="28">
        <v>570000.0</v>
      </c>
      <c r="H1299" s="29"/>
      <c r="I1299" s="28">
        <v>1338.0</v>
      </c>
      <c r="J1299" s="28">
        <v>0.0</v>
      </c>
      <c r="K1299" s="25" t="s">
        <v>25</v>
      </c>
      <c r="L1299" s="26">
        <v>5.0</v>
      </c>
      <c r="M1299" s="26">
        <v>2.0</v>
      </c>
      <c r="N1299" s="26">
        <v>1.0</v>
      </c>
      <c r="O1299" s="30"/>
      <c r="P1299" s="30"/>
      <c r="Q1299" s="35">
        <v>247.0</v>
      </c>
      <c r="R1299" s="32">
        <v>45857.0</v>
      </c>
      <c r="S1299" s="32">
        <v>45616.0</v>
      </c>
      <c r="T1299" s="29"/>
      <c r="U1299" s="33"/>
      <c r="V1299" s="1"/>
    </row>
    <row r="1300" ht="24.0" customHeight="1">
      <c r="A1300" s="1"/>
      <c r="B1300" s="24" t="str">
        <f>HYPERLINK("https://www.compass.com/listing/102-30-queens-boulevard-unit-3r-queens-ny-11375/1864725857611752793/view?agent_id=610d3f3370540700019b0833","102-30 Queens Boulevard, Unit 3R")</f>
        <v>102-30 Queens Boulevard, Unit 3R</v>
      </c>
      <c r="C1300" s="25" t="s">
        <v>22</v>
      </c>
      <c r="D1300" s="26" t="s">
        <v>23</v>
      </c>
      <c r="E1300" s="27" t="str">
        <f>HYPERLINK("https://www.compass.com/building/102-30-queens-blvd-queens-ny-11375/293529549516402885/","102-30 Queens Blvd")</f>
        <v>102-30 Queens Blvd</v>
      </c>
      <c r="F1300" s="25" t="s">
        <v>166</v>
      </c>
      <c r="G1300" s="28">
        <v>419000.0</v>
      </c>
      <c r="H1300" s="28">
        <v>399.0</v>
      </c>
      <c r="I1300" s="28">
        <v>1504.0</v>
      </c>
      <c r="J1300" s="29"/>
      <c r="K1300" s="25" t="s">
        <v>25</v>
      </c>
      <c r="L1300" s="26">
        <v>5.0</v>
      </c>
      <c r="M1300" s="26">
        <v>2.0</v>
      </c>
      <c r="N1300" s="26">
        <v>1.0</v>
      </c>
      <c r="O1300" s="30"/>
      <c r="P1300" s="34">
        <v>1050.0</v>
      </c>
      <c r="Q1300" s="35">
        <v>39.0</v>
      </c>
      <c r="R1300" s="32">
        <v>45852.0</v>
      </c>
      <c r="S1300" s="32">
        <v>45824.0</v>
      </c>
      <c r="T1300" s="29"/>
      <c r="U1300" s="33"/>
      <c r="V1300" s="1"/>
    </row>
    <row r="1301" ht="24.0" customHeight="1">
      <c r="A1301" s="1"/>
      <c r="B1301" s="24" t="str">
        <f>HYPERLINK("https://www.compass.com/listing/2121-shore-parkway-unit-4p-brooklyn-ny-11214/1801552168720141057/view?agent_id=610d3f3370540700019b0833","2121 Shore Parkway, Unit 4P")</f>
        <v>2121 Shore Parkway, Unit 4P</v>
      </c>
      <c r="C1301" s="25" t="s">
        <v>22</v>
      </c>
      <c r="D1301" s="26" t="s">
        <v>23</v>
      </c>
      <c r="E1301" s="27" t="str">
        <f>HYPERLINK("https://www.compass.com/building/2121-shore-pkwy-brooklyn-ny-11214/293531493316288197/","2121 Shore Pkwy")</f>
        <v>2121 Shore Pkwy</v>
      </c>
      <c r="F1301" s="25" t="s">
        <v>173</v>
      </c>
      <c r="G1301" s="28">
        <v>524980.0</v>
      </c>
      <c r="H1301" s="28">
        <v>651.0</v>
      </c>
      <c r="I1301" s="28">
        <v>889.0</v>
      </c>
      <c r="J1301" s="28">
        <v>4409.0</v>
      </c>
      <c r="K1301" s="25" t="s">
        <v>28</v>
      </c>
      <c r="L1301" s="26">
        <v>4.0</v>
      </c>
      <c r="M1301" s="26">
        <v>2.0</v>
      </c>
      <c r="N1301" s="26">
        <v>1.0</v>
      </c>
      <c r="O1301" s="30"/>
      <c r="P1301" s="26">
        <v>807.0</v>
      </c>
      <c r="Q1301" s="35">
        <v>126.0</v>
      </c>
      <c r="R1301" s="32">
        <v>45759.0</v>
      </c>
      <c r="S1301" s="32">
        <v>45737.0</v>
      </c>
      <c r="T1301" s="29"/>
      <c r="U1301" s="33"/>
      <c r="V1301" s="1"/>
    </row>
    <row r="1302" ht="24.0" customHeight="1">
      <c r="A1302" s="1"/>
      <c r="B1302" s="24" t="str">
        <f>HYPERLINK("https://www.compass.com/listing/109-14-164th-place-queens-ny-11433/1856027078663339737/view?agent_id=610d3f3370540700019b0833","109-14 164th Place")</f>
        <v>109-14 164th Place</v>
      </c>
      <c r="C1302" s="25" t="s">
        <v>22</v>
      </c>
      <c r="D1302" s="26" t="s">
        <v>23</v>
      </c>
      <c r="E1302" s="27" t="str">
        <f>HYPERLINK("https://www.compass.com/building/109-14-164th-pl-queens-ny-11433/293532520023077957/","109-14 164th Pl")</f>
        <v>109-14 164th Pl</v>
      </c>
      <c r="F1302" s="25" t="s">
        <v>200</v>
      </c>
      <c r="G1302" s="28">
        <v>559000.0</v>
      </c>
      <c r="H1302" s="28">
        <v>559.0</v>
      </c>
      <c r="I1302" s="28">
        <v>216.0</v>
      </c>
      <c r="J1302" s="28">
        <v>2590.0</v>
      </c>
      <c r="K1302" s="25" t="s">
        <v>97</v>
      </c>
      <c r="L1302" s="26">
        <v>4.0</v>
      </c>
      <c r="M1302" s="26">
        <v>2.0</v>
      </c>
      <c r="N1302" s="26">
        <v>1.0</v>
      </c>
      <c r="O1302" s="30"/>
      <c r="P1302" s="34">
        <v>1000.0</v>
      </c>
      <c r="Q1302" s="35">
        <v>51.0</v>
      </c>
      <c r="R1302" s="32">
        <v>45863.0</v>
      </c>
      <c r="S1302" s="32">
        <v>45812.0</v>
      </c>
      <c r="T1302" s="29"/>
      <c r="U1302" s="33"/>
      <c r="V1302" s="1"/>
    </row>
    <row r="1303" ht="24.0" customHeight="1">
      <c r="A1303" s="1"/>
      <c r="B1303" s="24" t="str">
        <f>HYPERLINK("https://www.compass.com/listing/268-nelson-avenue-staten-island-ny-10308/1869718779399069409/view?agent_id=610d3f3370540700019b0833","268 Nelson Avenue")</f>
        <v>268 Nelson Avenue</v>
      </c>
      <c r="C1303" s="25" t="s">
        <v>22</v>
      </c>
      <c r="D1303" s="26" t="s">
        <v>23</v>
      </c>
      <c r="E1303" s="27" t="str">
        <f>HYPERLINK("https://www.compass.com/building/268-nelson-ave-staten-island-ny-10308/293530382790352965/","268 Nelson Ave")</f>
        <v>268 Nelson Ave</v>
      </c>
      <c r="F1303" s="25" t="s">
        <v>281</v>
      </c>
      <c r="G1303" s="28">
        <v>578888.0</v>
      </c>
      <c r="H1303" s="28">
        <v>846.0</v>
      </c>
      <c r="I1303" s="28">
        <v>361.0</v>
      </c>
      <c r="J1303" s="28">
        <v>4328.0</v>
      </c>
      <c r="K1303" s="25" t="s">
        <v>159</v>
      </c>
      <c r="L1303" s="26">
        <v>4.0</v>
      </c>
      <c r="M1303" s="26">
        <v>2.0</v>
      </c>
      <c r="N1303" s="26">
        <v>1.0</v>
      </c>
      <c r="O1303" s="26">
        <v>0.0</v>
      </c>
      <c r="P1303" s="26">
        <v>684.0</v>
      </c>
      <c r="Q1303" s="35">
        <v>32.0</v>
      </c>
      <c r="R1303" s="32">
        <v>45853.0</v>
      </c>
      <c r="S1303" s="32">
        <v>45830.0</v>
      </c>
      <c r="T1303" s="29"/>
      <c r="U1303" s="33"/>
      <c r="V1303" s="1"/>
    </row>
    <row r="1304" ht="24.0" customHeight="1">
      <c r="A1304" s="1"/>
      <c r="B1304" s="24" t="str">
        <f>HYPERLINK("https://www.compass.com/listing/209-15-18th-avenue-unit-2a-queens-ny-11360/1862559855138064649/view?agent_id=610d3f3370540700019b0833","209-15 18th Avenue, Unit 2A")</f>
        <v>209-15 18th Avenue, Unit 2A</v>
      </c>
      <c r="C1304" s="25" t="s">
        <v>22</v>
      </c>
      <c r="D1304" s="26" t="s">
        <v>23</v>
      </c>
      <c r="E1304" s="27" t="str">
        <f>HYPERLINK("https://www.compass.com/building/209-15-18th-ave-queens-ny-11360/293529533812922229/","209-15 18th Ave")</f>
        <v>209-15 18th Ave</v>
      </c>
      <c r="F1304" s="25" t="s">
        <v>79</v>
      </c>
      <c r="G1304" s="28">
        <v>339000.0</v>
      </c>
      <c r="H1304" s="28">
        <v>339.0</v>
      </c>
      <c r="I1304" s="28">
        <v>1520.0</v>
      </c>
      <c r="J1304" s="29"/>
      <c r="K1304" s="25" t="s">
        <v>25</v>
      </c>
      <c r="L1304" s="26">
        <v>5.0</v>
      </c>
      <c r="M1304" s="26">
        <v>2.0</v>
      </c>
      <c r="N1304" s="26">
        <v>1.0</v>
      </c>
      <c r="O1304" s="30"/>
      <c r="P1304" s="34">
        <v>1000.0</v>
      </c>
      <c r="Q1304" s="35">
        <v>28.0</v>
      </c>
      <c r="R1304" s="32">
        <v>45853.0</v>
      </c>
      <c r="S1304" s="32">
        <v>45821.0</v>
      </c>
      <c r="T1304" s="29"/>
      <c r="U1304" s="33"/>
      <c r="V1304" s="1"/>
    </row>
    <row r="1305" ht="24.0" customHeight="1">
      <c r="A1305" s="1"/>
      <c r="B1305" s="24" t="str">
        <f>HYPERLINK("https://www.compass.com/listing/91-49-153rd-avenue-unit-123-queens-ny-11414/1860268155532727649/view?agent_id=610d3f3370540700019b0833","91-49 153rd Avenue, Unit 123")</f>
        <v>91-49 153rd Avenue, Unit 123</v>
      </c>
      <c r="C1305" s="25" t="s">
        <v>22</v>
      </c>
      <c r="D1305" s="26" t="s">
        <v>23</v>
      </c>
      <c r="E1305" s="27" t="str">
        <f>HYPERLINK("https://www.compass.com/building/91-49-153rd-ave-queens-ny-11414/445814292504366749/","91-49 153rd Ave")</f>
        <v>91-49 153rd Ave</v>
      </c>
      <c r="F1305" s="25" t="s">
        <v>212</v>
      </c>
      <c r="G1305" s="28">
        <v>259999.0</v>
      </c>
      <c r="H1305" s="28">
        <v>315.0</v>
      </c>
      <c r="I1305" s="28">
        <v>956.0</v>
      </c>
      <c r="J1305" s="29"/>
      <c r="K1305" s="25" t="s">
        <v>25</v>
      </c>
      <c r="L1305" s="26">
        <v>5.0</v>
      </c>
      <c r="M1305" s="26">
        <v>2.0</v>
      </c>
      <c r="N1305" s="26">
        <v>1.0</v>
      </c>
      <c r="O1305" s="30"/>
      <c r="P1305" s="26">
        <v>825.0</v>
      </c>
      <c r="Q1305" s="35">
        <v>45.0</v>
      </c>
      <c r="R1305" s="32">
        <v>45860.0</v>
      </c>
      <c r="S1305" s="32">
        <v>45818.0</v>
      </c>
      <c r="T1305" s="29"/>
      <c r="U1305" s="33"/>
      <c r="V1305" s="1"/>
    </row>
    <row r="1306" ht="24.0" customHeight="1">
      <c r="A1306" s="1"/>
      <c r="B1306" s="24" t="str">
        <f>HYPERLINK("https://www.compass.com/listing/218-12-73rd-avenue-unit-401a1-queens-ny-11364/1869697444417535241/view?agent_id=610d3f3370540700019b0833","218-12 73rd Avenue, Unit 401A1")</f>
        <v>218-12 73rd Avenue, Unit 401A1</v>
      </c>
      <c r="C1306" s="25" t="s">
        <v>22</v>
      </c>
      <c r="D1306" s="26" t="s">
        <v>23</v>
      </c>
      <c r="E1306" s="27" t="str">
        <f>HYPERLINK("https://www.compass.com/building/218-12-73rd-ave-queens-ny-11364/307452925601044709/","218-12 73rd Ave")</f>
        <v>218-12 73rd Ave</v>
      </c>
      <c r="F1306" s="25" t="s">
        <v>37</v>
      </c>
      <c r="G1306" s="28">
        <v>365000.0</v>
      </c>
      <c r="H1306" s="28">
        <v>487.0</v>
      </c>
      <c r="I1306" s="28">
        <v>1100.0</v>
      </c>
      <c r="J1306" s="29"/>
      <c r="K1306" s="25" t="s">
        <v>25</v>
      </c>
      <c r="L1306" s="26">
        <v>5.0</v>
      </c>
      <c r="M1306" s="26">
        <v>2.0</v>
      </c>
      <c r="N1306" s="26">
        <v>1.0</v>
      </c>
      <c r="O1306" s="30"/>
      <c r="P1306" s="26">
        <v>750.0</v>
      </c>
      <c r="Q1306" s="35">
        <v>32.0</v>
      </c>
      <c r="R1306" s="32">
        <v>45862.0</v>
      </c>
      <c r="S1306" s="32">
        <v>45831.0</v>
      </c>
      <c r="T1306" s="29"/>
      <c r="U1306" s="33"/>
      <c r="V1306" s="1"/>
    </row>
    <row r="1307" ht="24.0" customHeight="1">
      <c r="A1307" s="1"/>
      <c r="B1307" s="24" t="str">
        <f>HYPERLINK("https://www.compass.com/listing/144-60-gravett-road-unit-6f-queens-ny-11367/1801189776676704481/view?agent_id=610d3f3370540700019b0833","144-60 Gravett Road, Unit 6F")</f>
        <v>144-60 Gravett Road, Unit 6F</v>
      </c>
      <c r="C1307" s="25" t="s">
        <v>22</v>
      </c>
      <c r="D1307" s="26" t="s">
        <v>23</v>
      </c>
      <c r="E1307" s="27" t="str">
        <f>HYPERLINK("https://www.compass.com/building/144-60-gravett-rd-queens-ny-11367/307459308694096901/","144-60 Gravett Rd")</f>
        <v>144-60 Gravett Rd</v>
      </c>
      <c r="F1307" s="25" t="s">
        <v>142</v>
      </c>
      <c r="G1307" s="28">
        <v>240000.0</v>
      </c>
      <c r="H1307" s="28">
        <v>240.0</v>
      </c>
      <c r="I1307" s="28">
        <v>1360.0</v>
      </c>
      <c r="J1307" s="29"/>
      <c r="K1307" s="25" t="s">
        <v>25</v>
      </c>
      <c r="L1307" s="26">
        <v>4.0</v>
      </c>
      <c r="M1307" s="26">
        <v>2.0</v>
      </c>
      <c r="N1307" s="26">
        <v>1.0</v>
      </c>
      <c r="O1307" s="30"/>
      <c r="P1307" s="34">
        <v>1000.0</v>
      </c>
      <c r="Q1307" s="35">
        <v>122.0</v>
      </c>
      <c r="R1307" s="32">
        <v>45759.0</v>
      </c>
      <c r="S1307" s="32">
        <v>45741.0</v>
      </c>
      <c r="T1307" s="29"/>
      <c r="U1307" s="33"/>
      <c r="V1307" s="1"/>
    </row>
    <row r="1308" ht="24.0" customHeight="1">
      <c r="A1308" s="1"/>
      <c r="B1308" s="24" t="str">
        <f>HYPERLINK("https://www.compass.com/listing/2483-west-16th-street-unit-15f-brooklyn-ny-11214/1849597316834748537/view?agent_id=610d3f3370540700019b0833","2483 West 16th Street, Unit 15F")</f>
        <v>2483 West 16th Street, Unit 15F</v>
      </c>
      <c r="C1308" s="25" t="s">
        <v>22</v>
      </c>
      <c r="D1308" s="26" t="s">
        <v>23</v>
      </c>
      <c r="E1308" s="27" t="str">
        <f>HYPERLINK("https://www.compass.com/building/2483-w-16th-st-brooklyn-ny-11214/307458531313475429/","2483 W 16th St")</f>
        <v>2483 W 16th St</v>
      </c>
      <c r="F1308" s="25" t="s">
        <v>173</v>
      </c>
      <c r="G1308" s="28">
        <v>349800.0</v>
      </c>
      <c r="H1308" s="28">
        <v>350.0</v>
      </c>
      <c r="I1308" s="28">
        <v>1028.0</v>
      </c>
      <c r="J1308" s="29"/>
      <c r="K1308" s="36"/>
      <c r="L1308" s="26">
        <v>4.0</v>
      </c>
      <c r="M1308" s="26">
        <v>2.0</v>
      </c>
      <c r="N1308" s="26">
        <v>1.0</v>
      </c>
      <c r="O1308" s="26">
        <v>0.0</v>
      </c>
      <c r="P1308" s="34">
        <v>1000.0</v>
      </c>
      <c r="Q1308" s="35">
        <v>60.0</v>
      </c>
      <c r="R1308" s="32">
        <v>45852.0</v>
      </c>
      <c r="S1308" s="32">
        <v>45802.0</v>
      </c>
      <c r="T1308" s="29"/>
      <c r="U1308" s="33"/>
      <c r="V1308" s="1"/>
    </row>
    <row r="1309" ht="24.0" customHeight="1">
      <c r="A1309" s="1"/>
      <c r="B1309" s="24" t="str">
        <f>HYPERLINK("https://www.compass.com/listing/107-16-37th-avenue-unit-3b-queens-ny-11368/1848676903732162065/view?agent_id=610d3f3370540700019b0833","107-16 37th Avenue, Unit 3B")</f>
        <v>107-16 37th Avenue, Unit 3B</v>
      </c>
      <c r="C1309" s="25" t="s">
        <v>22</v>
      </c>
      <c r="D1309" s="26" t="s">
        <v>23</v>
      </c>
      <c r="E1309" s="27" t="str">
        <f>HYPERLINK("https://www.compass.com/building/107-16-37th-ave-queens-ny-11368/293534410152614149/","107-16 37th Ave")</f>
        <v>107-16 37th Ave</v>
      </c>
      <c r="F1309" s="25" t="s">
        <v>230</v>
      </c>
      <c r="G1309" s="28">
        <v>450000.0</v>
      </c>
      <c r="H1309" s="28">
        <v>621.0</v>
      </c>
      <c r="I1309" s="28">
        <v>763.0</v>
      </c>
      <c r="J1309" s="28">
        <v>4396.0</v>
      </c>
      <c r="K1309" s="25" t="s">
        <v>28</v>
      </c>
      <c r="L1309" s="26">
        <v>4.0</v>
      </c>
      <c r="M1309" s="26">
        <v>2.0</v>
      </c>
      <c r="N1309" s="26">
        <v>1.0</v>
      </c>
      <c r="O1309" s="30"/>
      <c r="P1309" s="26">
        <v>725.0</v>
      </c>
      <c r="Q1309" s="35">
        <v>61.0</v>
      </c>
      <c r="R1309" s="32">
        <v>45851.0</v>
      </c>
      <c r="S1309" s="32">
        <v>45802.0</v>
      </c>
      <c r="T1309" s="29"/>
      <c r="U1309" s="33"/>
      <c r="V1309" s="1"/>
    </row>
    <row r="1310" ht="24.0" customHeight="1">
      <c r="A1310" s="1"/>
      <c r="B1310" s="24" t="str">
        <f>HYPERLINK("https://www.compass.com/listing/9536-schenck-street-unit-3-brooklyn-ny-11236/1831972642784031985/view?agent_id=610d3f3370540700019b0833","9536 Schenck Street, Unit 3")</f>
        <v>9536 Schenck Street, Unit 3</v>
      </c>
      <c r="C1310" s="25" t="s">
        <v>22</v>
      </c>
      <c r="D1310" s="26" t="s">
        <v>23</v>
      </c>
      <c r="E1310" s="27" t="str">
        <f>HYPERLINK("https://www.compass.com/building/9536-schenck-st-brooklyn-ny-11236/307451820225674373/","9536 Schenck St")</f>
        <v>9536 Schenck St</v>
      </c>
      <c r="F1310" s="25" t="s">
        <v>187</v>
      </c>
      <c r="G1310" s="28">
        <v>1.0</v>
      </c>
      <c r="H1310" s="28">
        <v>0.0</v>
      </c>
      <c r="I1310" s="28">
        <v>691.0</v>
      </c>
      <c r="J1310" s="28">
        <v>4955.0</v>
      </c>
      <c r="K1310" s="25" t="s">
        <v>28</v>
      </c>
      <c r="L1310" s="26">
        <v>4.0</v>
      </c>
      <c r="M1310" s="26">
        <v>2.0</v>
      </c>
      <c r="N1310" s="26">
        <v>0.0</v>
      </c>
      <c r="O1310" s="30"/>
      <c r="P1310" s="34">
        <v>1400.0</v>
      </c>
      <c r="Q1310" s="35">
        <v>84.0</v>
      </c>
      <c r="R1310" s="32">
        <v>45860.0</v>
      </c>
      <c r="S1310" s="32">
        <v>45779.0</v>
      </c>
      <c r="T1310" s="29"/>
      <c r="U1310" s="33"/>
      <c r="V1310" s="1"/>
    </row>
    <row r="1311" ht="24.0" customHeight="1">
      <c r="A1311" s="1"/>
      <c r="B1311" s="24" t="str">
        <f>HYPERLINK("https://www.compass.com/listing/7401-shore-road-unit-1k-brooklyn-ny-11209/1824013838102058761/view?agent_id=610d3f3370540700019b0833","7401 Shore Road, Unit 1K")</f>
        <v>7401 Shore Road, Unit 1K</v>
      </c>
      <c r="C1311" s="25" t="s">
        <v>22</v>
      </c>
      <c r="D1311" s="26" t="s">
        <v>23</v>
      </c>
      <c r="E1311" s="27" t="str">
        <f>HYPERLINK("https://www.compass.com/building/7401-shore-rd-brooklyn-ny-11209/293528790238258773/","7401 Shore Rd")</f>
        <v>7401 Shore Rd</v>
      </c>
      <c r="F1311" s="25" t="s">
        <v>55</v>
      </c>
      <c r="G1311" s="28">
        <v>499000.0</v>
      </c>
      <c r="H1311" s="28">
        <v>499.0</v>
      </c>
      <c r="I1311" s="28">
        <v>1025.0</v>
      </c>
      <c r="J1311" s="28">
        <v>0.0</v>
      </c>
      <c r="K1311" s="25" t="s">
        <v>25</v>
      </c>
      <c r="L1311" s="26">
        <v>5.0</v>
      </c>
      <c r="M1311" s="26">
        <v>2.0</v>
      </c>
      <c r="N1311" s="26">
        <v>1.0</v>
      </c>
      <c r="O1311" s="26">
        <v>0.0</v>
      </c>
      <c r="P1311" s="34">
        <v>1000.0</v>
      </c>
      <c r="Q1311" s="35">
        <v>95.0</v>
      </c>
      <c r="R1311" s="32">
        <v>45860.0</v>
      </c>
      <c r="S1311" s="32">
        <v>45768.0</v>
      </c>
      <c r="T1311" s="29"/>
      <c r="U1311" s="33"/>
      <c r="V1311" s="1"/>
    </row>
    <row r="1312" ht="24.0" customHeight="1">
      <c r="A1312" s="1"/>
      <c r="B1312" s="24" t="str">
        <f>HYPERLINK("https://www.compass.com/listing/1615-avenue-i-unit-122-brooklyn-ny-11230/1870739225783676817/view?agent_id=610d3f3370540700019b0833","1615 Avenue I, Unit 122")</f>
        <v>1615 Avenue I, Unit 122</v>
      </c>
      <c r="C1312" s="25" t="s">
        <v>22</v>
      </c>
      <c r="D1312" s="26" t="s">
        <v>23</v>
      </c>
      <c r="E1312" s="27" t="str">
        <f>HYPERLINK("https://www.compass.com/building/terrace-gardens-plaza-brooklyn-ny/389280519439970837/","Terrace Gardens Plaza")</f>
        <v>Terrace Gardens Plaza</v>
      </c>
      <c r="F1312" s="25" t="s">
        <v>34</v>
      </c>
      <c r="G1312" s="28">
        <v>475000.0</v>
      </c>
      <c r="H1312" s="29"/>
      <c r="I1312" s="28">
        <v>1088.0</v>
      </c>
      <c r="J1312" s="28">
        <v>0.0</v>
      </c>
      <c r="K1312" s="25" t="s">
        <v>25</v>
      </c>
      <c r="L1312" s="26">
        <v>5.0</v>
      </c>
      <c r="M1312" s="26">
        <v>2.0</v>
      </c>
      <c r="N1312" s="26">
        <v>1.0</v>
      </c>
      <c r="O1312" s="26">
        <v>0.0</v>
      </c>
      <c r="P1312" s="30"/>
      <c r="Q1312" s="35">
        <v>31.0</v>
      </c>
      <c r="R1312" s="32">
        <v>45862.0</v>
      </c>
      <c r="S1312" s="32">
        <v>45832.0</v>
      </c>
      <c r="T1312" s="29"/>
      <c r="U1312" s="33"/>
      <c r="V1312" s="1"/>
    </row>
    <row r="1313" ht="24.0" customHeight="1">
      <c r="A1313" s="1"/>
      <c r="B1313" s="24" t="str">
        <f>HYPERLINK("https://www.compass.com/listing/141-15-28th-avenue-unit-1g-queens-ny-11354/1868188663536278561/view?agent_id=610d3f3370540700019b0833","141-15 28th Avenue, Unit 1G")</f>
        <v>141-15 28th Avenue, Unit 1G</v>
      </c>
      <c r="C1313" s="25" t="s">
        <v>22</v>
      </c>
      <c r="D1313" s="26" t="s">
        <v>23</v>
      </c>
      <c r="E1313" s="27" t="str">
        <f>HYPERLINK("https://www.compass.com/building/141-15-28th-ave-queens-ny-11354/307434173538997557/","141-15 28th Ave")</f>
        <v>141-15 28th Ave</v>
      </c>
      <c r="F1313" s="25" t="s">
        <v>185</v>
      </c>
      <c r="G1313" s="28">
        <v>368000.0</v>
      </c>
      <c r="H1313" s="28">
        <v>387.0</v>
      </c>
      <c r="I1313" s="28">
        <v>2304.0</v>
      </c>
      <c r="J1313" s="29"/>
      <c r="K1313" s="25" t="s">
        <v>25</v>
      </c>
      <c r="L1313" s="26">
        <v>5.0</v>
      </c>
      <c r="M1313" s="26">
        <v>2.0</v>
      </c>
      <c r="N1313" s="26">
        <v>1.0</v>
      </c>
      <c r="O1313" s="30"/>
      <c r="P1313" s="26">
        <v>950.0</v>
      </c>
      <c r="Q1313" s="35">
        <v>34.0</v>
      </c>
      <c r="R1313" s="32">
        <v>45863.0</v>
      </c>
      <c r="S1313" s="32">
        <v>45829.0</v>
      </c>
      <c r="T1313" s="29"/>
      <c r="U1313" s="33"/>
      <c r="V1313" s="1"/>
    </row>
    <row r="1314" ht="24.0" customHeight="1">
      <c r="A1314" s="1"/>
      <c r="B1314" s="24" t="str">
        <f>HYPERLINK("https://www.compass.com/listing/18-50-211th-street-unit-6c-queens-ny-11360/1860434599612241209/view?agent_id=610d3f3370540700019b0833","18-50 211th Street, Unit 6C")</f>
        <v>18-50 211th Street, Unit 6C</v>
      </c>
      <c r="C1314" s="25" t="s">
        <v>22</v>
      </c>
      <c r="D1314" s="26" t="s">
        <v>23</v>
      </c>
      <c r="E1314" s="27" t="str">
        <f>HYPERLINK("https://www.compass.com/building/18-50-211th-st-queens-ny-11360/307437952422202453/","18-50 211th St")</f>
        <v>18-50 211th St</v>
      </c>
      <c r="F1314" s="25" t="s">
        <v>79</v>
      </c>
      <c r="G1314" s="28">
        <v>345000.0</v>
      </c>
      <c r="H1314" s="28">
        <v>314.0</v>
      </c>
      <c r="I1314" s="28">
        <v>1757.0</v>
      </c>
      <c r="J1314" s="29"/>
      <c r="K1314" s="25" t="s">
        <v>25</v>
      </c>
      <c r="L1314" s="26">
        <v>5.0</v>
      </c>
      <c r="M1314" s="26">
        <v>2.0</v>
      </c>
      <c r="N1314" s="26">
        <v>1.0</v>
      </c>
      <c r="O1314" s="30"/>
      <c r="P1314" s="34">
        <v>1100.0</v>
      </c>
      <c r="Q1314" s="35">
        <v>45.0</v>
      </c>
      <c r="R1314" s="32">
        <v>45857.0</v>
      </c>
      <c r="S1314" s="32">
        <v>45818.0</v>
      </c>
      <c r="T1314" s="29"/>
      <c r="U1314" s="33"/>
      <c r="V1314" s="1"/>
    </row>
    <row r="1315" ht="24.0" customHeight="1">
      <c r="A1315" s="1"/>
      <c r="B1315" s="24" t="str">
        <f>HYPERLINK("https://www.compass.com/listing/91-23-corona-avenue-unit-6c-queens-ny-11373/1867571983642051233/view?agent_id=610d3f3370540700019b0833","91-23 Corona Avenue, Unit 6C")</f>
        <v>91-23 Corona Avenue, Unit 6C</v>
      </c>
      <c r="C1315" s="25" t="s">
        <v>22</v>
      </c>
      <c r="D1315" s="26" t="s">
        <v>23</v>
      </c>
      <c r="E1315" s="27" t="str">
        <f>HYPERLINK("https://www.compass.com/building/91-23-corona-ave-queens-ny-11373/293527826286522421/","91-23 Corona Ave")</f>
        <v>91-23 Corona Ave</v>
      </c>
      <c r="F1315" s="25" t="s">
        <v>151</v>
      </c>
      <c r="G1315" s="28">
        <v>593000.0</v>
      </c>
      <c r="H1315" s="28">
        <v>929.0</v>
      </c>
      <c r="I1315" s="28">
        <v>670.0</v>
      </c>
      <c r="J1315" s="28">
        <v>4050.0</v>
      </c>
      <c r="K1315" s="25" t="s">
        <v>28</v>
      </c>
      <c r="L1315" s="26">
        <v>4.0</v>
      </c>
      <c r="M1315" s="26">
        <v>2.0</v>
      </c>
      <c r="N1315" s="26">
        <v>1.0</v>
      </c>
      <c r="O1315" s="30"/>
      <c r="P1315" s="26">
        <v>638.0</v>
      </c>
      <c r="Q1315" s="35">
        <v>35.0</v>
      </c>
      <c r="R1315" s="32">
        <v>45862.0</v>
      </c>
      <c r="S1315" s="32">
        <v>45828.0</v>
      </c>
      <c r="T1315" s="29"/>
      <c r="U1315" s="33"/>
      <c r="V1315" s="1"/>
    </row>
    <row r="1316" ht="24.0" customHeight="1">
      <c r="A1316" s="1"/>
      <c r="B1316" s="24" t="str">
        <f>HYPERLINK("https://www.compass.com/listing/116-17-141st-street-queens-ny-11436/1872531024034821937/view?agent_id=610d3f3370540700019b0833","116-17 141st Street")</f>
        <v>116-17 141st Street</v>
      </c>
      <c r="C1316" s="25" t="s">
        <v>22</v>
      </c>
      <c r="D1316" s="26" t="s">
        <v>23</v>
      </c>
      <c r="E1316" s="27" t="str">
        <f>HYPERLINK("https://www.compass.com/building/116-17-141st-st-queens-ny-11436/293528856038527557/","116-17 141st St")</f>
        <v>116-17 141st St</v>
      </c>
      <c r="F1316" s="25" t="s">
        <v>222</v>
      </c>
      <c r="G1316" s="28">
        <v>599000.0</v>
      </c>
      <c r="H1316" s="28">
        <v>620.0</v>
      </c>
      <c r="I1316" s="28">
        <v>360.0</v>
      </c>
      <c r="J1316" s="28">
        <v>4318.0</v>
      </c>
      <c r="K1316" s="25" t="s">
        <v>97</v>
      </c>
      <c r="L1316" s="26">
        <v>6.0</v>
      </c>
      <c r="M1316" s="26">
        <v>2.0</v>
      </c>
      <c r="N1316" s="26">
        <v>1.0</v>
      </c>
      <c r="O1316" s="30"/>
      <c r="P1316" s="26">
        <v>966.0</v>
      </c>
      <c r="Q1316" s="35">
        <v>27.0</v>
      </c>
      <c r="R1316" s="32">
        <v>45862.0</v>
      </c>
      <c r="S1316" s="32">
        <v>45835.0</v>
      </c>
      <c r="T1316" s="29"/>
      <c r="U1316" s="33"/>
      <c r="V1316" s="1"/>
    </row>
    <row r="1317" ht="24.0" customHeight="1">
      <c r="A1317" s="1"/>
      <c r="B1317" s="24" t="str">
        <f>HYPERLINK("https://www.compass.com/listing/62-98-woodhaven-boulevard-unit-3c-queens-ny-11374/1841605906737861497/view?agent_id=610d3f3370540700019b0833","62-98 Woodhaven Boulevard, Unit 3C")</f>
        <v>62-98 Woodhaven Boulevard, Unit 3C</v>
      </c>
      <c r="C1317" s="25" t="s">
        <v>22</v>
      </c>
      <c r="D1317" s="26" t="s">
        <v>23</v>
      </c>
      <c r="E1317" s="27" t="str">
        <f>HYPERLINK("https://www.compass.com/building/62-98-woodhaven-blvd-queens-ny-11374/307458073295684421/","62-98 Woodhaven Blvd")</f>
        <v>62-98 Woodhaven Blvd</v>
      </c>
      <c r="F1317" s="25" t="s">
        <v>269</v>
      </c>
      <c r="G1317" s="28">
        <v>675000.0</v>
      </c>
      <c r="H1317" s="28">
        <v>818.0</v>
      </c>
      <c r="I1317" s="28">
        <v>423.0</v>
      </c>
      <c r="J1317" s="28">
        <v>1205.0</v>
      </c>
      <c r="K1317" s="25" t="s">
        <v>28</v>
      </c>
      <c r="L1317" s="26">
        <v>4.0</v>
      </c>
      <c r="M1317" s="26">
        <v>2.0</v>
      </c>
      <c r="N1317" s="26">
        <v>1.0</v>
      </c>
      <c r="O1317" s="30"/>
      <c r="P1317" s="26">
        <v>825.0</v>
      </c>
      <c r="Q1317" s="35">
        <v>71.0</v>
      </c>
      <c r="R1317" s="32">
        <v>45826.0</v>
      </c>
      <c r="S1317" s="32">
        <v>45792.0</v>
      </c>
      <c r="T1317" s="29"/>
      <c r="U1317" s="33"/>
      <c r="V1317" s="1"/>
    </row>
    <row r="1318" ht="24.0" customHeight="1">
      <c r="A1318" s="1"/>
      <c r="B1318" s="24" t="str">
        <f>HYPERLINK("https://www.compass.com/listing/88-11-34th-avenue-unit-4d-queens-ny-11372/1809731698921283929/view?agent_id=610d3f3370540700019b0833","88-11 34th Avenue, Unit 4D")</f>
        <v>88-11 34th Avenue, Unit 4D</v>
      </c>
      <c r="C1318" s="25" t="s">
        <v>22</v>
      </c>
      <c r="D1318" s="26" t="s">
        <v>23</v>
      </c>
      <c r="E1318" s="27" t="str">
        <f>HYPERLINK("https://www.compass.com/building/88-11-34th-ave-queens-ny-11372/293529283756925157/","88-11 34th Ave")</f>
        <v>88-11 34th Ave</v>
      </c>
      <c r="F1318" s="25" t="s">
        <v>33</v>
      </c>
      <c r="G1318" s="28">
        <v>635000.0</v>
      </c>
      <c r="H1318" s="28">
        <v>747.0</v>
      </c>
      <c r="I1318" s="28">
        <v>1700.0</v>
      </c>
      <c r="J1318" s="29"/>
      <c r="K1318" s="25" t="s">
        <v>25</v>
      </c>
      <c r="L1318" s="26">
        <v>5.0</v>
      </c>
      <c r="M1318" s="26">
        <v>2.0</v>
      </c>
      <c r="N1318" s="26">
        <v>1.0</v>
      </c>
      <c r="O1318" s="30"/>
      <c r="P1318" s="26">
        <v>850.0</v>
      </c>
      <c r="Q1318" s="35">
        <v>115.0</v>
      </c>
      <c r="R1318" s="32">
        <v>45830.0</v>
      </c>
      <c r="S1318" s="32">
        <v>45748.0</v>
      </c>
      <c r="T1318" s="29"/>
      <c r="U1318" s="33"/>
      <c r="V1318" s="1"/>
    </row>
    <row r="1319" ht="24.0" customHeight="1">
      <c r="A1319" s="1"/>
      <c r="B1319" s="24" t="str">
        <f>HYPERLINK("https://www.compass.com/listing/165-kiswick-street-staten-island-ny-10306/1864677218826994249/view?agent_id=610d3f3370540700019b0833","165 Kiswick Street")</f>
        <v>165 Kiswick Street</v>
      </c>
      <c r="C1319" s="25" t="s">
        <v>22</v>
      </c>
      <c r="D1319" s="26" t="s">
        <v>23</v>
      </c>
      <c r="E1319" s="27" t="str">
        <f>HYPERLINK("https://www.compass.com/building/165-kiswick-st-staten-island-ny-10306/293533666980757013/","165 Kiswick St")</f>
        <v>165 Kiswick St</v>
      </c>
      <c r="F1319" s="25" t="s">
        <v>234</v>
      </c>
      <c r="G1319" s="28">
        <v>545000.0</v>
      </c>
      <c r="H1319" s="28">
        <v>695.0</v>
      </c>
      <c r="I1319" s="28">
        <v>187.0</v>
      </c>
      <c r="J1319" s="28">
        <v>2245.0</v>
      </c>
      <c r="K1319" s="25" t="s">
        <v>97</v>
      </c>
      <c r="L1319" s="26">
        <v>5.0</v>
      </c>
      <c r="M1319" s="26">
        <v>2.0</v>
      </c>
      <c r="N1319" s="26">
        <v>1.0</v>
      </c>
      <c r="O1319" s="26">
        <v>0.0</v>
      </c>
      <c r="P1319" s="26">
        <v>784.0</v>
      </c>
      <c r="Q1319" s="35">
        <v>39.0</v>
      </c>
      <c r="R1319" s="32">
        <v>45860.0</v>
      </c>
      <c r="S1319" s="32">
        <v>45823.0</v>
      </c>
      <c r="T1319" s="29"/>
      <c r="U1319" s="33"/>
      <c r="V1319" s="1"/>
    </row>
    <row r="1320" ht="24.0" customHeight="1">
      <c r="A1320" s="1"/>
      <c r="B1320" s="24" t="str">
        <f>HYPERLINK("https://www.compass.com/listing/802-lanark-road-queens-ny-11693/1597865728863941089/view?agent_id=610d3f3370540700019b0833","802 Lanark Road")</f>
        <v>802 Lanark Road</v>
      </c>
      <c r="C1320" s="25" t="s">
        <v>22</v>
      </c>
      <c r="D1320" s="26" t="s">
        <v>23</v>
      </c>
      <c r="E1320" s="27" t="str">
        <f>HYPERLINK("https://www.compass.com/building/802-lanark-rd-queens-ny-11693/293534104958285205/","802 Lanark Rd")</f>
        <v>802 Lanark Rd</v>
      </c>
      <c r="F1320" s="25" t="s">
        <v>202</v>
      </c>
      <c r="G1320" s="28">
        <v>245000.0</v>
      </c>
      <c r="H1320" s="28">
        <v>309.0</v>
      </c>
      <c r="I1320" s="28">
        <v>135.0</v>
      </c>
      <c r="J1320" s="28">
        <v>1619.0</v>
      </c>
      <c r="K1320" s="25" t="s">
        <v>97</v>
      </c>
      <c r="L1320" s="26">
        <v>5.0</v>
      </c>
      <c r="M1320" s="26">
        <v>2.0</v>
      </c>
      <c r="N1320" s="26">
        <v>1.0</v>
      </c>
      <c r="O1320" s="30"/>
      <c r="P1320" s="26">
        <v>792.0</v>
      </c>
      <c r="Q1320" s="35">
        <v>407.0</v>
      </c>
      <c r="R1320" s="32">
        <v>45855.0</v>
      </c>
      <c r="S1320" s="32">
        <v>45456.0</v>
      </c>
      <c r="T1320" s="29"/>
      <c r="U1320" s="33"/>
      <c r="V1320" s="1"/>
    </row>
    <row r="1321" ht="24.0" customHeight="1">
      <c r="A1321" s="1"/>
      <c r="B1321" s="24" t="str">
        <f>HYPERLINK("https://www.compass.com/listing/118-baden-place-staten-island-ny-10306/1863903937521482881/view?agent_id=610d3f3370540700019b0833","118 Baden Place")</f>
        <v>118 Baden Place</v>
      </c>
      <c r="C1321" s="25" t="s">
        <v>22</v>
      </c>
      <c r="D1321" s="26" t="s">
        <v>23</v>
      </c>
      <c r="E1321" s="27" t="str">
        <f>HYPERLINK("https://www.compass.com/building/118-baden-pl-staten-island-ny-10306/293417737886116325/","118 Baden Pl")</f>
        <v>118 Baden Pl</v>
      </c>
      <c r="F1321" s="25" t="s">
        <v>234</v>
      </c>
      <c r="G1321" s="28">
        <v>439999.0</v>
      </c>
      <c r="H1321" s="28">
        <v>524.0</v>
      </c>
      <c r="I1321" s="28">
        <v>234.0</v>
      </c>
      <c r="J1321" s="28">
        <v>2803.0</v>
      </c>
      <c r="K1321" s="25" t="s">
        <v>97</v>
      </c>
      <c r="L1321" s="26">
        <v>4.0</v>
      </c>
      <c r="M1321" s="26">
        <v>2.0</v>
      </c>
      <c r="N1321" s="26">
        <v>1.0</v>
      </c>
      <c r="O1321" s="26">
        <v>0.0</v>
      </c>
      <c r="P1321" s="26">
        <v>840.0</v>
      </c>
      <c r="Q1321" s="35">
        <v>39.0</v>
      </c>
      <c r="R1321" s="32">
        <v>45862.0</v>
      </c>
      <c r="S1321" s="32">
        <v>45823.0</v>
      </c>
      <c r="T1321" s="29"/>
      <c r="U1321" s="33"/>
      <c r="V1321" s="1"/>
    </row>
    <row r="1322" ht="24.0" customHeight="1">
      <c r="A1322" s="1"/>
      <c r="B1322" s="24" t="str">
        <f>HYPERLINK("https://www.compass.com/listing/162-41-powells-cove-boulevard-unit-2s-queens-ny-11357/1867542659870814945/view?agent_id=610d3f3370540700019b0833","162-41 Powells Cove Boulevard, Unit 2S")</f>
        <v>162-41 Powells Cove Boulevard, Unit 2S</v>
      </c>
      <c r="C1322" s="25" t="s">
        <v>22</v>
      </c>
      <c r="D1322" s="26" t="s">
        <v>23</v>
      </c>
      <c r="E1322" s="27" t="str">
        <f>HYPERLINK("https://www.compass.com/building/162-41-powells-cove-blvd-queens-ny-11357/293529804454568277/","162-41 Powells Cove Blvd")</f>
        <v>162-41 Powells Cove Blvd</v>
      </c>
      <c r="F1322" s="25" t="s">
        <v>94</v>
      </c>
      <c r="G1322" s="28">
        <v>405000.0</v>
      </c>
      <c r="H1322" s="28">
        <v>338.0</v>
      </c>
      <c r="I1322" s="28">
        <v>1501.0</v>
      </c>
      <c r="J1322" s="29"/>
      <c r="K1322" s="25" t="s">
        <v>25</v>
      </c>
      <c r="L1322" s="26">
        <v>4.0</v>
      </c>
      <c r="M1322" s="26">
        <v>2.0</v>
      </c>
      <c r="N1322" s="26">
        <v>1.0</v>
      </c>
      <c r="O1322" s="30"/>
      <c r="P1322" s="34">
        <v>1200.0</v>
      </c>
      <c r="Q1322" s="35">
        <v>34.0</v>
      </c>
      <c r="R1322" s="32">
        <v>45829.0</v>
      </c>
      <c r="S1322" s="32">
        <v>45828.0</v>
      </c>
      <c r="T1322" s="29"/>
      <c r="U1322" s="33"/>
      <c r="V1322" s="1"/>
    </row>
    <row r="1323" ht="24.0" customHeight="1">
      <c r="A1323" s="1"/>
      <c r="B1323" s="24" t="str">
        <f>HYPERLINK("https://www.compass.com/listing/61-20-grand-central-parkway-unit-b-706-queens-ny-11375/1868321939609380985/view?agent_id=610d3f3370540700019b0833","61-20 Grand Central Parkway, Unit B 706")</f>
        <v>61-20 Grand Central Parkway, Unit B 706</v>
      </c>
      <c r="C1323" s="25" t="s">
        <v>22</v>
      </c>
      <c r="D1323" s="26" t="s">
        <v>23</v>
      </c>
      <c r="E1323" s="27" t="str">
        <f>HYPERLINK("https://www.compass.com/building/61-20-grand-central-pkwy-queens-ny-11375/294847679905375861/","61-20 Grand Central Pkwy")</f>
        <v>61-20 Grand Central Pkwy</v>
      </c>
      <c r="F1323" s="25" t="s">
        <v>83</v>
      </c>
      <c r="G1323" s="28">
        <v>419000.0</v>
      </c>
      <c r="H1323" s="28">
        <v>436.0</v>
      </c>
      <c r="I1323" s="28">
        <v>2894.0</v>
      </c>
      <c r="J1323" s="29"/>
      <c r="K1323" s="25" t="s">
        <v>25</v>
      </c>
      <c r="L1323" s="26">
        <v>4.0</v>
      </c>
      <c r="M1323" s="26">
        <v>2.0</v>
      </c>
      <c r="N1323" s="26">
        <v>1.0</v>
      </c>
      <c r="O1323" s="30"/>
      <c r="P1323" s="26">
        <v>960.0</v>
      </c>
      <c r="Q1323" s="35">
        <v>34.0</v>
      </c>
      <c r="R1323" s="32">
        <v>45858.0</v>
      </c>
      <c r="S1323" s="32">
        <v>45829.0</v>
      </c>
      <c r="T1323" s="29"/>
      <c r="U1323" s="33"/>
      <c r="V1323" s="1"/>
    </row>
    <row r="1324" ht="24.0" customHeight="1">
      <c r="A1324" s="1"/>
      <c r="B1324" s="24" t="str">
        <f>HYPERLINK("https://www.compass.com/listing/97-25-64th-avenue-unit-f4-queens-ny-11374/1779299172775169857/view?agent_id=610d3f3370540700019b0833","97-25 64th Avenue, Unit F4")</f>
        <v>97-25 64th Avenue, Unit F4</v>
      </c>
      <c r="C1324" s="25" t="s">
        <v>22</v>
      </c>
      <c r="D1324" s="26" t="s">
        <v>23</v>
      </c>
      <c r="E1324" s="27" t="str">
        <f>HYPERLINK("https://www.compass.com/building/97-25-64th-ave-queens-ny-11374/293534848507757205/","97-25 64th Ave")</f>
        <v>97-25 64th Ave</v>
      </c>
      <c r="F1324" s="25" t="s">
        <v>166</v>
      </c>
      <c r="G1324" s="28">
        <v>495000.0</v>
      </c>
      <c r="H1324" s="28">
        <v>495.0</v>
      </c>
      <c r="I1324" s="28">
        <v>972.0</v>
      </c>
      <c r="J1324" s="28">
        <v>4212.0</v>
      </c>
      <c r="K1324" s="25" t="s">
        <v>28</v>
      </c>
      <c r="L1324" s="26">
        <v>4.0</v>
      </c>
      <c r="M1324" s="26">
        <v>2.0</v>
      </c>
      <c r="N1324" s="26">
        <v>1.0</v>
      </c>
      <c r="O1324" s="30"/>
      <c r="P1324" s="34">
        <v>1000.0</v>
      </c>
      <c r="Q1324" s="35">
        <v>156.0</v>
      </c>
      <c r="R1324" s="32">
        <v>45707.0</v>
      </c>
      <c r="S1324" s="32">
        <v>45706.0</v>
      </c>
      <c r="T1324" s="29"/>
      <c r="U1324" s="33"/>
      <c r="V1324" s="1"/>
    </row>
    <row r="1325" ht="24.0" customHeight="1">
      <c r="A1325" s="1"/>
      <c r="B1325" s="24" t="str">
        <f>HYPERLINK("https://www.compass.com/listing/37-28-85th-street-unit-32-queens-ny-11372/1791027046199699801/view?agent_id=610d3f3370540700019b0833","37-28 85th Street, Unit 32")</f>
        <v>37-28 85th Street, Unit 32</v>
      </c>
      <c r="C1325" s="25" t="s">
        <v>22</v>
      </c>
      <c r="D1325" s="26" t="s">
        <v>23</v>
      </c>
      <c r="E1325" s="27" t="str">
        <f>HYPERLINK("https://www.compass.com/building/37-28-85th-st-queens-ny-11372/307444705495204133/","37-28 85th St")</f>
        <v>37-28 85th St</v>
      </c>
      <c r="F1325" s="25" t="s">
        <v>33</v>
      </c>
      <c r="G1325" s="28">
        <v>669000.0</v>
      </c>
      <c r="H1325" s="28">
        <v>669.0</v>
      </c>
      <c r="I1325" s="28">
        <v>906.0</v>
      </c>
      <c r="J1325" s="29"/>
      <c r="K1325" s="25" t="s">
        <v>25</v>
      </c>
      <c r="L1325" s="26">
        <v>4.0</v>
      </c>
      <c r="M1325" s="26">
        <v>2.0</v>
      </c>
      <c r="N1325" s="26">
        <v>1.0</v>
      </c>
      <c r="O1325" s="30"/>
      <c r="P1325" s="34">
        <v>1000.0</v>
      </c>
      <c r="Q1325" s="35">
        <v>127.0</v>
      </c>
      <c r="R1325" s="32">
        <v>45843.0</v>
      </c>
      <c r="S1325" s="32">
        <v>45736.0</v>
      </c>
      <c r="T1325" s="29"/>
      <c r="U1325" s="33"/>
      <c r="V1325" s="1"/>
    </row>
    <row r="1326" ht="24.0" customHeight="1">
      <c r="A1326" s="1"/>
      <c r="B1326" s="24" t="str">
        <f>HYPERLINK("https://www.compass.com/listing/7401-shore-road-unit-6f-brooklyn-ny-11209/1813863479644605777/view?agent_id=610d3f3370540700019b0833","7401 Shore Road, Unit 6F")</f>
        <v>7401 Shore Road, Unit 6F</v>
      </c>
      <c r="C1326" s="25" t="s">
        <v>22</v>
      </c>
      <c r="D1326" s="26" t="s">
        <v>23</v>
      </c>
      <c r="E1326" s="27" t="str">
        <f>HYPERLINK("https://www.compass.com/building/7401-shore-rd-brooklyn-ny-11209/293528790238258773/","7401 Shore Rd")</f>
        <v>7401 Shore Rd</v>
      </c>
      <c r="F1326" s="25" t="s">
        <v>55</v>
      </c>
      <c r="G1326" s="28">
        <v>580000.0</v>
      </c>
      <c r="H1326" s="28">
        <v>611.0</v>
      </c>
      <c r="I1326" s="28">
        <v>1147.0</v>
      </c>
      <c r="J1326" s="29"/>
      <c r="K1326" s="25" t="s">
        <v>25</v>
      </c>
      <c r="L1326" s="26">
        <v>5.0</v>
      </c>
      <c r="M1326" s="26">
        <v>2.0</v>
      </c>
      <c r="N1326" s="26">
        <v>1.0</v>
      </c>
      <c r="O1326" s="30"/>
      <c r="P1326" s="26">
        <v>950.0</v>
      </c>
      <c r="Q1326" s="35">
        <v>109.0</v>
      </c>
      <c r="R1326" s="32">
        <v>45840.0</v>
      </c>
      <c r="S1326" s="32">
        <v>45754.0</v>
      </c>
      <c r="T1326" s="29"/>
      <c r="U1326" s="33"/>
      <c r="V1326" s="1"/>
    </row>
    <row r="1327" ht="24.0" customHeight="1">
      <c r="A1327" s="1"/>
      <c r="B1327" s="24" t="str">
        <f>HYPERLINK("https://www.compass.com/listing/73-19-217th-street-unit-nd-queens-ny-11364/1860240394612328137/view?agent_id=610d3f3370540700019b0833","73-19 217th Street, Unit ND")</f>
        <v>73-19 217th Street, Unit ND</v>
      </c>
      <c r="C1327" s="25" t="s">
        <v>22</v>
      </c>
      <c r="D1327" s="26" t="s">
        <v>23</v>
      </c>
      <c r="E1327" s="27" t="str">
        <f>HYPERLINK("https://www.compass.com/building/73-19-217th-st-queens-ny-11364/307444770431209173/","73-19 217th St")</f>
        <v>73-19 217th St</v>
      </c>
      <c r="F1327" s="25" t="s">
        <v>37</v>
      </c>
      <c r="G1327" s="28">
        <v>390000.0</v>
      </c>
      <c r="H1327" s="28">
        <v>488.0</v>
      </c>
      <c r="I1327" s="28">
        <v>1400.0</v>
      </c>
      <c r="J1327" s="29"/>
      <c r="K1327" s="25" t="s">
        <v>25</v>
      </c>
      <c r="L1327" s="26">
        <v>5.0</v>
      </c>
      <c r="M1327" s="26">
        <v>2.0</v>
      </c>
      <c r="N1327" s="26">
        <v>1.0</v>
      </c>
      <c r="O1327" s="30"/>
      <c r="P1327" s="26">
        <v>800.0</v>
      </c>
      <c r="Q1327" s="35">
        <v>45.0</v>
      </c>
      <c r="R1327" s="32">
        <v>45853.0</v>
      </c>
      <c r="S1327" s="32">
        <v>45818.0</v>
      </c>
      <c r="T1327" s="29"/>
      <c r="U1327" s="33"/>
      <c r="V1327" s="1"/>
    </row>
    <row r="1328" ht="24.0" customHeight="1">
      <c r="A1328" s="1"/>
      <c r="B1328" s="24" t="str">
        <f>HYPERLINK("https://www.compass.com/listing/3009-coddington-avenue-bronx-ny-10461/1784539881120812257/view?agent_id=610d3f3370540700019b0833","3009 Coddington Avenue")</f>
        <v>3009 Coddington Avenue</v>
      </c>
      <c r="C1328" s="25" t="s">
        <v>22</v>
      </c>
      <c r="D1328" s="26" t="s">
        <v>23</v>
      </c>
      <c r="E1328" s="27" t="str">
        <f>HYPERLINK("https://www.compass.com/building/3009-coddington-ave-bronx-ny-10461/293527961838095381/","3009 Coddington Ave")</f>
        <v>3009 Coddington Ave</v>
      </c>
      <c r="F1328" s="25" t="s">
        <v>253</v>
      </c>
      <c r="G1328" s="28">
        <v>500000.0</v>
      </c>
      <c r="H1328" s="28">
        <v>453.0</v>
      </c>
      <c r="I1328" s="28">
        <v>380.0</v>
      </c>
      <c r="J1328" s="28">
        <v>4555.0</v>
      </c>
      <c r="K1328" s="25" t="s">
        <v>97</v>
      </c>
      <c r="L1328" s="26">
        <v>6.0</v>
      </c>
      <c r="M1328" s="26">
        <v>2.0</v>
      </c>
      <c r="N1328" s="26">
        <v>1.0</v>
      </c>
      <c r="O1328" s="30"/>
      <c r="P1328" s="34">
        <v>1104.0</v>
      </c>
      <c r="Q1328" s="35">
        <v>144.0</v>
      </c>
      <c r="R1328" s="32">
        <v>45759.0</v>
      </c>
      <c r="S1328" s="32">
        <v>45719.0</v>
      </c>
      <c r="T1328" s="29"/>
      <c r="U1328" s="33"/>
      <c r="V1328" s="1"/>
    </row>
    <row r="1329" ht="24.0" customHeight="1">
      <c r="A1329" s="1"/>
      <c r="B1329" s="24" t="str">
        <f>HYPERLINK("https://www.compass.com/listing/54-bay-29th-street-unit-a12-brooklyn-ny-11214/1776619968911313913/view?agent_id=610d3f3370540700019b0833","54 Bay 29th Street, Unit A12")</f>
        <v>54 Bay 29th Street, Unit A12</v>
      </c>
      <c r="C1329" s="25" t="s">
        <v>22</v>
      </c>
      <c r="D1329" s="26" t="s">
        <v>23</v>
      </c>
      <c r="E1329" s="27" t="str">
        <f>HYPERLINK("https://www.compass.com/building/54-bay-29th-st-brooklyn-ny-11214/307431885437073045/","54 Bay 29th St")</f>
        <v>54 Bay 29th St</v>
      </c>
      <c r="F1329" s="25" t="s">
        <v>214</v>
      </c>
      <c r="G1329" s="28">
        <v>395000.0</v>
      </c>
      <c r="H1329" s="28">
        <v>395.0</v>
      </c>
      <c r="I1329" s="28">
        <v>1023.0</v>
      </c>
      <c r="J1329" s="28">
        <v>0.0</v>
      </c>
      <c r="K1329" s="25" t="s">
        <v>25</v>
      </c>
      <c r="L1329" s="26">
        <v>4.0</v>
      </c>
      <c r="M1329" s="26">
        <v>2.0</v>
      </c>
      <c r="N1329" s="26">
        <v>1.0</v>
      </c>
      <c r="O1329" s="30"/>
      <c r="P1329" s="34">
        <v>1000.0</v>
      </c>
      <c r="Q1329" s="35">
        <v>161.0</v>
      </c>
      <c r="R1329" s="32">
        <v>45703.0</v>
      </c>
      <c r="S1329" s="32">
        <v>45702.0</v>
      </c>
      <c r="T1329" s="29"/>
      <c r="U1329" s="33"/>
      <c r="V1329" s="1"/>
    </row>
    <row r="1330" ht="24.0" customHeight="1">
      <c r="A1330" s="1"/>
      <c r="B1330" s="24" t="str">
        <f>HYPERLINK("https://www.compass.com/listing/83-10-35th-avenue-unit-6e-queens-ny-11372/1714666209176747337/view?agent_id=610d3f3370540700019b0833","83-10 35th Avenue, Unit 6E")</f>
        <v>83-10 35th Avenue, Unit 6E</v>
      </c>
      <c r="C1330" s="25" t="s">
        <v>22</v>
      </c>
      <c r="D1330" s="26" t="s">
        <v>23</v>
      </c>
      <c r="E1330" s="27" t="str">
        <f>HYPERLINK("https://www.compass.com/building/the-fillmore-queens-ny/293530595215022741/","The Fillmore")</f>
        <v>The Fillmore</v>
      </c>
      <c r="F1330" s="25" t="s">
        <v>33</v>
      </c>
      <c r="G1330" s="28">
        <v>660000.0</v>
      </c>
      <c r="H1330" s="29"/>
      <c r="I1330" s="28">
        <v>1376.0</v>
      </c>
      <c r="J1330" s="28">
        <v>0.0</v>
      </c>
      <c r="K1330" s="25" t="s">
        <v>25</v>
      </c>
      <c r="L1330" s="26">
        <v>3.0</v>
      </c>
      <c r="M1330" s="26">
        <v>2.0</v>
      </c>
      <c r="N1330" s="26">
        <v>1.0</v>
      </c>
      <c r="O1330" s="26">
        <v>0.0</v>
      </c>
      <c r="P1330" s="30"/>
      <c r="Q1330" s="35">
        <v>221.0</v>
      </c>
      <c r="R1330" s="32">
        <v>45858.0</v>
      </c>
      <c r="S1330" s="32">
        <v>45617.0</v>
      </c>
      <c r="T1330" s="29"/>
      <c r="U1330" s="33"/>
      <c r="V1330" s="1"/>
    </row>
    <row r="1331" ht="24.0" customHeight="1">
      <c r="A1331" s="1"/>
      <c r="B1331" s="24" t="str">
        <f>HYPERLINK("https://www.compass.com/listing/9411-shore-road-unit-f-brooklyn-ny-11209/1776208898086016969/view?agent_id=610d3f3370540700019b0833","9411 Shore Road, Unit F")</f>
        <v>9411 Shore Road, Unit F</v>
      </c>
      <c r="C1331" s="25" t="s">
        <v>22</v>
      </c>
      <c r="D1331" s="26" t="s">
        <v>23</v>
      </c>
      <c r="E1331" s="27" t="str">
        <f>HYPERLINK("https://www.compass.com/building/9411-shore-rd-brooklyn-ny-11209/293528738262420165/","9411 Shore Rd")</f>
        <v>9411 Shore Rd</v>
      </c>
      <c r="F1331" s="25" t="s">
        <v>55</v>
      </c>
      <c r="G1331" s="28">
        <v>439000.0</v>
      </c>
      <c r="H1331" s="28">
        <v>516.0</v>
      </c>
      <c r="I1331" s="28">
        <v>1134.0</v>
      </c>
      <c r="J1331" s="29"/>
      <c r="K1331" s="25" t="s">
        <v>25</v>
      </c>
      <c r="L1331" s="26">
        <v>4.0</v>
      </c>
      <c r="M1331" s="26">
        <v>2.0</v>
      </c>
      <c r="N1331" s="26">
        <v>1.0</v>
      </c>
      <c r="O1331" s="26">
        <v>0.0</v>
      </c>
      <c r="P1331" s="26">
        <v>850.0</v>
      </c>
      <c r="Q1331" s="35">
        <v>143.0</v>
      </c>
      <c r="R1331" s="32">
        <v>45733.0</v>
      </c>
      <c r="S1331" s="32">
        <v>45702.0</v>
      </c>
      <c r="T1331" s="29"/>
      <c r="U1331" s="33"/>
      <c r="V1331" s="1"/>
    </row>
    <row r="1332" ht="24.0" customHeight="1">
      <c r="A1332" s="1"/>
      <c r="B1332" s="24" t="str">
        <f>HYPERLINK("https://www.compass.com/listing/151-05-cross-island-parkway-unit-1d-queens-ny-11357/1862281886658235985/view?agent_id=610d3f3370540700019b0833","151-05 Cross Island Parkway, Unit 1D")</f>
        <v>151-05 Cross Island Parkway, Unit 1D</v>
      </c>
      <c r="C1332" s="25" t="s">
        <v>22</v>
      </c>
      <c r="D1332" s="26" t="s">
        <v>23</v>
      </c>
      <c r="E1332" s="27" t="str">
        <f>HYPERLINK("https://www.compass.com/building/151-05-cross-island-pkwy-queens-ny-11357/293526104424151861/","151-05 Cross Island Pkwy")</f>
        <v>151-05 Cross Island Pkwy</v>
      </c>
      <c r="F1332" s="25" t="s">
        <v>219</v>
      </c>
      <c r="G1332" s="28">
        <v>399000.0</v>
      </c>
      <c r="H1332" s="28">
        <v>399.0</v>
      </c>
      <c r="I1332" s="28">
        <v>1367.0</v>
      </c>
      <c r="J1332" s="29"/>
      <c r="K1332" s="25" t="s">
        <v>25</v>
      </c>
      <c r="L1332" s="26">
        <v>5.0</v>
      </c>
      <c r="M1332" s="26">
        <v>2.0</v>
      </c>
      <c r="N1332" s="26">
        <v>1.0</v>
      </c>
      <c r="O1332" s="26">
        <v>0.0</v>
      </c>
      <c r="P1332" s="34">
        <v>1000.0</v>
      </c>
      <c r="Q1332" s="35">
        <v>42.0</v>
      </c>
      <c r="R1332" s="32">
        <v>45858.0</v>
      </c>
      <c r="S1332" s="32">
        <v>45821.0</v>
      </c>
      <c r="T1332" s="29"/>
      <c r="U1332" s="33"/>
      <c r="V1332" s="1"/>
    </row>
    <row r="1333" ht="24.0" customHeight="1">
      <c r="A1333" s="1"/>
      <c r="B1333" s="24" t="str">
        <f>HYPERLINK("https://www.compass.com/listing/70-aster-court-brooklyn-ny-11229/1846629717301167033/view?agent_id=610d3f3370540700019b0833","70 Aster Court")</f>
        <v>70 Aster Court</v>
      </c>
      <c r="C1333" s="25" t="s">
        <v>22</v>
      </c>
      <c r="D1333" s="26" t="s">
        <v>23</v>
      </c>
      <c r="E1333" s="27" t="str">
        <f>HYPERLINK("https://www.compass.com/building/70-aster-ct-brooklyn-ny-11229/293530402872686597/","70 Aster Ct")</f>
        <v>70 Aster Ct</v>
      </c>
      <c r="F1333" s="25" t="s">
        <v>240</v>
      </c>
      <c r="G1333" s="28">
        <v>499000.0</v>
      </c>
      <c r="H1333" s="28">
        <v>770.0</v>
      </c>
      <c r="I1333" s="28">
        <v>372.0</v>
      </c>
      <c r="J1333" s="28">
        <v>4460.0</v>
      </c>
      <c r="K1333" s="25" t="s">
        <v>159</v>
      </c>
      <c r="L1333" s="26">
        <v>4.0</v>
      </c>
      <c r="M1333" s="26">
        <v>2.0</v>
      </c>
      <c r="N1333" s="26">
        <v>1.0</v>
      </c>
      <c r="O1333" s="30"/>
      <c r="P1333" s="26">
        <v>648.0</v>
      </c>
      <c r="Q1333" s="35">
        <v>64.0</v>
      </c>
      <c r="R1333" s="32">
        <v>45800.0</v>
      </c>
      <c r="S1333" s="32">
        <v>45799.0</v>
      </c>
      <c r="T1333" s="29"/>
      <c r="U1333" s="33"/>
      <c r="V1333" s="1"/>
    </row>
    <row r="1334" ht="24.0" customHeight="1">
      <c r="A1334" s="1"/>
      <c r="B1334" s="24" t="str">
        <f>HYPERLINK("https://www.compass.com/listing/402-bay-ridge-parkway-unit-42-brooklyn-ny-11209/1672573448452504377/view?agent_id=610d3f3370540700019b0833","402 Bay Ridge Parkway, Unit 42")</f>
        <v>402 Bay Ridge Parkway, Unit 42</v>
      </c>
      <c r="C1334" s="25" t="s">
        <v>22</v>
      </c>
      <c r="D1334" s="26" t="s">
        <v>23</v>
      </c>
      <c r="E1334" s="27" t="str">
        <f>HYPERLINK("https://www.compass.com/building/402-bay-ridge-pkwy-brooklyn-ny-11209/307452965832723877/","402 Bay Ridge Pkwy")</f>
        <v>402 Bay Ridge Pkwy</v>
      </c>
      <c r="F1334" s="25" t="s">
        <v>55</v>
      </c>
      <c r="G1334" s="28">
        <v>448888.0</v>
      </c>
      <c r="H1334" s="28">
        <v>499.0</v>
      </c>
      <c r="I1334" s="28">
        <v>1209.0</v>
      </c>
      <c r="J1334" s="29"/>
      <c r="K1334" s="25" t="s">
        <v>25</v>
      </c>
      <c r="L1334" s="26">
        <v>4.0</v>
      </c>
      <c r="M1334" s="26">
        <v>2.0</v>
      </c>
      <c r="N1334" s="26">
        <v>1.0</v>
      </c>
      <c r="O1334" s="30"/>
      <c r="P1334" s="26">
        <v>900.0</v>
      </c>
      <c r="Q1334" s="35">
        <v>305.0</v>
      </c>
      <c r="R1334" s="32">
        <v>45806.0</v>
      </c>
      <c r="S1334" s="32">
        <v>45558.0</v>
      </c>
      <c r="T1334" s="29"/>
      <c r="U1334" s="33"/>
      <c r="V1334" s="1"/>
    </row>
    <row r="1335" ht="24.0" customHeight="1">
      <c r="A1335" s="1"/>
      <c r="B1335" s="24" t="str">
        <f>HYPERLINK("https://www.compass.com/listing/78-16-147th-street-unit-3c-queens-ny-11367/1842232084364652521/view?agent_id=610d3f3370540700019b0833","78-16 147th Street, Unit 3C")</f>
        <v>78-16 147th Street, Unit 3C</v>
      </c>
      <c r="C1335" s="25" t="s">
        <v>22</v>
      </c>
      <c r="D1335" s="26" t="s">
        <v>23</v>
      </c>
      <c r="E1335" s="27" t="str">
        <f>HYPERLINK("https://www.compass.com/building/78-16-147th-st-queens-ny-11367/307432879126341045/","78-16 147th St")</f>
        <v>78-16 147th St</v>
      </c>
      <c r="F1335" s="25" t="s">
        <v>142</v>
      </c>
      <c r="G1335" s="28">
        <v>309000.0</v>
      </c>
      <c r="H1335" s="28">
        <v>364.0</v>
      </c>
      <c r="I1335" s="28">
        <v>1006.0</v>
      </c>
      <c r="J1335" s="29"/>
      <c r="K1335" s="25" t="s">
        <v>25</v>
      </c>
      <c r="L1335" s="26">
        <v>4.0</v>
      </c>
      <c r="M1335" s="26">
        <v>2.0</v>
      </c>
      <c r="N1335" s="26">
        <v>1.0</v>
      </c>
      <c r="O1335" s="30"/>
      <c r="P1335" s="26">
        <v>850.0</v>
      </c>
      <c r="Q1335" s="35">
        <v>70.0</v>
      </c>
      <c r="R1335" s="32">
        <v>45858.0</v>
      </c>
      <c r="S1335" s="32">
        <v>45793.0</v>
      </c>
      <c r="T1335" s="29"/>
      <c r="U1335" s="33"/>
      <c r="V1335" s="1"/>
    </row>
    <row r="1336" ht="24.0" customHeight="1">
      <c r="A1336" s="1"/>
      <c r="B1336" s="24" t="str">
        <f>HYPERLINK("https://www.compass.com/listing/83-10-35th-avenue-unit-3o-queens-ny-11372/1784943659930184009/view?agent_id=610d3f3370540700019b0833","83-10 35th Avenue, Unit 3O")</f>
        <v>83-10 35th Avenue, Unit 3O</v>
      </c>
      <c r="C1336" s="25" t="s">
        <v>22</v>
      </c>
      <c r="D1336" s="26" t="s">
        <v>23</v>
      </c>
      <c r="E1336" s="27" t="str">
        <f>HYPERLINK("https://www.compass.com/building/the-fillmore-queens-ny/293530595215022741/","The Fillmore")</f>
        <v>The Fillmore</v>
      </c>
      <c r="F1336" s="25" t="s">
        <v>33</v>
      </c>
      <c r="G1336" s="28">
        <v>699000.0</v>
      </c>
      <c r="H1336" s="28">
        <v>635.0</v>
      </c>
      <c r="I1336" s="28">
        <v>1122.0</v>
      </c>
      <c r="J1336" s="29"/>
      <c r="K1336" s="25" t="s">
        <v>25</v>
      </c>
      <c r="L1336" s="26">
        <v>5.0</v>
      </c>
      <c r="M1336" s="26">
        <v>2.0</v>
      </c>
      <c r="N1336" s="26">
        <v>1.0</v>
      </c>
      <c r="O1336" s="30"/>
      <c r="P1336" s="34">
        <v>1100.0</v>
      </c>
      <c r="Q1336" s="35">
        <v>149.0</v>
      </c>
      <c r="R1336" s="32">
        <v>45861.0</v>
      </c>
      <c r="S1336" s="32">
        <v>45713.0</v>
      </c>
      <c r="T1336" s="29"/>
      <c r="U1336" s="33"/>
      <c r="V1336" s="1"/>
    </row>
    <row r="1337" ht="24.0" customHeight="1">
      <c r="A1337" s="1"/>
      <c r="B1337" s="24" t="str">
        <f>HYPERLINK("https://www.compass.com/listing/88-10-32nd-avenue-unit-201-queens-ny-11369/1840093955608290177/view?agent_id=610d3f3370540700019b0833","88-10 32nd Avenue, Unit 201")</f>
        <v>88-10 32nd Avenue, Unit 201</v>
      </c>
      <c r="C1337" s="25" t="s">
        <v>22</v>
      </c>
      <c r="D1337" s="26" t="s">
        <v>23</v>
      </c>
      <c r="E1337" s="27" t="str">
        <f>HYPERLINK("https://www.compass.com/building/88-10-32nd-ave-queens-ny-11369/307436228873693461/","88-10 32nd Ave")</f>
        <v>88-10 32nd Ave</v>
      </c>
      <c r="F1337" s="25" t="s">
        <v>33</v>
      </c>
      <c r="G1337" s="28">
        <v>369000.0</v>
      </c>
      <c r="H1337" s="28">
        <v>369.0</v>
      </c>
      <c r="I1337" s="28">
        <v>1007.0</v>
      </c>
      <c r="J1337" s="29"/>
      <c r="K1337" s="25" t="s">
        <v>25</v>
      </c>
      <c r="L1337" s="26">
        <v>5.0</v>
      </c>
      <c r="M1337" s="26">
        <v>2.0</v>
      </c>
      <c r="N1337" s="26">
        <v>1.0</v>
      </c>
      <c r="O1337" s="30"/>
      <c r="P1337" s="34">
        <v>1000.0</v>
      </c>
      <c r="Q1337" s="35">
        <v>73.0</v>
      </c>
      <c r="R1337" s="32">
        <v>45861.0</v>
      </c>
      <c r="S1337" s="32">
        <v>45790.0</v>
      </c>
      <c r="T1337" s="29"/>
      <c r="U1337" s="33"/>
      <c r="V1337" s="1"/>
    </row>
    <row r="1338" ht="24.0" customHeight="1">
      <c r="A1338" s="1"/>
      <c r="B1338" s="24" t="str">
        <f>HYPERLINK("https://www.compass.com/listing/37-52-85th-street-unit-2-queens-ny-11372/1816723190556544649/view?agent_id=610d3f3370540700019b0833","37-52 85th Street, Unit 2")</f>
        <v>37-52 85th Street, Unit 2</v>
      </c>
      <c r="C1338" s="25" t="s">
        <v>22</v>
      </c>
      <c r="D1338" s="26" t="s">
        <v>23</v>
      </c>
      <c r="E1338" s="27" t="str">
        <f>HYPERLINK("https://www.compass.com/building/37-52-85th-st-queens-ny-11372/307445067329217317/","37-52 85th St")</f>
        <v>37-52 85th St</v>
      </c>
      <c r="F1338" s="25" t="s">
        <v>33</v>
      </c>
      <c r="G1338" s="28">
        <v>635000.0</v>
      </c>
      <c r="H1338" s="28">
        <v>611.0</v>
      </c>
      <c r="I1338" s="28">
        <v>1030.0</v>
      </c>
      <c r="J1338" s="29"/>
      <c r="K1338" s="25" t="s">
        <v>25</v>
      </c>
      <c r="L1338" s="26">
        <v>5.0</v>
      </c>
      <c r="M1338" s="26">
        <v>2.0</v>
      </c>
      <c r="N1338" s="26">
        <v>1.0</v>
      </c>
      <c r="O1338" s="30"/>
      <c r="P1338" s="34">
        <v>1040.0</v>
      </c>
      <c r="Q1338" s="35">
        <v>105.0</v>
      </c>
      <c r="R1338" s="32">
        <v>45860.0</v>
      </c>
      <c r="S1338" s="32">
        <v>45758.0</v>
      </c>
      <c r="T1338" s="29"/>
      <c r="U1338" s="33"/>
      <c r="V1338" s="1"/>
    </row>
    <row r="1339" ht="24.0" customHeight="1">
      <c r="A1339" s="1"/>
      <c r="B1339" s="24" t="str">
        <f>HYPERLINK("https://www.compass.com/listing/166-35-9th-avenue-unit-2c-queens-ny-11357/1864612642030657145/view?agent_id=610d3f3370540700019b0833","166-35 9th Avenue, Unit 2C")</f>
        <v>166-35 9th Avenue, Unit 2C</v>
      </c>
      <c r="C1339" s="25" t="s">
        <v>22</v>
      </c>
      <c r="D1339" s="26" t="s">
        <v>23</v>
      </c>
      <c r="E1339" s="27" t="str">
        <f>HYPERLINK("https://www.compass.com/building/166-35-9th-ave-queens-ny-11357/293527773471955621/","166-35 9th Ave")</f>
        <v>166-35 9th Ave</v>
      </c>
      <c r="F1339" s="25" t="s">
        <v>94</v>
      </c>
      <c r="G1339" s="28">
        <v>399000.0</v>
      </c>
      <c r="H1339" s="28">
        <v>399.0</v>
      </c>
      <c r="I1339" s="28">
        <v>1370.0</v>
      </c>
      <c r="J1339" s="29"/>
      <c r="K1339" s="25" t="s">
        <v>25</v>
      </c>
      <c r="L1339" s="26">
        <v>5.0</v>
      </c>
      <c r="M1339" s="26">
        <v>2.0</v>
      </c>
      <c r="N1339" s="26">
        <v>1.0</v>
      </c>
      <c r="O1339" s="30"/>
      <c r="P1339" s="34">
        <v>1000.0</v>
      </c>
      <c r="Q1339" s="35">
        <v>39.0</v>
      </c>
      <c r="R1339" s="32">
        <v>45856.0</v>
      </c>
      <c r="S1339" s="32">
        <v>45824.0</v>
      </c>
      <c r="T1339" s="29"/>
      <c r="U1339" s="33"/>
      <c r="V1339" s="1"/>
    </row>
    <row r="1340" ht="24.0" customHeight="1">
      <c r="A1340" s="1"/>
      <c r="B1340" s="24" t="str">
        <f>HYPERLINK("https://www.compass.com/listing/90-50-union-turnpike-unit-17k-queens-ny-11385/1837810276397859737/view?agent_id=610d3f3370540700019b0833","90-50 Union Turnpike, Unit 17K")</f>
        <v>90-50 Union Turnpike, Unit 17K</v>
      </c>
      <c r="C1340" s="25" t="s">
        <v>22</v>
      </c>
      <c r="D1340" s="26" t="s">
        <v>23</v>
      </c>
      <c r="E1340" s="27" t="str">
        <f>HYPERLINK("https://www.compass.com/building/90-50-union-tpke-queens-ny-11385/307460653790633365/","90-50 Union Tpke")</f>
        <v>90-50 Union Tpke</v>
      </c>
      <c r="F1340" s="25" t="s">
        <v>168</v>
      </c>
      <c r="G1340" s="28">
        <v>375000.0</v>
      </c>
      <c r="H1340" s="29"/>
      <c r="I1340" s="28">
        <v>2542.0</v>
      </c>
      <c r="J1340" s="29"/>
      <c r="K1340" s="25" t="s">
        <v>25</v>
      </c>
      <c r="L1340" s="26">
        <v>4.0</v>
      </c>
      <c r="M1340" s="26">
        <v>2.0</v>
      </c>
      <c r="N1340" s="26">
        <v>1.0</v>
      </c>
      <c r="O1340" s="30"/>
      <c r="P1340" s="30"/>
      <c r="Q1340" s="35">
        <v>75.0</v>
      </c>
      <c r="R1340" s="32">
        <v>45829.0</v>
      </c>
      <c r="S1340" s="32">
        <v>45787.0</v>
      </c>
      <c r="T1340" s="29"/>
      <c r="U1340" s="33"/>
      <c r="V1340" s="1"/>
    </row>
    <row r="1341" ht="24.0" customHeight="1">
      <c r="A1341" s="1"/>
      <c r="B1341" s="24" t="str">
        <f>HYPERLINK("https://www.compass.com/listing/9040-fort-hamilton-parkway-unit-3k-brooklyn-ny-11209/1803717038856998673/view?agent_id=610d3f3370540700019b0833","9040 Fort Hamilton Parkway, Unit 3K")</f>
        <v>9040 Fort Hamilton Parkway, Unit 3K</v>
      </c>
      <c r="C1341" s="25" t="s">
        <v>22</v>
      </c>
      <c r="D1341" s="26" t="s">
        <v>23</v>
      </c>
      <c r="E1341" s="27" t="str">
        <f>HYPERLINK("https://www.compass.com/building/9040-fort-hamilton-pkwy-brooklyn-ny-11209/307456737812489621/","9040 Fort Hamilton Pkwy")</f>
        <v>9040 Fort Hamilton Pkwy</v>
      </c>
      <c r="F1341" s="25" t="s">
        <v>55</v>
      </c>
      <c r="G1341" s="28">
        <v>449999.0</v>
      </c>
      <c r="H1341" s="28">
        <v>452.0</v>
      </c>
      <c r="I1341" s="28">
        <v>1031.0</v>
      </c>
      <c r="J1341" s="29"/>
      <c r="K1341" s="25" t="s">
        <v>25</v>
      </c>
      <c r="L1341" s="26">
        <v>5.0</v>
      </c>
      <c r="M1341" s="26">
        <v>2.0</v>
      </c>
      <c r="N1341" s="26">
        <v>1.0</v>
      </c>
      <c r="O1341" s="30"/>
      <c r="P1341" s="26">
        <v>996.0</v>
      </c>
      <c r="Q1341" s="35">
        <v>122.0</v>
      </c>
      <c r="R1341" s="32">
        <v>45828.0</v>
      </c>
      <c r="S1341" s="32">
        <v>45740.0</v>
      </c>
      <c r="T1341" s="29"/>
      <c r="U1341" s="33"/>
      <c r="V1341" s="1"/>
    </row>
    <row r="1342" ht="24.0" customHeight="1">
      <c r="A1342" s="1"/>
      <c r="B1342" s="24" t="str">
        <f>HYPERLINK("https://www.compass.com/listing/1220-east-223rd-street-unit-1-bronx-ny-10466/1771184138469816401/view?agent_id=610d3f3370540700019b0833","1220 East 223rd Street, Unit 1")</f>
        <v>1220 East 223rd Street, Unit 1</v>
      </c>
      <c r="C1342" s="25" t="s">
        <v>22</v>
      </c>
      <c r="D1342" s="26" t="s">
        <v>23</v>
      </c>
      <c r="E1342" s="27" t="str">
        <f>HYPERLINK("https://www.compass.com/building/1220-e-223rd-st-bronx-ny-10466/293534565903957589/","1220 E 223rd St")</f>
        <v>1220 E 223rd St</v>
      </c>
      <c r="F1342" s="25" t="s">
        <v>282</v>
      </c>
      <c r="G1342" s="28">
        <v>799000.0</v>
      </c>
      <c r="H1342" s="28">
        <v>2537.0</v>
      </c>
      <c r="I1342" s="28">
        <v>417.0</v>
      </c>
      <c r="J1342" s="28">
        <v>5000.0</v>
      </c>
      <c r="K1342" s="25" t="s">
        <v>97</v>
      </c>
      <c r="L1342" s="26">
        <v>4.0</v>
      </c>
      <c r="M1342" s="26">
        <v>2.0</v>
      </c>
      <c r="N1342" s="26">
        <v>1.0</v>
      </c>
      <c r="O1342" s="30"/>
      <c r="P1342" s="26">
        <v>315.0</v>
      </c>
      <c r="Q1342" s="35">
        <v>168.0</v>
      </c>
      <c r="R1342" s="32">
        <v>45795.0</v>
      </c>
      <c r="S1342" s="32">
        <v>45695.0</v>
      </c>
      <c r="T1342" s="29"/>
      <c r="U1342" s="33"/>
      <c r="V1342" s="1"/>
    </row>
    <row r="1343" ht="24.0" customHeight="1">
      <c r="A1343" s="1"/>
      <c r="B1343" s="24" t="str">
        <f>HYPERLINK("https://www.compass.com/listing/8502-fort-hamilton-parkway-unit-6e-brooklyn-ny-11209/1747963690303608673/view?agent_id=610d3f3370540700019b0833","8502 Fort Hamilton Parkway, Unit 6E")</f>
        <v>8502 Fort Hamilton Parkway, Unit 6E</v>
      </c>
      <c r="C1343" s="25" t="s">
        <v>22</v>
      </c>
      <c r="D1343" s="26" t="s">
        <v>23</v>
      </c>
      <c r="E1343" s="27" t="str">
        <f>HYPERLINK("https://www.compass.com/building/8502-fort-hamilton-pkwy-brooklyn-ny-11209/307435671878412373/","8502 Fort Hamilton Pkwy")</f>
        <v>8502 Fort Hamilton Pkwy</v>
      </c>
      <c r="F1343" s="25" t="s">
        <v>55</v>
      </c>
      <c r="G1343" s="28">
        <v>549000.0</v>
      </c>
      <c r="H1343" s="28">
        <v>537.0</v>
      </c>
      <c r="I1343" s="28">
        <v>950.0</v>
      </c>
      <c r="J1343" s="29"/>
      <c r="K1343" s="25" t="s">
        <v>25</v>
      </c>
      <c r="L1343" s="26">
        <v>4.0</v>
      </c>
      <c r="M1343" s="26">
        <v>2.0</v>
      </c>
      <c r="N1343" s="26">
        <v>1.0</v>
      </c>
      <c r="O1343" s="26">
        <v>0.0</v>
      </c>
      <c r="P1343" s="34">
        <v>1022.0</v>
      </c>
      <c r="Q1343" s="35">
        <v>200.0</v>
      </c>
      <c r="R1343" s="32">
        <v>45808.0</v>
      </c>
      <c r="S1343" s="32">
        <v>45663.0</v>
      </c>
      <c r="T1343" s="29"/>
      <c r="U1343" s="33"/>
      <c r="V1343" s="1"/>
    </row>
    <row r="1344" ht="24.0" customHeight="1">
      <c r="A1344" s="1"/>
      <c r="B1344" s="24" t="str">
        <f>HYPERLINK("https://www.compass.com/listing/1811-123rd-street-unit-4f-queens-ny-11356/1865316467146076073/view?agent_id=610d3f3370540700019b0833","1811 123rd Street, Unit 4F")</f>
        <v>1811 123rd Street, Unit 4F</v>
      </c>
      <c r="C1344" s="25" t="s">
        <v>22</v>
      </c>
      <c r="D1344" s="26" t="s">
        <v>23</v>
      </c>
      <c r="E1344" s="27" t="str">
        <f>HYPERLINK("https://www.compass.com/building/1811-123rd-st-queens-ny-11356/377675182144908853/","1811 123rd St")</f>
        <v>1811 123rd St</v>
      </c>
      <c r="F1344" s="25" t="s">
        <v>227</v>
      </c>
      <c r="G1344" s="28">
        <v>459000.0</v>
      </c>
      <c r="H1344" s="28">
        <v>665.0</v>
      </c>
      <c r="I1344" s="28">
        <v>671.0</v>
      </c>
      <c r="J1344" s="28">
        <v>5407.0</v>
      </c>
      <c r="K1344" s="25" t="s">
        <v>28</v>
      </c>
      <c r="L1344" s="26">
        <v>4.0</v>
      </c>
      <c r="M1344" s="26">
        <v>2.0</v>
      </c>
      <c r="N1344" s="26">
        <v>1.0</v>
      </c>
      <c r="O1344" s="30"/>
      <c r="P1344" s="26">
        <v>690.0</v>
      </c>
      <c r="Q1344" s="35">
        <v>38.0</v>
      </c>
      <c r="R1344" s="32">
        <v>45861.0</v>
      </c>
      <c r="S1344" s="32">
        <v>45825.0</v>
      </c>
      <c r="T1344" s="29"/>
      <c r="U1344" s="33"/>
      <c r="V1344" s="1"/>
    </row>
    <row r="1345" ht="24.0" customHeight="1">
      <c r="A1345" s="1"/>
      <c r="B1345" s="24" t="str">
        <f>HYPERLINK("https://www.compass.com/listing/4-lake-avenue-brooklyn-ny-11235/1849014846498038057/view?agent_id=610d3f3370540700019b0833","4 Lake Avenue")</f>
        <v>4 Lake Avenue</v>
      </c>
      <c r="C1345" s="25" t="s">
        <v>22</v>
      </c>
      <c r="D1345" s="26" t="s">
        <v>23</v>
      </c>
      <c r="E1345" s="27" t="str">
        <f>HYPERLINK("https://www.compass.com/building/4-lake-ave-brooklyn-ny-11235/293527070498200501/","4 Lake Ave")</f>
        <v>4 Lake Ave</v>
      </c>
      <c r="F1345" s="25" t="s">
        <v>70</v>
      </c>
      <c r="G1345" s="28">
        <v>549000.0</v>
      </c>
      <c r="H1345" s="28">
        <v>888.0</v>
      </c>
      <c r="I1345" s="28">
        <v>292.0</v>
      </c>
      <c r="J1345" s="28">
        <v>3505.0</v>
      </c>
      <c r="K1345" s="25" t="s">
        <v>159</v>
      </c>
      <c r="L1345" s="26">
        <v>5.0</v>
      </c>
      <c r="M1345" s="26">
        <v>2.0</v>
      </c>
      <c r="N1345" s="26">
        <v>1.0</v>
      </c>
      <c r="O1345" s="30"/>
      <c r="P1345" s="26">
        <v>618.0</v>
      </c>
      <c r="Q1345" s="35">
        <v>61.0</v>
      </c>
      <c r="R1345" s="32">
        <v>45829.0</v>
      </c>
      <c r="S1345" s="32">
        <v>45802.0</v>
      </c>
      <c r="T1345" s="29"/>
      <c r="U1345" s="33"/>
      <c r="V1345" s="1"/>
    </row>
    <row r="1346" ht="24.0" customHeight="1">
      <c r="A1346" s="1"/>
      <c r="B1346" s="24" t="str">
        <f>HYPERLINK("https://www.compass.com/listing/196-66-67th-avenue-unit-1-queens-ny-11365/1855346421217671657/view?agent_id=610d3f3370540700019b0833","196-66 67th Avenue, Unit 1")</f>
        <v>196-66 67th Avenue, Unit 1</v>
      </c>
      <c r="C1346" s="25" t="s">
        <v>22</v>
      </c>
      <c r="D1346" s="26" t="s">
        <v>23</v>
      </c>
      <c r="E1346" s="26" t="s">
        <v>283</v>
      </c>
      <c r="F1346" s="25" t="s">
        <v>284</v>
      </c>
      <c r="G1346" s="28">
        <v>389000.0</v>
      </c>
      <c r="H1346" s="28">
        <v>519.0</v>
      </c>
      <c r="I1346" s="28">
        <v>1280.0</v>
      </c>
      <c r="J1346" s="29"/>
      <c r="K1346" s="25" t="s">
        <v>25</v>
      </c>
      <c r="L1346" s="26">
        <v>4.0</v>
      </c>
      <c r="M1346" s="26">
        <v>2.0</v>
      </c>
      <c r="N1346" s="26">
        <v>1.0</v>
      </c>
      <c r="O1346" s="30"/>
      <c r="P1346" s="26">
        <v>750.0</v>
      </c>
      <c r="Q1346" s="35">
        <v>52.0</v>
      </c>
      <c r="R1346" s="32">
        <v>45812.0</v>
      </c>
      <c r="S1346" s="32">
        <v>45811.0</v>
      </c>
      <c r="T1346" s="29"/>
      <c r="U1346" s="33"/>
      <c r="V1346" s="1"/>
    </row>
    <row r="1347" ht="24.0" customHeight="1">
      <c r="A1347" s="1"/>
      <c r="B1347" s="24" t="str">
        <f>HYPERLINK("https://www.compass.com/listing/199-02-17th-avenue-unit-2230-queens-ny-11357/1861420451173186281/view?agent_id=610d3f3370540700019b0833","199-02 17th Avenue, Unit 2230")</f>
        <v>199-02 17th Avenue, Unit 2230</v>
      </c>
      <c r="C1347" s="25" t="s">
        <v>22</v>
      </c>
      <c r="D1347" s="26" t="s">
        <v>23</v>
      </c>
      <c r="E1347" s="27" t="str">
        <f>HYPERLINK("https://www.compass.com/building/199-02-17th-ave-queens-ny-11357/445078746094265101/","199-02 17th Ave")</f>
        <v>199-02 17th Ave</v>
      </c>
      <c r="F1347" s="25" t="s">
        <v>164</v>
      </c>
      <c r="G1347" s="28">
        <v>400000.0</v>
      </c>
      <c r="H1347" s="29"/>
      <c r="I1347" s="28">
        <v>1223.0</v>
      </c>
      <c r="J1347" s="28">
        <v>0.0</v>
      </c>
      <c r="K1347" s="25" t="s">
        <v>25</v>
      </c>
      <c r="L1347" s="26">
        <v>5.0</v>
      </c>
      <c r="M1347" s="26">
        <v>2.0</v>
      </c>
      <c r="N1347" s="26">
        <v>1.0</v>
      </c>
      <c r="O1347" s="26">
        <v>0.0</v>
      </c>
      <c r="P1347" s="26">
        <v>0.0</v>
      </c>
      <c r="Q1347" s="35">
        <v>39.0</v>
      </c>
      <c r="R1347" s="32">
        <v>45824.0</v>
      </c>
      <c r="S1347" s="32">
        <v>45824.0</v>
      </c>
      <c r="T1347" s="29"/>
      <c r="U1347" s="33"/>
      <c r="V1347" s="1"/>
    </row>
    <row r="1348" ht="24.0" customHeight="1">
      <c r="A1348" s="1"/>
      <c r="B1348" s="24" t="str">
        <f>HYPERLINK("https://www.compass.com/listing/75-bartlett-place-brooklyn-ny-11229/1856048392186485681/view?agent_id=610d3f3370540700019b0833","75 Bartlett Place")</f>
        <v>75 Bartlett Place</v>
      </c>
      <c r="C1348" s="25" t="s">
        <v>22</v>
      </c>
      <c r="D1348" s="26" t="s">
        <v>23</v>
      </c>
      <c r="E1348" s="27" t="str">
        <f>HYPERLINK("https://www.compass.com/building/75-bartlett-pl-brooklyn-ny-11229/293533278034529317/","75 Bartlett Pl")</f>
        <v>75 Bartlett Pl</v>
      </c>
      <c r="F1348" s="25" t="s">
        <v>240</v>
      </c>
      <c r="G1348" s="28">
        <v>675000.0</v>
      </c>
      <c r="H1348" s="28">
        <v>1014.0</v>
      </c>
      <c r="I1348" s="28">
        <v>398.0</v>
      </c>
      <c r="J1348" s="28">
        <v>4772.0</v>
      </c>
      <c r="K1348" s="25" t="s">
        <v>159</v>
      </c>
      <c r="L1348" s="26">
        <v>5.0</v>
      </c>
      <c r="M1348" s="26">
        <v>2.0</v>
      </c>
      <c r="N1348" s="26">
        <v>1.0</v>
      </c>
      <c r="O1348" s="30"/>
      <c r="P1348" s="26">
        <v>666.0</v>
      </c>
      <c r="Q1348" s="35">
        <v>51.0</v>
      </c>
      <c r="R1348" s="32">
        <v>45816.0</v>
      </c>
      <c r="S1348" s="32">
        <v>45812.0</v>
      </c>
      <c r="T1348" s="29"/>
      <c r="U1348" s="33"/>
      <c r="V1348" s="1"/>
    </row>
    <row r="1349" ht="24.0" customHeight="1">
      <c r="A1349" s="1"/>
      <c r="B1349" s="24" t="str">
        <f>HYPERLINK("https://www.compass.com/listing/26-oliver-street-unit-2a-brooklyn-ny-11209/1649533623200607025/view?agent_id=610d3f3370540700019b0833","26 Oliver Street, Unit 2A")</f>
        <v>26 Oliver Street, Unit 2A</v>
      </c>
      <c r="C1349" s="25" t="s">
        <v>22</v>
      </c>
      <c r="D1349" s="26" t="s">
        <v>23</v>
      </c>
      <c r="E1349" s="27" t="str">
        <f>HYPERLINK("https://www.compass.com/building/26-oliver-st-brooklyn-ny-11209/293531480473324565/","26 Oliver St")</f>
        <v>26 Oliver St</v>
      </c>
      <c r="F1349" s="25" t="s">
        <v>55</v>
      </c>
      <c r="G1349" s="28">
        <v>539000.0</v>
      </c>
      <c r="H1349" s="28">
        <v>719.0</v>
      </c>
      <c r="I1349" s="28">
        <v>764.0</v>
      </c>
      <c r="J1349" s="29"/>
      <c r="K1349" s="25" t="s">
        <v>25</v>
      </c>
      <c r="L1349" s="26">
        <v>4.0</v>
      </c>
      <c r="M1349" s="26">
        <v>2.0</v>
      </c>
      <c r="N1349" s="26">
        <v>1.0</v>
      </c>
      <c r="O1349" s="30"/>
      <c r="P1349" s="26">
        <v>750.0</v>
      </c>
      <c r="Q1349" s="35">
        <v>336.0</v>
      </c>
      <c r="R1349" s="32">
        <v>45825.0</v>
      </c>
      <c r="S1349" s="32">
        <v>45527.0</v>
      </c>
      <c r="T1349" s="29"/>
      <c r="U1349" s="33"/>
      <c r="V1349" s="1"/>
    </row>
    <row r="1350" ht="24.0" customHeight="1">
      <c r="A1350" s="1"/>
      <c r="B1350" s="24" t="str">
        <f>HYPERLINK("https://www.compass.com/listing/155-03-79th-street-unit-188-queens-ny-11414/1859347907610618745/view?agent_id=610d3f3370540700019b0833","155-03 79th Street, Unit 188")</f>
        <v>155-03 79th Street, Unit 188</v>
      </c>
      <c r="C1350" s="25" t="s">
        <v>22</v>
      </c>
      <c r="D1350" s="26" t="s">
        <v>23</v>
      </c>
      <c r="E1350" s="27" t="str">
        <f>HYPERLINK("https://www.compass.com/building/155-03-79th-st-queens-ny-11414/307448065711453461/","155-03 79th St")</f>
        <v>155-03 79th St</v>
      </c>
      <c r="F1350" s="25" t="s">
        <v>212</v>
      </c>
      <c r="G1350" s="28">
        <v>349000.0</v>
      </c>
      <c r="H1350" s="28">
        <v>465.0</v>
      </c>
      <c r="I1350" s="28">
        <v>1044.0</v>
      </c>
      <c r="J1350" s="29"/>
      <c r="K1350" s="25" t="s">
        <v>25</v>
      </c>
      <c r="L1350" s="26">
        <v>4.0</v>
      </c>
      <c r="M1350" s="26">
        <v>2.0</v>
      </c>
      <c r="N1350" s="26">
        <v>1.0</v>
      </c>
      <c r="O1350" s="30"/>
      <c r="P1350" s="26">
        <v>750.0</v>
      </c>
      <c r="Q1350" s="35">
        <v>46.0</v>
      </c>
      <c r="R1350" s="32">
        <v>45851.0</v>
      </c>
      <c r="S1350" s="32">
        <v>45817.0</v>
      </c>
      <c r="T1350" s="29"/>
      <c r="U1350" s="33"/>
      <c r="V1350" s="1"/>
    </row>
    <row r="1351" ht="24.0" customHeight="1">
      <c r="A1351" s="1"/>
      <c r="B1351" s="24" t="str">
        <f>HYPERLINK("https://www.compass.com/listing/76-15-35th-avenue-unit-5h-queens-ny-11372/1719518138352218905/view?agent_id=610d3f3370540700019b0833","76-15 35th Avenue, Unit 5H")</f>
        <v>76-15 35th Avenue, Unit 5H</v>
      </c>
      <c r="C1351" s="25" t="s">
        <v>22</v>
      </c>
      <c r="D1351" s="26" t="s">
        <v>23</v>
      </c>
      <c r="E1351" s="27" t="str">
        <f>HYPERLINK("https://www.compass.com/building/76-15-35th-ave-queens-ny-11372/293531119427607077/","76-15 35th Ave")</f>
        <v>76-15 35th Ave</v>
      </c>
      <c r="F1351" s="25" t="s">
        <v>33</v>
      </c>
      <c r="G1351" s="28">
        <v>650000.0</v>
      </c>
      <c r="H1351" s="28">
        <v>618.0</v>
      </c>
      <c r="I1351" s="28">
        <v>955.0</v>
      </c>
      <c r="J1351" s="28">
        <v>2952.0</v>
      </c>
      <c r="K1351" s="25" t="s">
        <v>28</v>
      </c>
      <c r="L1351" s="26">
        <v>3.0</v>
      </c>
      <c r="M1351" s="26">
        <v>2.0</v>
      </c>
      <c r="N1351" s="26">
        <v>1.0</v>
      </c>
      <c r="O1351" s="26">
        <v>0.0</v>
      </c>
      <c r="P1351" s="34">
        <v>1052.0</v>
      </c>
      <c r="Q1351" s="35">
        <v>228.0</v>
      </c>
      <c r="R1351" s="32">
        <v>45862.0</v>
      </c>
      <c r="S1351" s="32">
        <v>45628.0</v>
      </c>
      <c r="T1351" s="29"/>
      <c r="U1351" s="33"/>
      <c r="V1351" s="1"/>
    </row>
    <row r="1352" ht="24.0" customHeight="1">
      <c r="A1352" s="1"/>
      <c r="B1352" s="24" t="str">
        <f>HYPERLINK("https://www.compass.com/listing/60-11-broadway-unit-6k-queens-ny-11377/1768984291636594041/view?agent_id=610d3f3370540700019b0833","60-11 Broadway, Unit 6K")</f>
        <v>60-11 Broadway, Unit 6K</v>
      </c>
      <c r="C1352" s="25" t="s">
        <v>22</v>
      </c>
      <c r="D1352" s="26" t="s">
        <v>23</v>
      </c>
      <c r="E1352" s="27" t="str">
        <f>HYPERLINK("https://www.compass.com/building/the-henderson-queens-ny/293527805868641173/","The Henderson")</f>
        <v>The Henderson</v>
      </c>
      <c r="F1352" s="25" t="s">
        <v>137</v>
      </c>
      <c r="G1352" s="28">
        <v>535000.0</v>
      </c>
      <c r="H1352" s="28">
        <v>629.0</v>
      </c>
      <c r="I1352" s="28">
        <v>1139.0</v>
      </c>
      <c r="J1352" s="29"/>
      <c r="K1352" s="25" t="s">
        <v>25</v>
      </c>
      <c r="L1352" s="26">
        <v>4.0</v>
      </c>
      <c r="M1352" s="26">
        <v>2.0</v>
      </c>
      <c r="N1352" s="26">
        <v>1.0</v>
      </c>
      <c r="O1352" s="30"/>
      <c r="P1352" s="26">
        <v>850.0</v>
      </c>
      <c r="Q1352" s="35">
        <v>132.0</v>
      </c>
      <c r="R1352" s="32">
        <v>45817.0</v>
      </c>
      <c r="S1352" s="32">
        <v>45692.0</v>
      </c>
      <c r="T1352" s="29"/>
      <c r="U1352" s="33"/>
      <c r="V1352" s="1"/>
    </row>
    <row r="1353" ht="24.0" customHeight="1">
      <c r="A1353" s="1"/>
      <c r="B1353" s="24" t="str">
        <f>HYPERLINK("https://www.compass.com/listing/61-25-98th-street-unit-2h-queens-ny-11374/1863302989992311929/view?agent_id=610d3f3370540700019b0833","61-25 98th Street, Unit 2H")</f>
        <v>61-25 98th Street, Unit 2H</v>
      </c>
      <c r="C1353" s="25" t="s">
        <v>22</v>
      </c>
      <c r="D1353" s="26" t="s">
        <v>23</v>
      </c>
      <c r="E1353" s="27" t="str">
        <f>HYPERLINK("https://www.compass.com/building/61-25-98th-st-queens-ny-11374/293526900880480501/","61-25 98th St")</f>
        <v>61-25 98th St</v>
      </c>
      <c r="F1353" s="25" t="s">
        <v>166</v>
      </c>
      <c r="G1353" s="28">
        <v>450000.0</v>
      </c>
      <c r="H1353" s="28">
        <v>474.0</v>
      </c>
      <c r="I1353" s="28">
        <v>950.0</v>
      </c>
      <c r="J1353" s="29"/>
      <c r="K1353" s="25" t="s">
        <v>25</v>
      </c>
      <c r="L1353" s="26">
        <v>7.0</v>
      </c>
      <c r="M1353" s="26">
        <v>2.0</v>
      </c>
      <c r="N1353" s="26">
        <v>1.0</v>
      </c>
      <c r="O1353" s="30"/>
      <c r="P1353" s="26">
        <v>950.0</v>
      </c>
      <c r="Q1353" s="35">
        <v>41.0</v>
      </c>
      <c r="R1353" s="32">
        <v>45862.0</v>
      </c>
      <c r="S1353" s="32">
        <v>45822.0</v>
      </c>
      <c r="T1353" s="29"/>
      <c r="U1353" s="33"/>
      <c r="V1353" s="1"/>
    </row>
    <row r="1354" ht="24.0" customHeight="1">
      <c r="A1354" s="1"/>
      <c r="B1354" s="24" t="str">
        <f>HYPERLINK("https://www.compass.com/listing/37-30-103rd-street-unit-g2-queens-ny-11368/1769646684007624633/view?agent_id=610d3f3370540700019b0833","37-30 103rd Street, Unit G2")</f>
        <v>37-30 103rd Street, Unit G2</v>
      </c>
      <c r="C1354" s="25" t="s">
        <v>22</v>
      </c>
      <c r="D1354" s="26" t="s">
        <v>23</v>
      </c>
      <c r="E1354" s="27" t="str">
        <f>HYPERLINK("https://www.compass.com/building/37-30-103rd-st-queens-ny-11368/293531716495161189/","37-30 103rd St")</f>
        <v>37-30 103rd St</v>
      </c>
      <c r="F1354" s="25" t="s">
        <v>230</v>
      </c>
      <c r="G1354" s="28">
        <v>385000.0</v>
      </c>
      <c r="H1354" s="28">
        <v>621.0</v>
      </c>
      <c r="I1354" s="28">
        <v>628.0</v>
      </c>
      <c r="J1354" s="28">
        <v>3048.0</v>
      </c>
      <c r="K1354" s="25" t="s">
        <v>28</v>
      </c>
      <c r="L1354" s="26">
        <v>4.0</v>
      </c>
      <c r="M1354" s="26">
        <v>2.0</v>
      </c>
      <c r="N1354" s="26">
        <v>1.0</v>
      </c>
      <c r="O1354" s="30"/>
      <c r="P1354" s="26">
        <v>620.0</v>
      </c>
      <c r="Q1354" s="35">
        <v>66.0</v>
      </c>
      <c r="R1354" s="32">
        <v>45863.0</v>
      </c>
      <c r="S1354" s="32">
        <v>45797.0</v>
      </c>
      <c r="T1354" s="29"/>
      <c r="U1354" s="33"/>
      <c r="V1354" s="1"/>
    </row>
    <row r="1355" ht="24.0" customHeight="1">
      <c r="A1355" s="1"/>
      <c r="B1355" s="24" t="str">
        <f>HYPERLINK("https://www.compass.com/listing/40-35-ithaca-street-unit-6f-queens-ny-11373/1855319129418209801/view?agent_id=610d3f3370540700019b0833","40-35 Ithaca Street, Unit 6F")</f>
        <v>40-35 Ithaca Street, Unit 6F</v>
      </c>
      <c r="C1355" s="25" t="s">
        <v>22</v>
      </c>
      <c r="D1355" s="26" t="s">
        <v>23</v>
      </c>
      <c r="E1355" s="27" t="str">
        <f>HYPERLINK("https://www.compass.com/building/40-35-ithaca-st-queens-ny-11373/293528970769569557/","40-35 Ithaca St")</f>
        <v>40-35 Ithaca St</v>
      </c>
      <c r="F1355" s="25" t="s">
        <v>151</v>
      </c>
      <c r="G1355" s="28">
        <v>599999.0</v>
      </c>
      <c r="H1355" s="28">
        <v>702.0</v>
      </c>
      <c r="I1355" s="28">
        <v>1182.0</v>
      </c>
      <c r="J1355" s="28">
        <v>4580.0</v>
      </c>
      <c r="K1355" s="25" t="s">
        <v>28</v>
      </c>
      <c r="L1355" s="26">
        <v>6.0</v>
      </c>
      <c r="M1355" s="26">
        <v>2.0</v>
      </c>
      <c r="N1355" s="26">
        <v>1.0</v>
      </c>
      <c r="O1355" s="30"/>
      <c r="P1355" s="26">
        <v>855.0</v>
      </c>
      <c r="Q1355" s="35">
        <v>51.0</v>
      </c>
      <c r="R1355" s="32">
        <v>45841.0</v>
      </c>
      <c r="S1355" s="32">
        <v>45811.0</v>
      </c>
      <c r="T1355" s="29"/>
      <c r="U1355" s="33"/>
      <c r="V1355" s="1"/>
    </row>
    <row r="1356" ht="24.0" customHeight="1">
      <c r="A1356" s="1"/>
      <c r="B1356" s="24" t="str">
        <f>HYPERLINK("https://www.compass.com/listing/185-marine-avenue-unit-4b-brooklyn-ny-11209/1581603026720159417/view?agent_id=610d3f3370540700019b0833","185 Marine Avenue, Unit 4B")</f>
        <v>185 Marine Avenue, Unit 4B</v>
      </c>
      <c r="C1356" s="25" t="s">
        <v>22</v>
      </c>
      <c r="D1356" s="26" t="s">
        <v>23</v>
      </c>
      <c r="E1356" s="27" t="str">
        <f>HYPERLINK("https://www.compass.com/building/185-marine-ave-brooklyn-ny-11209/293530087930785573/","185 Marine Ave")</f>
        <v>185 Marine Ave</v>
      </c>
      <c r="F1356" s="25" t="s">
        <v>55</v>
      </c>
      <c r="G1356" s="28">
        <v>485000.0</v>
      </c>
      <c r="H1356" s="28">
        <v>571.0</v>
      </c>
      <c r="I1356" s="28">
        <v>1200.0</v>
      </c>
      <c r="J1356" s="28">
        <v>0.0</v>
      </c>
      <c r="K1356" s="25" t="s">
        <v>25</v>
      </c>
      <c r="L1356" s="26">
        <v>4.0</v>
      </c>
      <c r="M1356" s="26">
        <v>2.0</v>
      </c>
      <c r="N1356" s="26">
        <v>1.0</v>
      </c>
      <c r="O1356" s="30"/>
      <c r="P1356" s="26">
        <v>850.0</v>
      </c>
      <c r="Q1356" s="35">
        <v>430.0</v>
      </c>
      <c r="R1356" s="32">
        <v>45492.0</v>
      </c>
      <c r="S1356" s="32">
        <v>45433.0</v>
      </c>
      <c r="T1356" s="29"/>
      <c r="U1356" s="33"/>
      <c r="V1356" s="1"/>
    </row>
    <row r="1357" ht="24.0" customHeight="1">
      <c r="A1357" s="1"/>
      <c r="B1357" s="24" t="str">
        <f>HYPERLINK("https://www.compass.com/listing/946-gerard-avenue-bronx-ny-10452/1789148803656822961/view?agent_id=610d3f3370540700019b0833","946 Gerard Avenue")</f>
        <v>946 Gerard Avenue</v>
      </c>
      <c r="C1357" s="25" t="s">
        <v>22</v>
      </c>
      <c r="D1357" s="26" t="s">
        <v>23</v>
      </c>
      <c r="E1357" s="27" t="str">
        <f>HYPERLINK("https://www.compass.com/building/946-gerard-ave-bronx-ny-10452/293528592871134197/","946 Gerard Ave")</f>
        <v>946 Gerard Ave</v>
      </c>
      <c r="F1357" s="25" t="s">
        <v>217</v>
      </c>
      <c r="G1357" s="28">
        <v>679999.0</v>
      </c>
      <c r="H1357" s="28">
        <v>708.0</v>
      </c>
      <c r="I1357" s="28">
        <v>230.0</v>
      </c>
      <c r="J1357" s="28">
        <v>2756.0</v>
      </c>
      <c r="K1357" s="25" t="s">
        <v>97</v>
      </c>
      <c r="L1357" s="26">
        <v>4.0</v>
      </c>
      <c r="M1357" s="26">
        <v>2.0</v>
      </c>
      <c r="N1357" s="26">
        <v>1.0</v>
      </c>
      <c r="O1357" s="30"/>
      <c r="P1357" s="26">
        <v>960.0</v>
      </c>
      <c r="Q1357" s="35">
        <v>142.0</v>
      </c>
      <c r="R1357" s="32">
        <v>45841.0</v>
      </c>
      <c r="S1357" s="32">
        <v>45720.0</v>
      </c>
      <c r="T1357" s="29"/>
      <c r="U1357" s="33"/>
      <c r="V1357" s="1"/>
    </row>
    <row r="1358" ht="24.0" customHeight="1">
      <c r="A1358" s="1"/>
      <c r="B1358" s="24" t="str">
        <f>HYPERLINK("https://www.compass.com/listing/2427-east-29th-street-unit-1a-brooklyn-ny-11235/1770773662002216473/view?agent_id=610d3f3370540700019b0833","2427 East 29th Street, Unit 1A")</f>
        <v>2427 East 29th Street, Unit 1A</v>
      </c>
      <c r="C1358" s="25" t="s">
        <v>22</v>
      </c>
      <c r="D1358" s="26" t="s">
        <v>23</v>
      </c>
      <c r="E1358" s="27" t="str">
        <f>HYPERLINK("https://www.compass.com/building/2427-e-29th-st-brooklyn-ny-11235/293529431354418741/","2427 E 29th St")</f>
        <v>2427 E 29th St</v>
      </c>
      <c r="F1358" s="25" t="s">
        <v>70</v>
      </c>
      <c r="G1358" s="28">
        <v>340000.0</v>
      </c>
      <c r="H1358" s="28">
        <v>340.0</v>
      </c>
      <c r="I1358" s="28">
        <v>1007.0</v>
      </c>
      <c r="J1358" s="28">
        <v>0.0</v>
      </c>
      <c r="K1358" s="25" t="s">
        <v>25</v>
      </c>
      <c r="L1358" s="26">
        <v>4.0</v>
      </c>
      <c r="M1358" s="26">
        <v>2.0</v>
      </c>
      <c r="N1358" s="26">
        <v>1.0</v>
      </c>
      <c r="O1358" s="30"/>
      <c r="P1358" s="34">
        <v>1000.0</v>
      </c>
      <c r="Q1358" s="35">
        <v>168.0</v>
      </c>
      <c r="R1358" s="32">
        <v>45695.0</v>
      </c>
      <c r="S1358" s="32">
        <v>45694.0</v>
      </c>
      <c r="T1358" s="29"/>
      <c r="U1358" s="33"/>
      <c r="V1358" s="1"/>
    </row>
    <row r="1359" ht="24.0" customHeight="1">
      <c r="A1359" s="1"/>
      <c r="B1359" s="24" t="str">
        <f>HYPERLINK("https://www.compass.com/listing/65-70-booth-street-unit-2b-queens-ny-11374/1867506282621822233/view?agent_id=610d3f3370540700019b0833","65-70 Booth Street, Unit 2B")</f>
        <v>65-70 Booth Street, Unit 2B</v>
      </c>
      <c r="C1359" s="25" t="s">
        <v>22</v>
      </c>
      <c r="D1359" s="26" t="s">
        <v>23</v>
      </c>
      <c r="E1359" s="27" t="str">
        <f>HYPERLINK("https://www.compass.com/building/65-70-booth-st-queens-ny-11374/293530647962613541/","65-70 Booth St")</f>
        <v>65-70 Booth St</v>
      </c>
      <c r="F1359" s="25" t="s">
        <v>166</v>
      </c>
      <c r="G1359" s="28">
        <v>359999.0</v>
      </c>
      <c r="H1359" s="28">
        <v>438.0</v>
      </c>
      <c r="I1359" s="28">
        <v>1070.0</v>
      </c>
      <c r="J1359" s="29"/>
      <c r="K1359" s="25" t="s">
        <v>25</v>
      </c>
      <c r="L1359" s="26">
        <v>4.0</v>
      </c>
      <c r="M1359" s="26">
        <v>2.0</v>
      </c>
      <c r="N1359" s="26">
        <v>1.0</v>
      </c>
      <c r="O1359" s="30"/>
      <c r="P1359" s="26">
        <v>821.0</v>
      </c>
      <c r="Q1359" s="35">
        <v>35.0</v>
      </c>
      <c r="R1359" s="32">
        <v>45862.0</v>
      </c>
      <c r="S1359" s="32">
        <v>45828.0</v>
      </c>
      <c r="T1359" s="29"/>
      <c r="U1359" s="33"/>
      <c r="V1359" s="1"/>
    </row>
    <row r="1360" ht="24.0" customHeight="1">
      <c r="A1360" s="1"/>
      <c r="B1360" s="24" t="str">
        <f>HYPERLINK("https://www.compass.com/listing/83-30-98th-street-unit-5a-queens-ny-11421/1859510482955851233/view?agent_id=610d3f3370540700019b0833","83-30 98th Street, Unit 5A")</f>
        <v>83-30 98th Street, Unit 5A</v>
      </c>
      <c r="C1360" s="25" t="s">
        <v>22</v>
      </c>
      <c r="D1360" s="26" t="s">
        <v>23</v>
      </c>
      <c r="E1360" s="27" t="str">
        <f>HYPERLINK("https://www.compass.com/building/83-30-98th-st-queens-ny-11421/307435948668927109/","83-30 98th St")</f>
        <v>83-30 98th St</v>
      </c>
      <c r="F1360" s="25" t="s">
        <v>168</v>
      </c>
      <c r="G1360" s="28">
        <v>379000.0</v>
      </c>
      <c r="H1360" s="28">
        <v>400.0</v>
      </c>
      <c r="I1360" s="28">
        <v>793.0</v>
      </c>
      <c r="J1360" s="29"/>
      <c r="K1360" s="25" t="s">
        <v>25</v>
      </c>
      <c r="L1360" s="26">
        <v>4.0</v>
      </c>
      <c r="M1360" s="26">
        <v>2.0</v>
      </c>
      <c r="N1360" s="26">
        <v>1.0</v>
      </c>
      <c r="O1360" s="30"/>
      <c r="P1360" s="26">
        <v>948.0</v>
      </c>
      <c r="Q1360" s="35">
        <v>33.0</v>
      </c>
      <c r="R1360" s="32">
        <v>45863.0</v>
      </c>
      <c r="S1360" s="32">
        <v>45817.0</v>
      </c>
      <c r="T1360" s="29"/>
      <c r="U1360" s="33"/>
      <c r="V1360" s="1"/>
    </row>
    <row r="1361" ht="24.0" customHeight="1">
      <c r="A1361" s="1"/>
      <c r="B1361" s="24" t="str">
        <f>HYPERLINK("https://www.compass.com/listing/3730-103rd-street-unit-g2-queens-ny-11368/1844505019930343041/view?agent_id=610d3f3370540700019b0833","3730 103rd Street, Unit G2")</f>
        <v>3730 103rd Street, Unit G2</v>
      </c>
      <c r="C1361" s="25" t="s">
        <v>22</v>
      </c>
      <c r="D1361" s="26" t="s">
        <v>23</v>
      </c>
      <c r="E1361" s="26" t="s">
        <v>285</v>
      </c>
      <c r="F1361" s="25" t="s">
        <v>230</v>
      </c>
      <c r="G1361" s="28">
        <v>385000.0</v>
      </c>
      <c r="H1361" s="28">
        <v>621.0</v>
      </c>
      <c r="I1361" s="28">
        <v>254.0</v>
      </c>
      <c r="J1361" s="28">
        <v>3047.0</v>
      </c>
      <c r="K1361" s="25" t="s">
        <v>28</v>
      </c>
      <c r="L1361" s="26">
        <v>4.0</v>
      </c>
      <c r="M1361" s="26">
        <v>2.0</v>
      </c>
      <c r="N1361" s="26">
        <v>1.0</v>
      </c>
      <c r="O1361" s="30"/>
      <c r="P1361" s="26">
        <v>620.0</v>
      </c>
      <c r="Q1361" s="35">
        <v>67.0</v>
      </c>
      <c r="R1361" s="32">
        <v>45863.0</v>
      </c>
      <c r="S1361" s="32">
        <v>45796.0</v>
      </c>
      <c r="T1361" s="29"/>
      <c r="U1361" s="33"/>
      <c r="V1361" s="1"/>
    </row>
    <row r="1362" ht="24.0" customHeight="1">
      <c r="A1362" s="1"/>
      <c r="B1362" s="24" t="str">
        <f>HYPERLINK("https://www.compass.com/listing/2962-decatur-avenue-unit-5-bronx-ny-10458/1796522159136508937/view?agent_id=610d3f3370540700019b0833","2962 Decatur Avenue, Unit 5")</f>
        <v>2962 Decatur Avenue, Unit 5</v>
      </c>
      <c r="C1362" s="25" t="s">
        <v>22</v>
      </c>
      <c r="D1362" s="26" t="s">
        <v>23</v>
      </c>
      <c r="E1362" s="27" t="str">
        <f>HYPERLINK("https://www.compass.com/building/2962-decatur-ave-bronx-ny-10458/293527105394823429/","2962 Decatur Ave")</f>
        <v>2962 Decatur Ave</v>
      </c>
      <c r="F1362" s="25" t="s">
        <v>176</v>
      </c>
      <c r="G1362" s="28">
        <v>219000.0</v>
      </c>
      <c r="H1362" s="28">
        <v>235.0</v>
      </c>
      <c r="I1362" s="28">
        <v>1078.0</v>
      </c>
      <c r="J1362" s="29"/>
      <c r="K1362" s="25" t="s">
        <v>25</v>
      </c>
      <c r="L1362" s="26">
        <v>4.0</v>
      </c>
      <c r="M1362" s="26">
        <v>2.0</v>
      </c>
      <c r="N1362" s="26">
        <v>1.0</v>
      </c>
      <c r="O1362" s="30"/>
      <c r="P1362" s="26">
        <v>930.0</v>
      </c>
      <c r="Q1362" s="35">
        <v>133.0</v>
      </c>
      <c r="R1362" s="32">
        <v>45860.0</v>
      </c>
      <c r="S1362" s="32">
        <v>45730.0</v>
      </c>
      <c r="T1362" s="29"/>
      <c r="U1362" s="33"/>
      <c r="V1362" s="1"/>
    </row>
    <row r="1363" ht="24.0" customHeight="1">
      <c r="A1363" s="1"/>
      <c r="B1363" s="24" t="str">
        <f>HYPERLINK("https://www.compass.com/listing/27-23-crescent-street-unit-2a-queens-ny-11102/1755349993312047745/view?agent_id=610d3f3370540700019b0833","27-23 Crescent Street, Unit 2A")</f>
        <v>27-23 Crescent Street, Unit 2A</v>
      </c>
      <c r="C1363" s="25" t="s">
        <v>22</v>
      </c>
      <c r="D1363" s="26" t="s">
        <v>23</v>
      </c>
      <c r="E1363" s="27" t="str">
        <f>HYPERLINK("https://www.compass.com/building/27-23-crescent-st-queens-ny-11102/293529357769515925/","27-23 Crescent St")</f>
        <v>27-23 Crescent St</v>
      </c>
      <c r="F1363" s="25" t="s">
        <v>68</v>
      </c>
      <c r="G1363" s="28">
        <v>985000.0</v>
      </c>
      <c r="H1363" s="28">
        <v>1322.0</v>
      </c>
      <c r="I1363" s="28">
        <v>833.0</v>
      </c>
      <c r="J1363" s="28">
        <v>3888.0</v>
      </c>
      <c r="K1363" s="25" t="s">
        <v>28</v>
      </c>
      <c r="L1363" s="26">
        <v>4.0</v>
      </c>
      <c r="M1363" s="26">
        <v>2.0</v>
      </c>
      <c r="N1363" s="26">
        <v>1.0</v>
      </c>
      <c r="O1363" s="26">
        <v>0.0</v>
      </c>
      <c r="P1363" s="26">
        <v>745.0</v>
      </c>
      <c r="Q1363" s="35">
        <v>189.0</v>
      </c>
      <c r="R1363" s="32">
        <v>45863.0</v>
      </c>
      <c r="S1363" s="32">
        <v>45674.0</v>
      </c>
      <c r="T1363" s="29"/>
      <c r="U1363" s="33"/>
      <c r="V1363" s="1"/>
    </row>
    <row r="1364" ht="24.0" customHeight="1">
      <c r="A1364" s="1"/>
      <c r="B1364" s="24" t="str">
        <f>HYPERLINK("https://www.compass.com/listing/340-east-mosholu-parkway-south-unit-2j-bronx-ny-10458/1780594531019058049/view?agent_id=610d3f3370540700019b0833","340 East Mosholu Parkway South, Unit 2J")</f>
        <v>340 East Mosholu Parkway South, Unit 2J</v>
      </c>
      <c r="C1364" s="25" t="s">
        <v>22</v>
      </c>
      <c r="D1364" s="26" t="s">
        <v>23</v>
      </c>
      <c r="E1364" s="27" t="str">
        <f>HYPERLINK("https://www.compass.com/building/340-e-mosholu-pkwy-s-bronx-ny-10458/293528252453019733/","340 E Mosholu Pkwy S")</f>
        <v>340 E Mosholu Pkwy S</v>
      </c>
      <c r="F1364" s="25" t="s">
        <v>176</v>
      </c>
      <c r="G1364" s="28">
        <v>240000.0</v>
      </c>
      <c r="H1364" s="28">
        <v>293.0</v>
      </c>
      <c r="I1364" s="28">
        <v>1994.0</v>
      </c>
      <c r="J1364" s="29"/>
      <c r="K1364" s="25" t="s">
        <v>25</v>
      </c>
      <c r="L1364" s="26">
        <v>5.0</v>
      </c>
      <c r="M1364" s="26">
        <v>2.0</v>
      </c>
      <c r="N1364" s="26">
        <v>1.0</v>
      </c>
      <c r="O1364" s="30"/>
      <c r="P1364" s="26">
        <v>820.0</v>
      </c>
      <c r="Q1364" s="35">
        <v>115.0</v>
      </c>
      <c r="R1364" s="32">
        <v>45837.0</v>
      </c>
      <c r="S1364" s="32">
        <v>45703.0</v>
      </c>
      <c r="T1364" s="29"/>
      <c r="U1364" s="33"/>
      <c r="V1364" s="1"/>
    </row>
    <row r="1365" ht="24.0" customHeight="1">
      <c r="A1365" s="1"/>
      <c r="B1365" s="24" t="str">
        <f>HYPERLINK("https://www.compass.com/listing/166-41-powells-cove-boulevard-unit-6a-queens-ny-11357/1863936448411047873/view?agent_id=610d3f3370540700019b0833","166-41 Powells Cove Boulevard, Unit 6A")</f>
        <v>166-41 Powells Cove Boulevard, Unit 6A</v>
      </c>
      <c r="C1365" s="25" t="s">
        <v>22</v>
      </c>
      <c r="D1365" s="26" t="s">
        <v>23</v>
      </c>
      <c r="E1365" s="27" t="str">
        <f>HYPERLINK("https://www.compass.com/building/166-41-powells-cove-blvd-queens-ny-11357/293528086534801893/","166-41 Powells Cove Blvd")</f>
        <v>166-41 Powells Cove Blvd</v>
      </c>
      <c r="F1365" s="25" t="s">
        <v>94</v>
      </c>
      <c r="G1365" s="28">
        <v>380000.0</v>
      </c>
      <c r="H1365" s="28">
        <v>380.0</v>
      </c>
      <c r="I1365" s="28">
        <v>1604.0</v>
      </c>
      <c r="J1365" s="29"/>
      <c r="K1365" s="25" t="s">
        <v>25</v>
      </c>
      <c r="L1365" s="26">
        <v>4.0</v>
      </c>
      <c r="M1365" s="26">
        <v>2.0</v>
      </c>
      <c r="N1365" s="26">
        <v>1.0</v>
      </c>
      <c r="O1365" s="30"/>
      <c r="P1365" s="34">
        <v>1000.0</v>
      </c>
      <c r="Q1365" s="35">
        <v>40.0</v>
      </c>
      <c r="R1365" s="32">
        <v>45861.0</v>
      </c>
      <c r="S1365" s="32">
        <v>45823.0</v>
      </c>
      <c r="T1365" s="29"/>
      <c r="U1365" s="33"/>
      <c r="V1365" s="1"/>
    </row>
    <row r="1366" ht="24.0" customHeight="1">
      <c r="A1366" s="1"/>
      <c r="B1366" s="24" t="str">
        <f>HYPERLINK("https://www.compass.com/listing/367-avenue-south-unit-3a-brooklyn-ny-11223/1758103215970445897/view?agent_id=610d3f3370540700019b0833","367 Avenue South, Unit 3A")</f>
        <v>367 Avenue South, Unit 3A</v>
      </c>
      <c r="C1366" s="25" t="s">
        <v>22</v>
      </c>
      <c r="D1366" s="26" t="s">
        <v>23</v>
      </c>
      <c r="E1366" s="27" t="str">
        <f>HYPERLINK("https://www.compass.com/building/367-avenue-s-brooklyn-ny-11223/389278473676896213/","367 Avenue S")</f>
        <v>367 Avenue S</v>
      </c>
      <c r="F1366" s="25" t="s">
        <v>286</v>
      </c>
      <c r="G1366" s="28">
        <v>380000.0</v>
      </c>
      <c r="H1366" s="29"/>
      <c r="I1366" s="28">
        <v>1047.0</v>
      </c>
      <c r="J1366" s="28">
        <v>0.0</v>
      </c>
      <c r="K1366" s="25" t="s">
        <v>25</v>
      </c>
      <c r="L1366" s="26">
        <v>4.0</v>
      </c>
      <c r="M1366" s="26">
        <v>2.0</v>
      </c>
      <c r="N1366" s="26">
        <v>1.0</v>
      </c>
      <c r="O1366" s="30"/>
      <c r="P1366" s="30"/>
      <c r="Q1366" s="35">
        <v>186.0</v>
      </c>
      <c r="R1366" s="32">
        <v>45756.0</v>
      </c>
      <c r="S1366" s="32">
        <v>45677.0</v>
      </c>
      <c r="T1366" s="29"/>
      <c r="U1366" s="33"/>
      <c r="V1366" s="1"/>
    </row>
    <row r="1367" ht="24.0" customHeight="1">
      <c r="A1367" s="1"/>
      <c r="B1367" s="24" t="str">
        <f>HYPERLINK("https://www.compass.com/listing/80-09-35th-avenue-unit-a8-queens-ny-11372/1724050494128443897/view?agent_id=610d3f3370540700019b0833","80-09 35th Avenue, Unit A8")</f>
        <v>80-09 35th Avenue, Unit A8</v>
      </c>
      <c r="C1367" s="25" t="s">
        <v>22</v>
      </c>
      <c r="D1367" s="26" t="s">
        <v>23</v>
      </c>
      <c r="E1367" s="27" t="str">
        <f>HYPERLINK("https://www.compass.com/building/80-09-35th-ave-queens-ny-11372/293526715693619461/","80-09 35th Ave")</f>
        <v>80-09 35th Ave</v>
      </c>
      <c r="F1367" s="25" t="s">
        <v>33</v>
      </c>
      <c r="G1367" s="28">
        <v>670000.0</v>
      </c>
      <c r="H1367" s="28">
        <v>583.0</v>
      </c>
      <c r="I1367" s="28">
        <v>1047.0</v>
      </c>
      <c r="J1367" s="28">
        <v>5860.0</v>
      </c>
      <c r="K1367" s="25" t="s">
        <v>28</v>
      </c>
      <c r="L1367" s="26">
        <v>6.0</v>
      </c>
      <c r="M1367" s="26">
        <v>2.0</v>
      </c>
      <c r="N1367" s="26">
        <v>1.0</v>
      </c>
      <c r="O1367" s="30"/>
      <c r="P1367" s="34">
        <v>1150.0</v>
      </c>
      <c r="Q1367" s="35">
        <v>304.0</v>
      </c>
      <c r="R1367" s="32">
        <v>45630.0</v>
      </c>
      <c r="S1367" s="32">
        <v>45559.0</v>
      </c>
      <c r="T1367" s="29"/>
      <c r="U1367" s="33"/>
      <c r="V1367" s="1"/>
    </row>
    <row r="1368" ht="24.0" customHeight="1">
      <c r="A1368" s="1"/>
      <c r="B1368" s="24" t="str">
        <f>HYPERLINK("https://www.compass.com/listing/2483-west-16th-street-unit-17e-brooklyn-ny-11214/1850970536150733905/view?agent_id=610d3f3370540700019b0833","2483 West 16th Street, Unit 17E")</f>
        <v>2483 West 16th Street, Unit 17E</v>
      </c>
      <c r="C1368" s="25" t="s">
        <v>22</v>
      </c>
      <c r="D1368" s="26" t="s">
        <v>23</v>
      </c>
      <c r="E1368" s="27" t="str">
        <f>HYPERLINK("https://www.compass.com/building/2483-w-16th-st-brooklyn-ny-11214/307458531313475429/","2483 W 16th St")</f>
        <v>2483 W 16th St</v>
      </c>
      <c r="F1368" s="25" t="s">
        <v>173</v>
      </c>
      <c r="G1368" s="28">
        <v>380000.0</v>
      </c>
      <c r="H1368" s="28">
        <v>380.0</v>
      </c>
      <c r="I1368" s="28">
        <v>1034.0</v>
      </c>
      <c r="J1368" s="28">
        <v>0.0</v>
      </c>
      <c r="K1368" s="25" t="s">
        <v>25</v>
      </c>
      <c r="L1368" s="26">
        <v>4.0</v>
      </c>
      <c r="M1368" s="26">
        <v>2.0</v>
      </c>
      <c r="N1368" s="26">
        <v>1.0</v>
      </c>
      <c r="O1368" s="26">
        <v>0.0</v>
      </c>
      <c r="P1368" s="34">
        <v>1000.0</v>
      </c>
      <c r="Q1368" s="35">
        <v>58.0</v>
      </c>
      <c r="R1368" s="32">
        <v>45837.0</v>
      </c>
      <c r="S1368" s="32">
        <v>45805.0</v>
      </c>
      <c r="T1368" s="29"/>
      <c r="U1368" s="33"/>
      <c r="V1368" s="1"/>
    </row>
    <row r="1369" ht="24.0" customHeight="1">
      <c r="A1369" s="1"/>
      <c r="B1369" s="24" t="str">
        <f>HYPERLINK("https://www.compass.com/listing/141-05-pershing-crescent-unit-117-queens-ny-11435/1824012716167574785/view?agent_id=610d3f3370540700019b0833","141-05 Pershing Crescent, Unit 117")</f>
        <v>141-05 Pershing Crescent, Unit 117</v>
      </c>
      <c r="C1369" s="25" t="s">
        <v>22</v>
      </c>
      <c r="D1369" s="26" t="s">
        <v>23</v>
      </c>
      <c r="E1369" s="27" t="str">
        <f>HYPERLINK("https://www.compass.com/building/141-05-pershing-cres-queens-ny-11435/293526383672506149/","141-05 Pershing Cres")</f>
        <v>141-05 Pershing Cres</v>
      </c>
      <c r="F1369" s="25" t="s">
        <v>146</v>
      </c>
      <c r="G1369" s="28">
        <v>269999.0</v>
      </c>
      <c r="H1369" s="28">
        <v>300.0</v>
      </c>
      <c r="I1369" s="28">
        <v>1047.0</v>
      </c>
      <c r="J1369" s="29"/>
      <c r="K1369" s="25" t="s">
        <v>25</v>
      </c>
      <c r="L1369" s="26">
        <v>4.0</v>
      </c>
      <c r="M1369" s="26">
        <v>2.0</v>
      </c>
      <c r="N1369" s="26">
        <v>1.0</v>
      </c>
      <c r="O1369" s="30"/>
      <c r="P1369" s="26">
        <v>900.0</v>
      </c>
      <c r="Q1369" s="35">
        <v>95.0</v>
      </c>
      <c r="R1369" s="32">
        <v>45862.0</v>
      </c>
      <c r="S1369" s="32">
        <v>45768.0</v>
      </c>
      <c r="T1369" s="29"/>
      <c r="U1369" s="33"/>
      <c r="V1369" s="1"/>
    </row>
    <row r="1370" ht="24.0" customHeight="1">
      <c r="A1370" s="1"/>
      <c r="B1370" s="24" t="str">
        <f>HYPERLINK("https://www.compass.com/listing/325-marine-avenue-unit-c3-brooklyn-ny-11209/1658211930189009513/view?agent_id=610d3f3370540700019b0833","325 Marine Avenue, Unit C3")</f>
        <v>325 Marine Avenue, Unit C3</v>
      </c>
      <c r="C1370" s="25" t="s">
        <v>22</v>
      </c>
      <c r="D1370" s="26" t="s">
        <v>23</v>
      </c>
      <c r="E1370" s="27" t="str">
        <f>HYPERLINK("https://www.compass.com/building/325-marine-ave-brooklyn-ny-11209/293527388124451365/","325 Marine Ave")</f>
        <v>325 Marine Ave</v>
      </c>
      <c r="F1370" s="25" t="s">
        <v>55</v>
      </c>
      <c r="G1370" s="28">
        <v>345000.0</v>
      </c>
      <c r="H1370" s="28">
        <v>421.0</v>
      </c>
      <c r="I1370" s="28">
        <v>1023.0</v>
      </c>
      <c r="J1370" s="29"/>
      <c r="K1370" s="25" t="s">
        <v>25</v>
      </c>
      <c r="L1370" s="26">
        <v>4.0</v>
      </c>
      <c r="M1370" s="26">
        <v>2.0</v>
      </c>
      <c r="N1370" s="26">
        <v>1.0</v>
      </c>
      <c r="O1370" s="26">
        <v>0.0</v>
      </c>
      <c r="P1370" s="26">
        <v>820.0</v>
      </c>
      <c r="Q1370" s="35">
        <v>324.0</v>
      </c>
      <c r="R1370" s="32">
        <v>45852.0</v>
      </c>
      <c r="S1370" s="32">
        <v>45539.0</v>
      </c>
      <c r="T1370" s="29"/>
      <c r="U1370" s="33"/>
      <c r="V1370" s="1"/>
    </row>
    <row r="1371" ht="24.0" customHeight="1">
      <c r="A1371" s="1"/>
      <c r="B1371" s="24" t="str">
        <f>HYPERLINK("https://www.compass.com/listing/1101-harding-park-bronx-ny-10473/1816685665226579489/view?agent_id=610d3f3370540700019b0833","1101 Harding Park")</f>
        <v>1101 Harding Park</v>
      </c>
      <c r="C1371" s="25" t="s">
        <v>22</v>
      </c>
      <c r="D1371" s="26" t="s">
        <v>23</v>
      </c>
      <c r="E1371" s="27" t="str">
        <f>HYPERLINK("https://www.compass.com/building/1101-harding-park-bronx-ny-10473/293530956394942405/","1101 Harding Park")</f>
        <v>1101 Harding Park</v>
      </c>
      <c r="F1371" s="25" t="s">
        <v>186</v>
      </c>
      <c r="G1371" s="28">
        <v>385000.0</v>
      </c>
      <c r="H1371" s="28">
        <v>367.0</v>
      </c>
      <c r="I1371" s="28">
        <v>140.0</v>
      </c>
      <c r="J1371" s="28">
        <v>1439.0</v>
      </c>
      <c r="K1371" s="25" t="s">
        <v>97</v>
      </c>
      <c r="L1371" s="26">
        <v>5.0</v>
      </c>
      <c r="M1371" s="26">
        <v>2.0</v>
      </c>
      <c r="N1371" s="26">
        <v>1.0</v>
      </c>
      <c r="O1371" s="30"/>
      <c r="P1371" s="34">
        <v>1050.0</v>
      </c>
      <c r="Q1371" s="35">
        <v>97.0</v>
      </c>
      <c r="R1371" s="32">
        <v>45858.0</v>
      </c>
      <c r="S1371" s="32">
        <v>45761.0</v>
      </c>
      <c r="T1371" s="29"/>
      <c r="U1371" s="33"/>
      <c r="V1371" s="1"/>
    </row>
    <row r="1372" ht="24.0" customHeight="1">
      <c r="A1372" s="1"/>
      <c r="B1372" s="24" t="str">
        <f>HYPERLINK("https://www.compass.com/listing/1625-emmons-avenue-unit-1r-brooklyn-ny-11235/1598267706095618833/view?agent_id=610d3f3370540700019b0833","1625 Emmons Avenue, Unit 1R")</f>
        <v>1625 Emmons Avenue, Unit 1R</v>
      </c>
      <c r="C1372" s="25" t="s">
        <v>22</v>
      </c>
      <c r="D1372" s="26" t="s">
        <v>23</v>
      </c>
      <c r="E1372" s="27" t="str">
        <f>HYPERLINK("https://www.compass.com/building/1625-emmons-ave-brooklyn-ny-11235/293535650425194373/","1625 Emmons Ave")</f>
        <v>1625 Emmons Ave</v>
      </c>
      <c r="F1372" s="25" t="s">
        <v>70</v>
      </c>
      <c r="G1372" s="28">
        <v>469000.0</v>
      </c>
      <c r="H1372" s="28">
        <v>494.0</v>
      </c>
      <c r="I1372" s="28">
        <v>998.0</v>
      </c>
      <c r="J1372" s="29"/>
      <c r="K1372" s="25" t="s">
        <v>25</v>
      </c>
      <c r="L1372" s="26">
        <v>4.0</v>
      </c>
      <c r="M1372" s="26">
        <v>2.0</v>
      </c>
      <c r="N1372" s="26">
        <v>1.0</v>
      </c>
      <c r="O1372" s="30"/>
      <c r="P1372" s="26">
        <v>950.0</v>
      </c>
      <c r="Q1372" s="35">
        <v>50.0</v>
      </c>
      <c r="R1372" s="32">
        <v>45858.0</v>
      </c>
      <c r="S1372" s="32">
        <v>45813.0</v>
      </c>
      <c r="T1372" s="29"/>
      <c r="U1372" s="33"/>
      <c r="V1372" s="1"/>
    </row>
    <row r="1373" ht="24.0" customHeight="1">
      <c r="A1373" s="1"/>
      <c r="B1373" s="24" t="str">
        <f>HYPERLINK("https://www.compass.com/listing/103-abbey-court-brooklyn-ny-11229/1829012841374410737/view?agent_id=610d3f3370540700019b0833","103 Abbey Court")</f>
        <v>103 Abbey Court</v>
      </c>
      <c r="C1373" s="25" t="s">
        <v>22</v>
      </c>
      <c r="D1373" s="26" t="s">
        <v>23</v>
      </c>
      <c r="E1373" s="27" t="str">
        <f>HYPERLINK("https://www.compass.com/building/103-abbey-ct-brooklyn-ny-11229/293418112345204053/","103 Abbey Ct")</f>
        <v>103 Abbey Ct</v>
      </c>
      <c r="F1373" s="25" t="s">
        <v>240</v>
      </c>
      <c r="G1373" s="28">
        <v>560000.0</v>
      </c>
      <c r="H1373" s="28">
        <v>622.0</v>
      </c>
      <c r="I1373" s="28">
        <v>351.0</v>
      </c>
      <c r="J1373" s="28">
        <v>4217.0</v>
      </c>
      <c r="K1373" s="25" t="s">
        <v>159</v>
      </c>
      <c r="L1373" s="26">
        <v>5.0</v>
      </c>
      <c r="M1373" s="26">
        <v>2.0</v>
      </c>
      <c r="N1373" s="26">
        <v>1.0</v>
      </c>
      <c r="O1373" s="30"/>
      <c r="P1373" s="26">
        <v>900.0</v>
      </c>
      <c r="Q1373" s="35">
        <v>88.0</v>
      </c>
      <c r="R1373" s="32">
        <v>45859.0</v>
      </c>
      <c r="S1373" s="32">
        <v>45775.0</v>
      </c>
      <c r="T1373" s="29"/>
      <c r="U1373" s="33"/>
      <c r="V1373" s="1"/>
    </row>
    <row r="1374" ht="24.0" customHeight="1">
      <c r="A1374" s="1"/>
      <c r="B1374" s="24" t="str">
        <f>HYPERLINK("https://www.compass.com/listing/99-11-39th-avenue-queens-ny-11368/1430616382217615849/view?agent_id=610d3f3370540700019b0833","99-11 39th Avenue")</f>
        <v>99-11 39th Avenue</v>
      </c>
      <c r="C1374" s="25" t="s">
        <v>22</v>
      </c>
      <c r="D1374" s="26" t="s">
        <v>23</v>
      </c>
      <c r="E1374" s="27" t="str">
        <f>HYPERLINK("https://www.compass.com/building/99-11-39th-ave-queens-ny-11368/293531521636107493/","99-11 39th Ave")</f>
        <v>99-11 39th Ave</v>
      </c>
      <c r="F1374" s="25" t="s">
        <v>230</v>
      </c>
      <c r="G1374" s="28">
        <v>1050000.0</v>
      </c>
      <c r="H1374" s="28">
        <v>576.0</v>
      </c>
      <c r="I1374" s="28">
        <v>617.0</v>
      </c>
      <c r="J1374" s="28">
        <v>7405.0</v>
      </c>
      <c r="K1374" s="25" t="s">
        <v>287</v>
      </c>
      <c r="L1374" s="26">
        <v>4.0</v>
      </c>
      <c r="M1374" s="26">
        <v>2.0</v>
      </c>
      <c r="N1374" s="26">
        <v>1.0</v>
      </c>
      <c r="O1374" s="30"/>
      <c r="P1374" s="34">
        <v>1824.0</v>
      </c>
      <c r="Q1374" s="35">
        <v>154.0</v>
      </c>
      <c r="R1374" s="32">
        <v>45859.0</v>
      </c>
      <c r="S1374" s="32">
        <v>45225.0</v>
      </c>
      <c r="T1374" s="29"/>
      <c r="U1374" s="33"/>
      <c r="V1374" s="1"/>
    </row>
    <row r="1375" ht="24.0" customHeight="1">
      <c r="A1375" s="1"/>
      <c r="B1375" s="24" t="str">
        <f>HYPERLINK("https://www.compass.com/listing/84-55-daniels-street-unit-3b-queens-ny-11435/1821336073766816161/view?agent_id=610d3f3370540700019b0833","84-55 Daniels Street, Unit 3B")</f>
        <v>84-55 Daniels Street, Unit 3B</v>
      </c>
      <c r="C1375" s="25" t="s">
        <v>22</v>
      </c>
      <c r="D1375" s="26" t="s">
        <v>23</v>
      </c>
      <c r="E1375" s="27" t="str">
        <f>HYPERLINK("https://www.compass.com/building/84-55-daniels-st-queens-ny-11435/307454626139472229/","84-55 Daniels St")</f>
        <v>84-55 Daniels St</v>
      </c>
      <c r="F1375" s="25" t="s">
        <v>146</v>
      </c>
      <c r="G1375" s="28">
        <v>199000.0</v>
      </c>
      <c r="H1375" s="28">
        <v>225.0</v>
      </c>
      <c r="I1375" s="28">
        <v>966.0</v>
      </c>
      <c r="J1375" s="29"/>
      <c r="K1375" s="25" t="s">
        <v>25</v>
      </c>
      <c r="L1375" s="26">
        <v>4.0</v>
      </c>
      <c r="M1375" s="26">
        <v>2.0</v>
      </c>
      <c r="N1375" s="26">
        <v>1.0</v>
      </c>
      <c r="O1375" s="30"/>
      <c r="P1375" s="26">
        <v>885.0</v>
      </c>
      <c r="Q1375" s="35">
        <v>99.0</v>
      </c>
      <c r="R1375" s="32">
        <v>45863.0</v>
      </c>
      <c r="S1375" s="32">
        <v>45764.0</v>
      </c>
      <c r="T1375" s="29"/>
      <c r="U1375" s="33"/>
      <c r="V1375" s="1"/>
    </row>
    <row r="1376" ht="24.0" customHeight="1">
      <c r="A1376" s="1"/>
      <c r="B1376" s="24" t="str">
        <f>HYPERLINK("https://www.compass.com/listing/141-45-78th-road-unit-3a-queens-ny-11367/1825715123230792889/view?agent_id=610d3f3370540700019b0833","141-45 78th Road, Unit 3A")</f>
        <v>141-45 78th Road, Unit 3A</v>
      </c>
      <c r="C1376" s="25" t="s">
        <v>22</v>
      </c>
      <c r="D1376" s="26" t="s">
        <v>23</v>
      </c>
      <c r="E1376" s="27" t="str">
        <f>HYPERLINK("https://www.compass.com/building/141-45-78th-rd-queens-ny-11367/307445605919804037/","141-45 78th Rd")</f>
        <v>141-45 78th Rd</v>
      </c>
      <c r="F1376" s="25" t="s">
        <v>142</v>
      </c>
      <c r="G1376" s="28">
        <v>319999.0</v>
      </c>
      <c r="H1376" s="28">
        <v>421.0</v>
      </c>
      <c r="I1376" s="28">
        <v>942.0</v>
      </c>
      <c r="J1376" s="29"/>
      <c r="K1376" s="25" t="s">
        <v>25</v>
      </c>
      <c r="L1376" s="26">
        <v>5.0</v>
      </c>
      <c r="M1376" s="26">
        <v>2.0</v>
      </c>
      <c r="N1376" s="26">
        <v>1.0</v>
      </c>
      <c r="O1376" s="30"/>
      <c r="P1376" s="26">
        <v>760.0</v>
      </c>
      <c r="Q1376" s="35">
        <v>93.0</v>
      </c>
      <c r="R1376" s="32">
        <v>45862.0</v>
      </c>
      <c r="S1376" s="32">
        <v>45770.0</v>
      </c>
      <c r="T1376" s="29"/>
      <c r="U1376" s="33"/>
      <c r="V1376" s="1"/>
    </row>
    <row r="1377" ht="24.0" customHeight="1">
      <c r="A1377" s="1"/>
      <c r="B1377" s="24" t="str">
        <f>HYPERLINK("https://www.compass.com/listing/811-walton-avenue-unit-f14-bronx-ny-10451/1837029450269670465/view?agent_id=610d3f3370540700019b0833","811 Walton Avenue, Unit F14")</f>
        <v>811 Walton Avenue, Unit F14</v>
      </c>
      <c r="C1377" s="25" t="s">
        <v>22</v>
      </c>
      <c r="D1377" s="26" t="s">
        <v>23</v>
      </c>
      <c r="E1377" s="27" t="str">
        <f>HYPERLINK("https://www.compass.com/building/811-walton-ave-bronx-ny-10451/293417358620366149/","811 Walton Ave")</f>
        <v>811 Walton Ave</v>
      </c>
      <c r="F1377" s="25" t="s">
        <v>217</v>
      </c>
      <c r="G1377" s="28">
        <v>485000.0</v>
      </c>
      <c r="H1377" s="28">
        <v>478.0</v>
      </c>
      <c r="I1377" s="28">
        <v>1360.0</v>
      </c>
      <c r="J1377" s="28">
        <v>0.0</v>
      </c>
      <c r="K1377" s="25" t="s">
        <v>25</v>
      </c>
      <c r="L1377" s="26">
        <v>5.0</v>
      </c>
      <c r="M1377" s="26">
        <v>2.0</v>
      </c>
      <c r="N1377" s="26">
        <v>1.0</v>
      </c>
      <c r="O1377" s="26">
        <v>0.0</v>
      </c>
      <c r="P1377" s="34">
        <v>1014.0</v>
      </c>
      <c r="Q1377" s="35">
        <v>77.0</v>
      </c>
      <c r="R1377" s="32">
        <v>45816.0</v>
      </c>
      <c r="S1377" s="32">
        <v>45786.0</v>
      </c>
      <c r="T1377" s="29"/>
      <c r="U1377" s="33"/>
      <c r="V1377" s="1"/>
    </row>
    <row r="1378" ht="24.0" customHeight="1">
      <c r="A1378" s="1"/>
      <c r="B1378" s="24" t="str">
        <f>HYPERLINK("https://www.compass.com/listing/144-55-melbourne-avenue-unit-4a-queens-ny-11367/1773515757716676745/view?agent_id=610d3f3370540700019b0833","144-55 Melbourne Avenue, Unit 4A")</f>
        <v>144-55 Melbourne Avenue, Unit 4A</v>
      </c>
      <c r="C1378" s="25" t="s">
        <v>22</v>
      </c>
      <c r="D1378" s="26" t="s">
        <v>23</v>
      </c>
      <c r="E1378" s="27" t="str">
        <f>HYPERLINK("https://www.compass.com/building/144-55-melbourne-ave-queens-ny-11367/293526947680542885/","144-55 Melbourne Ave")</f>
        <v>144-55 Melbourne Ave</v>
      </c>
      <c r="F1378" s="25" t="s">
        <v>142</v>
      </c>
      <c r="G1378" s="28">
        <v>215000.0</v>
      </c>
      <c r="H1378" s="28">
        <v>215.0</v>
      </c>
      <c r="I1378" s="28">
        <v>1332.0</v>
      </c>
      <c r="J1378" s="29"/>
      <c r="K1378" s="25" t="s">
        <v>25</v>
      </c>
      <c r="L1378" s="26">
        <v>4.0</v>
      </c>
      <c r="M1378" s="26">
        <v>2.0</v>
      </c>
      <c r="N1378" s="26">
        <v>1.0</v>
      </c>
      <c r="O1378" s="30"/>
      <c r="P1378" s="34">
        <v>1000.0</v>
      </c>
      <c r="Q1378" s="35">
        <v>165.0</v>
      </c>
      <c r="R1378" s="32">
        <v>45796.0</v>
      </c>
      <c r="S1378" s="32">
        <v>45698.0</v>
      </c>
      <c r="T1378" s="29"/>
      <c r="U1378" s="33"/>
      <c r="V1378" s="1"/>
    </row>
    <row r="1379" ht="24.0" customHeight="1">
      <c r="A1379" s="1"/>
      <c r="B1379" s="24" t="str">
        <f>HYPERLINK("https://www.compass.com/listing/139-15-83rd-avenue-unit-209-queens-ny-11435/1821382474580587209/view?agent_id=610d3f3370540700019b0833","139-15 83rd Avenue, Unit 209")</f>
        <v>139-15 83rd Avenue, Unit 209</v>
      </c>
      <c r="C1379" s="25" t="s">
        <v>22</v>
      </c>
      <c r="D1379" s="26" t="s">
        <v>23</v>
      </c>
      <c r="E1379" s="27" t="str">
        <f>HYPERLINK("https://www.compass.com/building/139-15-83rd-ave-queens-ny-11435/293531355952770837/","139-15 83rd Ave")</f>
        <v>139-15 83rd Ave</v>
      </c>
      <c r="F1379" s="25" t="s">
        <v>146</v>
      </c>
      <c r="G1379" s="28">
        <v>325000.0</v>
      </c>
      <c r="H1379" s="28">
        <v>333.0</v>
      </c>
      <c r="I1379" s="28">
        <v>1039.0</v>
      </c>
      <c r="J1379" s="29"/>
      <c r="K1379" s="25" t="s">
        <v>25</v>
      </c>
      <c r="L1379" s="26">
        <v>4.0</v>
      </c>
      <c r="M1379" s="26">
        <v>2.0</v>
      </c>
      <c r="N1379" s="26">
        <v>1.0</v>
      </c>
      <c r="O1379" s="30"/>
      <c r="P1379" s="26">
        <v>975.0</v>
      </c>
      <c r="Q1379" s="35">
        <v>98.0</v>
      </c>
      <c r="R1379" s="32">
        <v>45846.0</v>
      </c>
      <c r="S1379" s="32">
        <v>45764.0</v>
      </c>
      <c r="T1379" s="29"/>
      <c r="U1379" s="33"/>
      <c r="V1379" s="1"/>
    </row>
    <row r="1380" ht="24.0" customHeight="1">
      <c r="A1380" s="1"/>
      <c r="B1380" s="24" t="str">
        <f>HYPERLINK("https://www.compass.com/listing/1710-84th-street-unit-304-brooklyn-ny-11214/1839975011388058409/view?agent_id=610d3f3370540700019b0833","1710 84th Street, Unit 304")</f>
        <v>1710 84th Street, Unit 304</v>
      </c>
      <c r="C1380" s="25" t="s">
        <v>22</v>
      </c>
      <c r="D1380" s="26" t="s">
        <v>23</v>
      </c>
      <c r="E1380" s="26" t="s">
        <v>288</v>
      </c>
      <c r="F1380" s="25" t="s">
        <v>236</v>
      </c>
      <c r="G1380" s="28">
        <v>738800.0</v>
      </c>
      <c r="H1380" s="28">
        <v>992.0</v>
      </c>
      <c r="I1380" s="28">
        <v>968.0</v>
      </c>
      <c r="J1380" s="28">
        <v>7473.0</v>
      </c>
      <c r="K1380" s="25" t="s">
        <v>28</v>
      </c>
      <c r="L1380" s="26">
        <v>4.0</v>
      </c>
      <c r="M1380" s="26">
        <v>2.0</v>
      </c>
      <c r="N1380" s="26">
        <v>1.0</v>
      </c>
      <c r="O1380" s="30"/>
      <c r="P1380" s="26">
        <v>745.0</v>
      </c>
      <c r="Q1380" s="35">
        <v>73.0</v>
      </c>
      <c r="R1380" s="32">
        <v>45863.0</v>
      </c>
      <c r="S1380" s="32">
        <v>45790.0</v>
      </c>
      <c r="T1380" s="29"/>
      <c r="U1380" s="33"/>
      <c r="V1380" s="1"/>
    </row>
    <row r="1381" ht="24.0" customHeight="1">
      <c r="A1381" s="1"/>
      <c r="B1381" s="24" t="str">
        <f>HYPERLINK("https://www.compass.com/listing/144-32-78th-avenue-unit-3f-queens-ny-11367/1811211634606643785/view?agent_id=610d3f3370540700019b0833","144-32 78th Avenue, Unit 3F")</f>
        <v>144-32 78th Avenue, Unit 3F</v>
      </c>
      <c r="C1381" s="25" t="s">
        <v>22</v>
      </c>
      <c r="D1381" s="26" t="s">
        <v>23</v>
      </c>
      <c r="E1381" s="27" t="str">
        <f>HYPERLINK("https://www.compass.com/building/144-32-78th-ave-queens-ny-11367/307436215242205077/","144-32 78th Ave")</f>
        <v>144-32 78th Ave</v>
      </c>
      <c r="F1381" s="25" t="s">
        <v>142</v>
      </c>
      <c r="G1381" s="28">
        <v>329000.0</v>
      </c>
      <c r="H1381" s="28">
        <v>526.0</v>
      </c>
      <c r="I1381" s="28">
        <v>950.0</v>
      </c>
      <c r="J1381" s="29"/>
      <c r="K1381" s="25" t="s">
        <v>25</v>
      </c>
      <c r="L1381" s="26">
        <v>4.0</v>
      </c>
      <c r="M1381" s="26">
        <v>2.0</v>
      </c>
      <c r="N1381" s="26">
        <v>1.0</v>
      </c>
      <c r="O1381" s="30"/>
      <c r="P1381" s="26">
        <v>625.0</v>
      </c>
      <c r="Q1381" s="35">
        <v>113.0</v>
      </c>
      <c r="R1381" s="32">
        <v>45836.0</v>
      </c>
      <c r="S1381" s="32">
        <v>45750.0</v>
      </c>
      <c r="T1381" s="29"/>
      <c r="U1381" s="33"/>
      <c r="V1381" s="1"/>
    </row>
    <row r="1382" ht="24.0" customHeight="1">
      <c r="A1382" s="1"/>
      <c r="B1382" s="24" t="str">
        <f>HYPERLINK("https://www.compass.com/listing/220-34-67th-avenue-unit-duplex-queens-ny-11364/1862377835800182457/view?agent_id=610d3f3370540700019b0833","220-34 67th Avenue, Unit DUPLEX")</f>
        <v>220-34 67th Avenue, Unit DUPLEX</v>
      </c>
      <c r="C1382" s="25" t="s">
        <v>22</v>
      </c>
      <c r="D1382" s="26" t="s">
        <v>23</v>
      </c>
      <c r="E1382" s="26" t="s">
        <v>289</v>
      </c>
      <c r="F1382" s="25" t="s">
        <v>37</v>
      </c>
      <c r="G1382" s="28">
        <v>398500.0</v>
      </c>
      <c r="H1382" s="28">
        <v>446.0</v>
      </c>
      <c r="I1382" s="28">
        <v>1059.0</v>
      </c>
      <c r="J1382" s="29"/>
      <c r="K1382" s="25" t="s">
        <v>25</v>
      </c>
      <c r="L1382" s="26">
        <v>5.0</v>
      </c>
      <c r="M1382" s="26">
        <v>2.0</v>
      </c>
      <c r="N1382" s="26">
        <v>1.0</v>
      </c>
      <c r="O1382" s="30"/>
      <c r="P1382" s="26">
        <v>893.0</v>
      </c>
      <c r="Q1382" s="35">
        <v>42.0</v>
      </c>
      <c r="R1382" s="32">
        <v>45860.0</v>
      </c>
      <c r="S1382" s="32">
        <v>45821.0</v>
      </c>
      <c r="T1382" s="29"/>
      <c r="U1382" s="33"/>
      <c r="V1382" s="1"/>
    </row>
    <row r="1383" ht="24.0" customHeight="1">
      <c r="A1383" s="1"/>
      <c r="B1383" s="24" t="str">
        <f>HYPERLINK("https://www.compass.com/listing/8-hudson-walk-queens-ny-11697/1841578650866983273/view?agent_id=610d3f3370540700019b0833","8 Hudson Walk")</f>
        <v>8 Hudson Walk</v>
      </c>
      <c r="C1383" s="25" t="s">
        <v>22</v>
      </c>
      <c r="D1383" s="26" t="s">
        <v>23</v>
      </c>
      <c r="E1383" s="26" t="s">
        <v>290</v>
      </c>
      <c r="F1383" s="25" t="s">
        <v>291</v>
      </c>
      <c r="G1383" s="28">
        <v>729000.0</v>
      </c>
      <c r="H1383" s="28">
        <v>902.0</v>
      </c>
      <c r="I1383" s="28">
        <v>531.0</v>
      </c>
      <c r="J1383" s="29"/>
      <c r="K1383" s="25" t="s">
        <v>25</v>
      </c>
      <c r="L1383" s="26">
        <v>5.0</v>
      </c>
      <c r="M1383" s="26">
        <v>2.0</v>
      </c>
      <c r="N1383" s="26">
        <v>1.0</v>
      </c>
      <c r="O1383" s="30"/>
      <c r="P1383" s="26">
        <v>808.0</v>
      </c>
      <c r="Q1383" s="35">
        <v>67.0</v>
      </c>
      <c r="R1383" s="32">
        <v>45863.0</v>
      </c>
      <c r="S1383" s="32">
        <v>45796.0</v>
      </c>
      <c r="T1383" s="29"/>
      <c r="U1383" s="33"/>
      <c r="V1383" s="1"/>
    </row>
    <row r="1384" ht="24.0" customHeight="1">
      <c r="A1384" s="1"/>
      <c r="B1384" s="24" t="str">
        <f>HYPERLINK("https://www.compass.com/listing/264-17-langston-avenue-unit-e2-queens-ny-11004/1842886221968586593/view?agent_id=610d3f3370540700019b0833","264-17 Langston Avenue, Unit E2")</f>
        <v>264-17 Langston Avenue, Unit E2</v>
      </c>
      <c r="C1384" s="25" t="s">
        <v>22</v>
      </c>
      <c r="D1384" s="26" t="s">
        <v>23</v>
      </c>
      <c r="E1384" s="26" t="s">
        <v>292</v>
      </c>
      <c r="F1384" s="25" t="s">
        <v>92</v>
      </c>
      <c r="G1384" s="28">
        <v>399900.0</v>
      </c>
      <c r="H1384" s="28">
        <v>523.0</v>
      </c>
      <c r="I1384" s="28">
        <v>866.0</v>
      </c>
      <c r="J1384" s="29"/>
      <c r="K1384" s="25" t="s">
        <v>25</v>
      </c>
      <c r="L1384" s="26">
        <v>4.0</v>
      </c>
      <c r="M1384" s="26">
        <v>2.0</v>
      </c>
      <c r="N1384" s="26">
        <v>1.0</v>
      </c>
      <c r="O1384" s="30"/>
      <c r="P1384" s="26">
        <v>764.0</v>
      </c>
      <c r="Q1384" s="35">
        <v>58.0</v>
      </c>
      <c r="R1384" s="32">
        <v>45840.0</v>
      </c>
      <c r="S1384" s="32">
        <v>45794.0</v>
      </c>
      <c r="T1384" s="29"/>
      <c r="U1384" s="33"/>
      <c r="V1384" s="1"/>
    </row>
    <row r="1385" ht="24.0" customHeight="1">
      <c r="A1385" s="1"/>
      <c r="B1385" s="24" t="str">
        <f>HYPERLINK("https://www.compass.com/listing/100-oceana-drive-west-unit-4j-brooklyn-ny-11235/1654075920345221425/view?agent_id=610d3f3370540700019b0833","100 Oceana Drive West, Unit 4J")</f>
        <v>100 Oceana Drive West, Unit 4J</v>
      </c>
      <c r="C1385" s="25" t="s">
        <v>22</v>
      </c>
      <c r="D1385" s="26" t="s">
        <v>23</v>
      </c>
      <c r="E1385" s="27" t="str">
        <f>HYPERLINK("https://www.compass.com/building/100-oceana-dr-w-brooklyn-ny-11235/293532256931189797/","100 Oceana Dr W")</f>
        <v>100 Oceana Dr W</v>
      </c>
      <c r="F1385" s="25" t="s">
        <v>74</v>
      </c>
      <c r="G1385" s="28">
        <v>809000.0</v>
      </c>
      <c r="H1385" s="28">
        <v>899.0</v>
      </c>
      <c r="I1385" s="28">
        <v>944.0</v>
      </c>
      <c r="J1385" s="28">
        <v>5839.0</v>
      </c>
      <c r="K1385" s="25" t="s">
        <v>28</v>
      </c>
      <c r="L1385" s="26">
        <v>4.0</v>
      </c>
      <c r="M1385" s="26">
        <v>2.0</v>
      </c>
      <c r="N1385" s="26">
        <v>1.0</v>
      </c>
      <c r="O1385" s="30"/>
      <c r="P1385" s="26">
        <v>900.0</v>
      </c>
      <c r="Q1385" s="35">
        <v>28.0</v>
      </c>
      <c r="R1385" s="32">
        <v>45835.0</v>
      </c>
      <c r="S1385" s="32">
        <v>45835.0</v>
      </c>
      <c r="T1385" s="29"/>
      <c r="U1385" s="33"/>
      <c r="V1385" s="1"/>
    </row>
    <row r="1386" ht="24.0" customHeight="1">
      <c r="A1386" s="1"/>
      <c r="B1386" s="24" t="str">
        <f>HYPERLINK("https://www.compass.com/listing/150-38-union-turnpike-unit-4k-queens-ny-11367/1839243393167835105/view?agent_id=610d3f3370540700019b0833","150-38 Union Turnpike, Unit 4K")</f>
        <v>150-38 Union Turnpike, Unit 4K</v>
      </c>
      <c r="C1386" s="25" t="s">
        <v>22</v>
      </c>
      <c r="D1386" s="26" t="s">
        <v>23</v>
      </c>
      <c r="E1386" s="27" t="str">
        <f>HYPERLINK("https://www.compass.com/building/150-38-union-tpke-queens-ny-11367/293528973462314101/","150-38 Union Tpke")</f>
        <v>150-38 Union Tpke</v>
      </c>
      <c r="F1386" s="25" t="s">
        <v>142</v>
      </c>
      <c r="G1386" s="28">
        <v>638000.0</v>
      </c>
      <c r="H1386" s="28">
        <v>818.0</v>
      </c>
      <c r="I1386" s="28">
        <v>289.0</v>
      </c>
      <c r="J1386" s="28">
        <v>3467.0</v>
      </c>
      <c r="K1386" s="25" t="s">
        <v>28</v>
      </c>
      <c r="L1386" s="26">
        <v>4.0</v>
      </c>
      <c r="M1386" s="26">
        <v>2.0</v>
      </c>
      <c r="N1386" s="26">
        <v>1.0</v>
      </c>
      <c r="O1386" s="30"/>
      <c r="P1386" s="26">
        <v>780.0</v>
      </c>
      <c r="Q1386" s="35">
        <v>74.0</v>
      </c>
      <c r="R1386" s="32">
        <v>45863.0</v>
      </c>
      <c r="S1386" s="32">
        <v>45789.0</v>
      </c>
      <c r="T1386" s="29"/>
      <c r="U1386" s="33"/>
      <c r="V1386" s="1"/>
    </row>
    <row r="1387" ht="24.0" customHeight="1">
      <c r="A1387" s="1"/>
      <c r="B1387" s="24" t="str">
        <f>HYPERLINK("https://www.compass.com/listing/41-38-66th-street-queens-ny-11377/1789234745482750257/view?agent_id=610d3f3370540700019b0833","41-38 66th Street")</f>
        <v>41-38 66th Street</v>
      </c>
      <c r="C1387" s="25" t="s">
        <v>22</v>
      </c>
      <c r="D1387" s="26" t="s">
        <v>23</v>
      </c>
      <c r="E1387" s="27" t="str">
        <f>HYPERLINK("https://www.compass.com/building/41-38-66th-st-queens-ny-11377/293531135508575765/","41-38 66th St")</f>
        <v>41-38 66th St</v>
      </c>
      <c r="F1387" s="25" t="s">
        <v>137</v>
      </c>
      <c r="G1387" s="28">
        <v>435000.0</v>
      </c>
      <c r="H1387" s="28">
        <v>626.0</v>
      </c>
      <c r="I1387" s="28">
        <v>500.0</v>
      </c>
      <c r="J1387" s="28">
        <v>6000.0</v>
      </c>
      <c r="K1387" s="25" t="s">
        <v>28</v>
      </c>
      <c r="L1387" s="26">
        <v>5.0</v>
      </c>
      <c r="M1387" s="26">
        <v>2.0</v>
      </c>
      <c r="N1387" s="26">
        <v>1.0</v>
      </c>
      <c r="O1387" s="30"/>
      <c r="P1387" s="26">
        <v>695.0</v>
      </c>
      <c r="Q1387" s="35">
        <v>142.0</v>
      </c>
      <c r="R1387" s="32">
        <v>45854.0</v>
      </c>
      <c r="S1387" s="32">
        <v>45720.0</v>
      </c>
      <c r="T1387" s="29"/>
      <c r="U1387" s="33"/>
      <c r="V1387" s="1"/>
    </row>
    <row r="1388" ht="24.0" customHeight="1">
      <c r="A1388" s="1"/>
      <c r="B1388" s="24" t="str">
        <f>HYPERLINK("https://www.compass.com/listing/143-50-hoover-avenue-unit-512-queens-ny-11435/1793894179024943777/view?agent_id=610d3f3370540700019b0833","143-50 Hoover Avenue, Unit 512")</f>
        <v>143-50 Hoover Avenue, Unit 512</v>
      </c>
      <c r="C1388" s="25" t="s">
        <v>22</v>
      </c>
      <c r="D1388" s="26" t="s">
        <v>23</v>
      </c>
      <c r="E1388" s="27" t="str">
        <f>HYPERLINK("https://www.compass.com/building/143-50-hoover-ave-queens-ny-11435/293532255605790885/","143-50 Hoover Ave")</f>
        <v>143-50 Hoover Ave</v>
      </c>
      <c r="F1388" s="25" t="s">
        <v>146</v>
      </c>
      <c r="G1388" s="28">
        <v>350000.0</v>
      </c>
      <c r="H1388" s="28">
        <v>371.0</v>
      </c>
      <c r="I1388" s="28">
        <v>1354.0</v>
      </c>
      <c r="J1388" s="29"/>
      <c r="K1388" s="25" t="s">
        <v>25</v>
      </c>
      <c r="L1388" s="26">
        <v>4.0</v>
      </c>
      <c r="M1388" s="26">
        <v>2.0</v>
      </c>
      <c r="N1388" s="26">
        <v>1.0</v>
      </c>
      <c r="O1388" s="30"/>
      <c r="P1388" s="26">
        <v>943.0</v>
      </c>
      <c r="Q1388" s="35">
        <v>131.0</v>
      </c>
      <c r="R1388" s="32">
        <v>45850.0</v>
      </c>
      <c r="S1388" s="32">
        <v>45732.0</v>
      </c>
      <c r="T1388" s="29"/>
      <c r="U1388" s="33"/>
      <c r="V1388" s="1"/>
    </row>
    <row r="1389" ht="24.0" customHeight="1">
      <c r="A1389" s="1"/>
      <c r="B1389" s="24" t="str">
        <f>HYPERLINK("https://www.compass.com/listing/1383-plimpton-avenue-unit-5b-bronx-ny-10452/1733356591698363905/view?agent_id=610d3f3370540700019b0833","1383 Plimpton Avenue, Unit 5B")</f>
        <v>1383 Plimpton Avenue, Unit 5B</v>
      </c>
      <c r="C1389" s="25" t="s">
        <v>22</v>
      </c>
      <c r="D1389" s="26" t="s">
        <v>23</v>
      </c>
      <c r="E1389" s="27" t="str">
        <f>HYPERLINK("https://www.compass.com/building/1383-plimpton-ave-bronx-ny-10452/293530690257991653/","1383 Plimpton Ave")</f>
        <v>1383 Plimpton Ave</v>
      </c>
      <c r="F1389" s="25" t="s">
        <v>293</v>
      </c>
      <c r="G1389" s="28">
        <v>192999.0</v>
      </c>
      <c r="H1389" s="28">
        <v>373.0</v>
      </c>
      <c r="I1389" s="28">
        <v>847.0</v>
      </c>
      <c r="J1389" s="29"/>
      <c r="K1389" s="25" t="s">
        <v>25</v>
      </c>
      <c r="L1389" s="26">
        <v>4.0</v>
      </c>
      <c r="M1389" s="26">
        <v>2.0</v>
      </c>
      <c r="N1389" s="26">
        <v>1.0</v>
      </c>
      <c r="O1389" s="30"/>
      <c r="P1389" s="26">
        <v>517.0</v>
      </c>
      <c r="Q1389" s="35">
        <v>220.0</v>
      </c>
      <c r="R1389" s="32">
        <v>45833.0</v>
      </c>
      <c r="S1389" s="32">
        <v>45643.0</v>
      </c>
      <c r="T1389" s="29"/>
      <c r="U1389" s="33"/>
      <c r="V1389" s="1"/>
    </row>
    <row r="1390" ht="24.0" customHeight="1">
      <c r="A1390" s="1"/>
      <c r="B1390" s="24" t="str">
        <f>HYPERLINK("https://www.compass.com/listing/150-30-71st-avenue-unit-1g-queens-ny-11367/1812404624611717057/view?agent_id=610d3f3370540700019b0833","150-30 71st Avenue, Unit 1G")</f>
        <v>150-30 71st Avenue, Unit 1G</v>
      </c>
      <c r="C1390" s="25" t="s">
        <v>22</v>
      </c>
      <c r="D1390" s="26" t="s">
        <v>23</v>
      </c>
      <c r="E1390" s="27" t="str">
        <f>HYPERLINK("https://www.compass.com/building/150-30-71st-ave-queens-ny-11367/294840094783360549/","150-30 71st Ave")</f>
        <v>150-30 71st Ave</v>
      </c>
      <c r="F1390" s="25" t="s">
        <v>142</v>
      </c>
      <c r="G1390" s="28">
        <v>378000.0</v>
      </c>
      <c r="H1390" s="28">
        <v>398.0</v>
      </c>
      <c r="I1390" s="28">
        <v>1238.0</v>
      </c>
      <c r="J1390" s="29"/>
      <c r="K1390" s="25" t="s">
        <v>25</v>
      </c>
      <c r="L1390" s="26">
        <v>5.0</v>
      </c>
      <c r="M1390" s="26">
        <v>2.0</v>
      </c>
      <c r="N1390" s="26">
        <v>1.0</v>
      </c>
      <c r="O1390" s="30"/>
      <c r="P1390" s="26">
        <v>950.0</v>
      </c>
      <c r="Q1390" s="35">
        <v>110.0</v>
      </c>
      <c r="R1390" s="32">
        <v>45862.0</v>
      </c>
      <c r="S1390" s="32">
        <v>45753.0</v>
      </c>
      <c r="T1390" s="29"/>
      <c r="U1390" s="33"/>
      <c r="V1390" s="1"/>
    </row>
    <row r="1391" ht="24.0" customHeight="1">
      <c r="A1391" s="1"/>
      <c r="B1391" s="24" t="str">
        <f>HYPERLINK("https://www.compass.com/listing/144-55-melbourne-avenue-unit-3a-queens-ny-11367/1769694241442593193/view?agent_id=610d3f3370540700019b0833","144-55 Melbourne Avenue, Unit 3A")</f>
        <v>144-55 Melbourne Avenue, Unit 3A</v>
      </c>
      <c r="C1391" s="25" t="s">
        <v>22</v>
      </c>
      <c r="D1391" s="26" t="s">
        <v>23</v>
      </c>
      <c r="E1391" s="27" t="str">
        <f>HYPERLINK("https://www.compass.com/building/144-55-melbourne-ave-queens-ny-11367/293526947680542885/","144-55 Melbourne Ave")</f>
        <v>144-55 Melbourne Ave</v>
      </c>
      <c r="F1391" s="25" t="s">
        <v>142</v>
      </c>
      <c r="G1391" s="28">
        <v>215000.0</v>
      </c>
      <c r="H1391" s="28">
        <v>215.0</v>
      </c>
      <c r="I1391" s="28">
        <v>1331.0</v>
      </c>
      <c r="J1391" s="29"/>
      <c r="K1391" s="25" t="s">
        <v>25</v>
      </c>
      <c r="L1391" s="26">
        <v>5.0</v>
      </c>
      <c r="M1391" s="26">
        <v>2.0</v>
      </c>
      <c r="N1391" s="26">
        <v>1.0</v>
      </c>
      <c r="O1391" s="30"/>
      <c r="P1391" s="34">
        <v>1000.0</v>
      </c>
      <c r="Q1391" s="35">
        <v>118.0</v>
      </c>
      <c r="R1391" s="32">
        <v>45772.0</v>
      </c>
      <c r="S1391" s="32">
        <v>45693.0</v>
      </c>
      <c r="T1391" s="29"/>
      <c r="U1391" s="33"/>
      <c r="V1391" s="1"/>
    </row>
    <row r="1392" ht="24.0" customHeight="1">
      <c r="A1392" s="1"/>
      <c r="B1392" s="24" t="str">
        <f>HYPERLINK("https://www.compass.com/listing/32-40-89th-street-unit-611-queens-ny-11369/1796127729355012393/view?agent_id=610d3f3370540700019b0833","32-40 89th Street, Unit 611")</f>
        <v>32-40 89th Street, Unit 611</v>
      </c>
      <c r="C1392" s="25" t="s">
        <v>22</v>
      </c>
      <c r="D1392" s="26" t="s">
        <v>23</v>
      </c>
      <c r="E1392" s="27" t="str">
        <f>HYPERLINK("https://www.compass.com/building/32-40-89th-st-queens-ny-11369/307454806460993237/","32-40 89th St")</f>
        <v>32-40 89th St</v>
      </c>
      <c r="F1392" s="25" t="s">
        <v>33</v>
      </c>
      <c r="G1392" s="28">
        <v>337000.0</v>
      </c>
      <c r="H1392" s="28">
        <v>374.0</v>
      </c>
      <c r="I1392" s="28">
        <v>961.0</v>
      </c>
      <c r="J1392" s="29"/>
      <c r="K1392" s="25" t="s">
        <v>25</v>
      </c>
      <c r="L1392" s="26">
        <v>4.0</v>
      </c>
      <c r="M1392" s="26">
        <v>2.0</v>
      </c>
      <c r="N1392" s="26">
        <v>1.0</v>
      </c>
      <c r="O1392" s="30"/>
      <c r="P1392" s="26">
        <v>900.0</v>
      </c>
      <c r="Q1392" s="35">
        <v>133.0</v>
      </c>
      <c r="R1392" s="32">
        <v>45861.0</v>
      </c>
      <c r="S1392" s="32">
        <v>45730.0</v>
      </c>
      <c r="T1392" s="29"/>
      <c r="U1392" s="33"/>
      <c r="V1392" s="1"/>
    </row>
    <row r="1393" ht="24.0" customHeight="1">
      <c r="A1393" s="1"/>
      <c r="B1393" s="24" t="str">
        <f>HYPERLINK("https://www.compass.com/listing/144-17-79th-avenue-unit-2d-queens-ny-11367/1809478270856647337/view?agent_id=610d3f3370540700019b0833","144-17 79th Avenue, Unit 2D")</f>
        <v>144-17 79th Avenue, Unit 2D</v>
      </c>
      <c r="C1393" s="25" t="s">
        <v>22</v>
      </c>
      <c r="D1393" s="26" t="s">
        <v>23</v>
      </c>
      <c r="E1393" s="27" t="str">
        <f>HYPERLINK("https://www.compass.com/building/144-17-79th-ave-queens-ny-11367/307433628740919189/","144-17 79th Ave")</f>
        <v>144-17 79th Ave</v>
      </c>
      <c r="F1393" s="25" t="s">
        <v>142</v>
      </c>
      <c r="G1393" s="28">
        <v>320000.0</v>
      </c>
      <c r="H1393" s="28">
        <v>356.0</v>
      </c>
      <c r="I1393" s="28">
        <v>1006.0</v>
      </c>
      <c r="J1393" s="29"/>
      <c r="K1393" s="25" t="s">
        <v>25</v>
      </c>
      <c r="L1393" s="26">
        <v>5.0</v>
      </c>
      <c r="M1393" s="26">
        <v>2.0</v>
      </c>
      <c r="N1393" s="26">
        <v>1.0</v>
      </c>
      <c r="O1393" s="30"/>
      <c r="P1393" s="26">
        <v>900.0</v>
      </c>
      <c r="Q1393" s="35">
        <v>115.0</v>
      </c>
      <c r="R1393" s="32">
        <v>45853.0</v>
      </c>
      <c r="S1393" s="32">
        <v>45748.0</v>
      </c>
      <c r="T1393" s="29"/>
      <c r="U1393" s="33"/>
      <c r="V1393" s="1"/>
    </row>
    <row r="1394" ht="24.0" customHeight="1">
      <c r="A1394" s="1"/>
      <c r="B1394" s="24" t="str">
        <f>HYPERLINK("https://www.compass.com/listing/150-west-end-avenue-unit-5h-brooklyn-ny-11235/1776265822417179825/view?agent_id=610d3f3370540700019b0833","150 West End Avenue, Unit 5H")</f>
        <v>150 West End Avenue, Unit 5H</v>
      </c>
      <c r="C1394" s="25" t="s">
        <v>22</v>
      </c>
      <c r="D1394" s="26" t="s">
        <v>23</v>
      </c>
      <c r="E1394" s="27" t="str">
        <f>HYPERLINK("https://www.compass.com/building/150-w-end-ave-brooklyn-ny-11235/293418013904982069/","150 W End Ave")</f>
        <v>150 W End Ave</v>
      </c>
      <c r="F1394" s="25" t="s">
        <v>294</v>
      </c>
      <c r="G1394" s="28">
        <v>492000.0</v>
      </c>
      <c r="H1394" s="28">
        <v>492.0</v>
      </c>
      <c r="I1394" s="28">
        <v>1020.0</v>
      </c>
      <c r="J1394" s="29"/>
      <c r="K1394" s="25" t="s">
        <v>25</v>
      </c>
      <c r="L1394" s="26">
        <v>4.0</v>
      </c>
      <c r="M1394" s="26">
        <v>2.0</v>
      </c>
      <c r="N1394" s="26">
        <v>1.0</v>
      </c>
      <c r="O1394" s="30"/>
      <c r="P1394" s="34">
        <v>1000.0</v>
      </c>
      <c r="Q1394" s="35">
        <v>114.0</v>
      </c>
      <c r="R1394" s="32">
        <v>45840.0</v>
      </c>
      <c r="S1394" s="32">
        <v>45749.0</v>
      </c>
      <c r="T1394" s="29"/>
      <c r="U1394" s="33"/>
      <c r="V1394" s="1"/>
    </row>
    <row r="1395" ht="24.0" customHeight="1">
      <c r="A1395" s="1"/>
      <c r="B1395" s="24" t="str">
        <f>HYPERLINK("https://www.compass.com/listing/67-38-108th-street-unit-a53-queens-ny-11375/1864571180689739065/view?agent_id=610d3f3370540700019b0833","67-38 108th Street, Unit A53")</f>
        <v>67-38 108th Street, Unit A53</v>
      </c>
      <c r="C1395" s="25" t="s">
        <v>22</v>
      </c>
      <c r="D1395" s="26" t="s">
        <v>23</v>
      </c>
      <c r="E1395" s="27" t="str">
        <f>HYPERLINK("https://www.compass.com/building/67-38-108th-st-queens-ny-11375/293530282873597669/","67-38 108th St")</f>
        <v>67-38 108th St</v>
      </c>
      <c r="F1395" s="25" t="s">
        <v>83</v>
      </c>
      <c r="G1395" s="28">
        <v>528000.0</v>
      </c>
      <c r="H1395" s="28">
        <v>459.0</v>
      </c>
      <c r="I1395" s="28">
        <v>1495.0</v>
      </c>
      <c r="J1395" s="29"/>
      <c r="K1395" s="25" t="s">
        <v>25</v>
      </c>
      <c r="L1395" s="26">
        <v>5.0</v>
      </c>
      <c r="M1395" s="26">
        <v>2.0</v>
      </c>
      <c r="N1395" s="26">
        <v>1.0</v>
      </c>
      <c r="O1395" s="30"/>
      <c r="P1395" s="34">
        <v>1150.0</v>
      </c>
      <c r="Q1395" s="35">
        <v>39.0</v>
      </c>
      <c r="R1395" s="32">
        <v>45848.0</v>
      </c>
      <c r="S1395" s="32">
        <v>45824.0</v>
      </c>
      <c r="T1395" s="29"/>
      <c r="U1395" s="33"/>
      <c r="V1395" s="1"/>
    </row>
    <row r="1396" ht="24.0" customHeight="1">
      <c r="A1396" s="1"/>
      <c r="B1396" s="24" t="str">
        <f>HYPERLINK("https://www.compass.com/listing/215-19-48th-avenue-unit-3c-queens-ny-11364/1850113891584846889/view?agent_id=610d3f3370540700019b0833","215-19 48th Avenue, Unit 3C")</f>
        <v>215-19 48th Avenue, Unit 3C</v>
      </c>
      <c r="C1396" s="25" t="s">
        <v>22</v>
      </c>
      <c r="D1396" s="26" t="s">
        <v>23</v>
      </c>
      <c r="E1396" s="26" t="s">
        <v>295</v>
      </c>
      <c r="F1396" s="25" t="s">
        <v>252</v>
      </c>
      <c r="G1396" s="28">
        <v>358000.0</v>
      </c>
      <c r="H1396" s="28">
        <v>358.0</v>
      </c>
      <c r="I1396" s="28">
        <v>1416.0</v>
      </c>
      <c r="J1396" s="29"/>
      <c r="K1396" s="25" t="s">
        <v>25</v>
      </c>
      <c r="L1396" s="26">
        <v>4.0</v>
      </c>
      <c r="M1396" s="26">
        <v>2.0</v>
      </c>
      <c r="N1396" s="26">
        <v>1.0</v>
      </c>
      <c r="O1396" s="30"/>
      <c r="P1396" s="26">
        <v>999.0</v>
      </c>
      <c r="Q1396" s="35">
        <v>59.0</v>
      </c>
      <c r="R1396" s="32">
        <v>45863.0</v>
      </c>
      <c r="S1396" s="32">
        <v>45804.0</v>
      </c>
      <c r="T1396" s="29"/>
      <c r="U1396" s="33"/>
      <c r="V1396" s="1"/>
    </row>
    <row r="1397" ht="24.0" customHeight="1">
      <c r="A1397" s="1"/>
      <c r="B1397" s="24" t="str">
        <f>HYPERLINK("https://www.compass.com/listing/150-25-72nd-road-unit-4a-queens-ny-11367/1673415482286254953/view?agent_id=610d3f3370540700019b0833","150-25 72nd Road, Unit 4A")</f>
        <v>150-25 72nd Road, Unit 4A</v>
      </c>
      <c r="C1397" s="25" t="s">
        <v>22</v>
      </c>
      <c r="D1397" s="26" t="s">
        <v>23</v>
      </c>
      <c r="E1397" s="27" t="str">
        <f>HYPERLINK("https://www.compass.com/building/dara-gardens-devon-house-queens-ny/294843030368461397/","Dara Gardens (Devon House)")</f>
        <v>Dara Gardens (Devon House)</v>
      </c>
      <c r="F1397" s="25" t="s">
        <v>142</v>
      </c>
      <c r="G1397" s="28">
        <v>299000.0</v>
      </c>
      <c r="H1397" s="29"/>
      <c r="I1397" s="28">
        <v>1070.0</v>
      </c>
      <c r="J1397" s="28">
        <v>0.0</v>
      </c>
      <c r="K1397" s="25" t="s">
        <v>25</v>
      </c>
      <c r="L1397" s="26">
        <v>4.0</v>
      </c>
      <c r="M1397" s="26">
        <v>2.0</v>
      </c>
      <c r="N1397" s="26">
        <v>1.0</v>
      </c>
      <c r="O1397" s="30"/>
      <c r="P1397" s="30"/>
      <c r="Q1397" s="35">
        <v>303.0</v>
      </c>
      <c r="R1397" s="32">
        <v>45852.0</v>
      </c>
      <c r="S1397" s="32">
        <v>45560.0</v>
      </c>
      <c r="T1397" s="29"/>
      <c r="U1397" s="33"/>
      <c r="V1397" s="1"/>
    </row>
    <row r="1398" ht="24.0" customHeight="1">
      <c r="A1398" s="1"/>
      <c r="B1398" s="24" t="str">
        <f>HYPERLINK("https://www.compass.com/listing/153-25-88th-street-unit-4b-queens-ny-11414/1846559613704561505/view?agent_id=610d3f3370540700019b0833","153-25 88th Street, Unit 4B")</f>
        <v>153-25 88th Street, Unit 4B</v>
      </c>
      <c r="C1398" s="25" t="s">
        <v>22</v>
      </c>
      <c r="D1398" s="26" t="s">
        <v>23</v>
      </c>
      <c r="E1398" s="27" t="str">
        <f>HYPERLINK("https://www.compass.com/building/153-25-88th-st-queens-ny-11414/293528303900376149/","153-25 88th St")</f>
        <v>153-25 88th St</v>
      </c>
      <c r="F1398" s="25" t="s">
        <v>212</v>
      </c>
      <c r="G1398" s="28">
        <v>229000.0</v>
      </c>
      <c r="H1398" s="28">
        <v>3053.0</v>
      </c>
      <c r="I1398" s="28">
        <v>1248.0</v>
      </c>
      <c r="J1398" s="29"/>
      <c r="K1398" s="25" t="s">
        <v>25</v>
      </c>
      <c r="L1398" s="26">
        <v>4.0</v>
      </c>
      <c r="M1398" s="26">
        <v>2.0</v>
      </c>
      <c r="N1398" s="26">
        <v>1.0</v>
      </c>
      <c r="O1398" s="30"/>
      <c r="P1398" s="26">
        <v>75.0</v>
      </c>
      <c r="Q1398" s="35">
        <v>64.0</v>
      </c>
      <c r="R1398" s="32">
        <v>45856.0</v>
      </c>
      <c r="S1398" s="32">
        <v>45799.0</v>
      </c>
      <c r="T1398" s="29"/>
      <c r="U1398" s="33"/>
      <c r="V1398" s="1"/>
    </row>
    <row r="1399" ht="24.0" customHeight="1">
      <c r="A1399" s="1"/>
      <c r="B1399" s="24" t="str">
        <f>HYPERLINK("https://www.compass.com/listing/144-55-melbourne-avenue-unit-2f-queens-ny-11367/1737837798734104841/view?agent_id=610d3f3370540700019b0833","144-55 Melbourne Avenue, Unit 2F")</f>
        <v>144-55 Melbourne Avenue, Unit 2F</v>
      </c>
      <c r="C1399" s="25" t="s">
        <v>22</v>
      </c>
      <c r="D1399" s="26" t="s">
        <v>23</v>
      </c>
      <c r="E1399" s="27" t="str">
        <f>HYPERLINK("https://www.compass.com/building/144-55-melbourne-ave-queens-ny-11367/293526947680542885/","144-55 Melbourne Ave")</f>
        <v>144-55 Melbourne Ave</v>
      </c>
      <c r="F1399" s="25" t="s">
        <v>142</v>
      </c>
      <c r="G1399" s="28">
        <v>225000.0</v>
      </c>
      <c r="H1399" s="28">
        <v>225.0</v>
      </c>
      <c r="I1399" s="28">
        <v>1332.0</v>
      </c>
      <c r="J1399" s="29"/>
      <c r="K1399" s="25" t="s">
        <v>25</v>
      </c>
      <c r="L1399" s="26">
        <v>4.0</v>
      </c>
      <c r="M1399" s="26">
        <v>2.0</v>
      </c>
      <c r="N1399" s="26">
        <v>1.0</v>
      </c>
      <c r="O1399" s="30"/>
      <c r="P1399" s="34">
        <v>1000.0</v>
      </c>
      <c r="Q1399" s="35">
        <v>213.0</v>
      </c>
      <c r="R1399" s="32">
        <v>45824.0</v>
      </c>
      <c r="S1399" s="32">
        <v>45650.0</v>
      </c>
      <c r="T1399" s="29"/>
      <c r="U1399" s="33"/>
      <c r="V1399" s="1"/>
    </row>
    <row r="1400" ht="24.0" customHeight="1">
      <c r="A1400" s="1"/>
      <c r="B1400" s="24" t="str">
        <f>HYPERLINK("https://www.compass.com/listing/112-30-northern-boulevard-unit-4g-queens-ny-11368/1814875798856807905/view?agent_id=610d3f3370540700019b0833","112-30 Northern Boulevard, Unit 4G")</f>
        <v>112-30 Northern Boulevard, Unit 4G</v>
      </c>
      <c r="C1400" s="25" t="s">
        <v>22</v>
      </c>
      <c r="D1400" s="26" t="s">
        <v>23</v>
      </c>
      <c r="E1400" s="27" t="str">
        <f>HYPERLINK("https://www.compass.com/building/112-30-northern-blvd-queens-ny-11368/307455150201287173/","112-30 Northern Blvd")</f>
        <v>112-30 Northern Blvd</v>
      </c>
      <c r="F1400" s="25" t="s">
        <v>230</v>
      </c>
      <c r="G1400" s="28">
        <v>260000.0</v>
      </c>
      <c r="H1400" s="28">
        <v>260.0</v>
      </c>
      <c r="I1400" s="28">
        <v>1200.0</v>
      </c>
      <c r="J1400" s="29"/>
      <c r="K1400" s="25" t="s">
        <v>25</v>
      </c>
      <c r="L1400" s="26">
        <v>5.0</v>
      </c>
      <c r="M1400" s="26">
        <v>2.0</v>
      </c>
      <c r="N1400" s="26">
        <v>1.0</v>
      </c>
      <c r="O1400" s="30"/>
      <c r="P1400" s="34">
        <v>1000.0</v>
      </c>
      <c r="Q1400" s="35">
        <v>108.0</v>
      </c>
      <c r="R1400" s="32">
        <v>45860.0</v>
      </c>
      <c r="S1400" s="32">
        <v>45755.0</v>
      </c>
      <c r="T1400" s="29"/>
      <c r="U1400" s="33"/>
      <c r="V1400" s="1"/>
    </row>
    <row r="1401" ht="24.0" customHeight="1">
      <c r="A1401" s="1"/>
      <c r="B1401" s="24" t="str">
        <f>HYPERLINK("https://www.compass.com/listing/68-02-140th-street-unit-a-queens-ny-11367/1788617545084133825/view?agent_id=610d3f3370540700019b0833","68-02 140th Street, Unit A")</f>
        <v>68-02 140th Street, Unit A</v>
      </c>
      <c r="C1401" s="25" t="s">
        <v>22</v>
      </c>
      <c r="D1401" s="26" t="s">
        <v>23</v>
      </c>
      <c r="E1401" s="26" t="s">
        <v>296</v>
      </c>
      <c r="F1401" s="25" t="s">
        <v>142</v>
      </c>
      <c r="G1401" s="28">
        <v>325000.0</v>
      </c>
      <c r="H1401" s="28">
        <v>373.0</v>
      </c>
      <c r="I1401" s="28">
        <v>1325.0</v>
      </c>
      <c r="J1401" s="29"/>
      <c r="K1401" s="25" t="s">
        <v>25</v>
      </c>
      <c r="L1401" s="26">
        <v>5.0</v>
      </c>
      <c r="M1401" s="26">
        <v>2.0</v>
      </c>
      <c r="N1401" s="26">
        <v>1.0</v>
      </c>
      <c r="O1401" s="30"/>
      <c r="P1401" s="26">
        <v>871.0</v>
      </c>
      <c r="Q1401" s="35">
        <v>143.0</v>
      </c>
      <c r="R1401" s="32">
        <v>45861.0</v>
      </c>
      <c r="S1401" s="32">
        <v>45719.0</v>
      </c>
      <c r="T1401" s="29"/>
      <c r="U1401" s="33"/>
      <c r="V1401" s="1"/>
    </row>
    <row r="1402" ht="24.0" customHeight="1">
      <c r="A1402" s="1"/>
      <c r="B1402" s="24" t="str">
        <f>HYPERLINK("https://www.compass.com/listing/83-11-139th-street-unit-3h-queens-ny-11435/1574004741950316369/view?agent_id=610d3f3370540700019b0833","83-11 139th Street, Unit 3H")</f>
        <v>83-11 139th Street, Unit 3H</v>
      </c>
      <c r="C1402" s="25" t="s">
        <v>22</v>
      </c>
      <c r="D1402" s="26" t="s">
        <v>23</v>
      </c>
      <c r="E1402" s="27" t="str">
        <f>HYPERLINK("https://www.compass.com/building/83-11-139th-st-queens-ny-11435/307443750116410821/","83-11 139th St")</f>
        <v>83-11 139th St</v>
      </c>
      <c r="F1402" s="25" t="s">
        <v>146</v>
      </c>
      <c r="G1402" s="28">
        <v>335000.0</v>
      </c>
      <c r="H1402" s="28">
        <v>335.0</v>
      </c>
      <c r="I1402" s="28">
        <v>887.0</v>
      </c>
      <c r="J1402" s="28">
        <v>0.0</v>
      </c>
      <c r="K1402" s="25" t="s">
        <v>25</v>
      </c>
      <c r="L1402" s="26">
        <v>5.0</v>
      </c>
      <c r="M1402" s="26">
        <v>2.0</v>
      </c>
      <c r="N1402" s="26">
        <v>1.0</v>
      </c>
      <c r="O1402" s="26">
        <v>0.0</v>
      </c>
      <c r="P1402" s="34">
        <v>1000.0</v>
      </c>
      <c r="Q1402" s="35">
        <v>387.0</v>
      </c>
      <c r="R1402" s="32">
        <v>45838.0</v>
      </c>
      <c r="S1402" s="32">
        <v>45394.0</v>
      </c>
      <c r="T1402" s="29"/>
      <c r="U1402" s="33"/>
      <c r="V1402" s="1"/>
    </row>
    <row r="1403" ht="24.0" customHeight="1">
      <c r="A1403" s="1"/>
      <c r="B1403" s="24" t="str">
        <f>HYPERLINK("https://www.compass.com/listing/9524-fort-hamilton-parkway-unit-105-brooklyn-ny-11209/1590779556211130881/view?agent_id=610d3f3370540700019b0833","9524 Fort Hamilton Parkway, Unit 105")</f>
        <v>9524 Fort Hamilton Parkway, Unit 105</v>
      </c>
      <c r="C1403" s="25" t="s">
        <v>22</v>
      </c>
      <c r="D1403" s="26" t="s">
        <v>23</v>
      </c>
      <c r="E1403" s="27" t="str">
        <f>HYPERLINK("https://www.compass.com/building/9524-fort-hamilton-pkwy-brooklyn-ny-11209/294838288103747061/","9524 Fort Hamilton Pkwy")</f>
        <v>9524 Fort Hamilton Pkwy</v>
      </c>
      <c r="F1403" s="25" t="s">
        <v>55</v>
      </c>
      <c r="G1403" s="28">
        <v>355999.0</v>
      </c>
      <c r="H1403" s="28">
        <v>396.0</v>
      </c>
      <c r="I1403" s="28">
        <v>1200.0</v>
      </c>
      <c r="J1403" s="29"/>
      <c r="K1403" s="25" t="s">
        <v>25</v>
      </c>
      <c r="L1403" s="26">
        <v>4.0</v>
      </c>
      <c r="M1403" s="26">
        <v>2.0</v>
      </c>
      <c r="N1403" s="26">
        <v>1.0</v>
      </c>
      <c r="O1403" s="30"/>
      <c r="P1403" s="26">
        <v>900.0</v>
      </c>
      <c r="Q1403" s="35">
        <v>417.0</v>
      </c>
      <c r="R1403" s="32">
        <v>45858.0</v>
      </c>
      <c r="S1403" s="32">
        <v>45446.0</v>
      </c>
      <c r="T1403" s="29"/>
      <c r="U1403" s="33"/>
      <c r="V1403" s="1"/>
    </row>
    <row r="1404" ht="24.0" customHeight="1">
      <c r="A1404" s="1"/>
      <c r="B1404" s="24" t="str">
        <f>HYPERLINK("https://www.compass.com/listing/140-10-84th-drive-unit-1b-queens-ny-11435/1754890796606095049/view?agent_id=610d3f3370540700019b0833","140-10 84th Drive, Unit 1B")</f>
        <v>140-10 84th Drive, Unit 1B</v>
      </c>
      <c r="C1404" s="25" t="s">
        <v>22</v>
      </c>
      <c r="D1404" s="26" t="s">
        <v>23</v>
      </c>
      <c r="E1404" s="27" t="str">
        <f>HYPERLINK("https://www.compass.com/building/140-10-84th-dr-queens-ny-11435/294843106838881909/","140-10 84th Dr")</f>
        <v>140-10 84th Dr</v>
      </c>
      <c r="F1404" s="25" t="s">
        <v>146</v>
      </c>
      <c r="G1404" s="28">
        <v>299000.0</v>
      </c>
      <c r="H1404" s="28">
        <v>399.0</v>
      </c>
      <c r="I1404" s="28">
        <v>653.0</v>
      </c>
      <c r="J1404" s="29"/>
      <c r="K1404" s="25" t="s">
        <v>25</v>
      </c>
      <c r="L1404" s="26">
        <v>5.0</v>
      </c>
      <c r="M1404" s="26">
        <v>2.0</v>
      </c>
      <c r="N1404" s="26">
        <v>1.0</v>
      </c>
      <c r="O1404" s="30"/>
      <c r="P1404" s="26">
        <v>750.0</v>
      </c>
      <c r="Q1404" s="35">
        <v>190.0</v>
      </c>
      <c r="R1404" s="32">
        <v>45862.0</v>
      </c>
      <c r="S1404" s="32">
        <v>45673.0</v>
      </c>
      <c r="T1404" s="29"/>
      <c r="U1404" s="33"/>
      <c r="V1404" s="1"/>
    </row>
    <row r="1405" ht="24.0" customHeight="1">
      <c r="A1405" s="1"/>
      <c r="B1405" s="24" t="str">
        <f>HYPERLINK("https://www.compass.com/listing/196-32-pompeii-avenue-unit-2c-queens-ny-11423/1832140973885597665/view?agent_id=610d3f3370540700019b0833","196-32 Pompeii Avenue, Unit 2C")</f>
        <v>196-32 Pompeii Avenue, Unit 2C</v>
      </c>
      <c r="C1405" s="25" t="s">
        <v>22</v>
      </c>
      <c r="D1405" s="26" t="s">
        <v>23</v>
      </c>
      <c r="E1405" s="26" t="s">
        <v>297</v>
      </c>
      <c r="F1405" s="25" t="s">
        <v>298</v>
      </c>
      <c r="G1405" s="28">
        <v>240000.0</v>
      </c>
      <c r="H1405" s="28">
        <v>300.0</v>
      </c>
      <c r="I1405" s="28">
        <v>1413.0</v>
      </c>
      <c r="J1405" s="29"/>
      <c r="K1405" s="25" t="s">
        <v>25</v>
      </c>
      <c r="L1405" s="26">
        <v>5.0</v>
      </c>
      <c r="M1405" s="26">
        <v>2.0</v>
      </c>
      <c r="N1405" s="26">
        <v>1.0</v>
      </c>
      <c r="O1405" s="30"/>
      <c r="P1405" s="26">
        <v>800.0</v>
      </c>
      <c r="Q1405" s="35">
        <v>84.0</v>
      </c>
      <c r="R1405" s="32">
        <v>45824.0</v>
      </c>
      <c r="S1405" s="32">
        <v>45779.0</v>
      </c>
      <c r="T1405" s="29"/>
      <c r="U1405" s="33"/>
      <c r="V1405" s="1"/>
    </row>
    <row r="1406" ht="24.0" customHeight="1">
      <c r="A1406" s="1"/>
      <c r="B1406" s="24" t="str">
        <f>HYPERLINK("https://www.compass.com/listing/83-20-141st-street-unit-3h-queens-ny-11435/1736122325662840777/view?agent_id=610d3f3370540700019b0833","83-20 141st Street, Unit 3H")</f>
        <v>83-20 141st Street, Unit 3H</v>
      </c>
      <c r="C1406" s="25" t="s">
        <v>22</v>
      </c>
      <c r="D1406" s="26" t="s">
        <v>23</v>
      </c>
      <c r="E1406" s="27" t="str">
        <f>HYPERLINK("https://www.compass.com/building/83-20-141st-st-queens-ny-11435/293418270420190261/","83-20 141st St")</f>
        <v>83-20 141st St</v>
      </c>
      <c r="F1406" s="25" t="s">
        <v>146</v>
      </c>
      <c r="G1406" s="28">
        <v>335000.0</v>
      </c>
      <c r="H1406" s="28">
        <v>335.0</v>
      </c>
      <c r="I1406" s="28">
        <v>887.0</v>
      </c>
      <c r="J1406" s="28">
        <v>0.0</v>
      </c>
      <c r="K1406" s="25" t="s">
        <v>25</v>
      </c>
      <c r="L1406" s="26">
        <v>4.0</v>
      </c>
      <c r="M1406" s="26">
        <v>2.0</v>
      </c>
      <c r="N1406" s="26">
        <v>1.0</v>
      </c>
      <c r="O1406" s="30"/>
      <c r="P1406" s="34">
        <v>1000.0</v>
      </c>
      <c r="Q1406" s="35">
        <v>436.0</v>
      </c>
      <c r="R1406" s="32">
        <v>45647.0</v>
      </c>
      <c r="S1406" s="32">
        <v>45427.0</v>
      </c>
      <c r="T1406" s="29"/>
      <c r="U1406" s="33"/>
      <c r="V1406" s="1"/>
    </row>
    <row r="1407" ht="24.0" customHeight="1">
      <c r="A1407" s="1"/>
      <c r="B1407" s="24" t="str">
        <f>HYPERLINK("https://www.compass.com/listing/214-27-hillside-avenue-unit-b-queens-ny-11427/1801643255287779417/view?agent_id=610d3f3370540700019b0833","214- 27 Hillside Avenue, Unit B")</f>
        <v>214- 27 Hillside Avenue, Unit B</v>
      </c>
      <c r="C1407" s="25" t="s">
        <v>22</v>
      </c>
      <c r="D1407" s="26" t="s">
        <v>23</v>
      </c>
      <c r="E1407" s="26" t="s">
        <v>299</v>
      </c>
      <c r="F1407" s="25" t="s">
        <v>98</v>
      </c>
      <c r="G1407" s="28">
        <v>264990.0</v>
      </c>
      <c r="H1407" s="28">
        <v>379.0</v>
      </c>
      <c r="I1407" s="28">
        <v>1200.0</v>
      </c>
      <c r="J1407" s="29"/>
      <c r="K1407" s="25" t="s">
        <v>25</v>
      </c>
      <c r="L1407" s="26">
        <v>5.0</v>
      </c>
      <c r="M1407" s="26">
        <v>2.0</v>
      </c>
      <c r="N1407" s="26">
        <v>1.0</v>
      </c>
      <c r="O1407" s="30"/>
      <c r="P1407" s="26">
        <v>700.0</v>
      </c>
      <c r="Q1407" s="35">
        <v>126.0</v>
      </c>
      <c r="R1407" s="32">
        <v>45759.0</v>
      </c>
      <c r="S1407" s="32">
        <v>45737.0</v>
      </c>
      <c r="T1407" s="29"/>
      <c r="U1407" s="33"/>
      <c r="V1407" s="1"/>
    </row>
    <row r="1408" ht="24.0" customHeight="1">
      <c r="A1408" s="1"/>
      <c r="B1408" s="24" t="str">
        <f>HYPERLINK("https://www.compass.com/listing/2483-west-16th-street-unit-19b-brooklyn-ny-11214/1844268144699793321/view?agent_id=610d3f3370540700019b0833","2483 West 16th Street, Unit 19B")</f>
        <v>2483 West 16th Street, Unit 19B</v>
      </c>
      <c r="C1408" s="25" t="s">
        <v>22</v>
      </c>
      <c r="D1408" s="26" t="s">
        <v>23</v>
      </c>
      <c r="E1408" s="27" t="str">
        <f>HYPERLINK("https://www.compass.com/building/2483-w-16th-st-brooklyn-ny-11214/307458531313475429/","2483 W 16th St")</f>
        <v>2483 W 16th St</v>
      </c>
      <c r="F1408" s="25" t="s">
        <v>173</v>
      </c>
      <c r="G1408" s="28">
        <v>450000.0</v>
      </c>
      <c r="H1408" s="28">
        <v>450.0</v>
      </c>
      <c r="I1408" s="28">
        <v>1049.0</v>
      </c>
      <c r="J1408" s="29"/>
      <c r="K1408" s="25" t="s">
        <v>25</v>
      </c>
      <c r="L1408" s="26">
        <v>4.0</v>
      </c>
      <c r="M1408" s="26">
        <v>2.0</v>
      </c>
      <c r="N1408" s="26">
        <v>1.0</v>
      </c>
      <c r="O1408" s="30"/>
      <c r="P1408" s="34">
        <v>1000.0</v>
      </c>
      <c r="Q1408" s="35">
        <v>67.0</v>
      </c>
      <c r="R1408" s="32">
        <v>45841.0</v>
      </c>
      <c r="S1408" s="32">
        <v>45796.0</v>
      </c>
      <c r="T1408" s="29"/>
      <c r="U1408" s="33"/>
      <c r="V1408" s="1"/>
    </row>
    <row r="1409" ht="24.0" customHeight="1">
      <c r="A1409" s="1"/>
      <c r="B1409" s="24" t="str">
        <f>HYPERLINK("https://www.compass.com/listing/79-14-rockaway-beach-boulevard-unit-1j-queens-ny-11693/1846138398192118977/view?agent_id=610d3f3370540700019b0833","79-14 Rockaway Beach Boulevard, Unit 1J")</f>
        <v>79-14 Rockaway Beach Boulevard, Unit 1J</v>
      </c>
      <c r="C1409" s="25" t="s">
        <v>22</v>
      </c>
      <c r="D1409" s="26" t="s">
        <v>23</v>
      </c>
      <c r="E1409" s="27" t="str">
        <f>HYPERLINK("https://www.compass.com/building/79-14-rockaway-beach-blvd-queens-ny-11693/293531018890101893/","79-14 Rockaway Beach Blvd")</f>
        <v>79-14 Rockaway Beach Blvd</v>
      </c>
      <c r="F1409" s="25" t="s">
        <v>35</v>
      </c>
      <c r="G1409" s="28">
        <v>379990.0</v>
      </c>
      <c r="H1409" s="28">
        <v>361.0</v>
      </c>
      <c r="I1409" s="28">
        <v>1131.0</v>
      </c>
      <c r="J1409" s="28">
        <v>5296.0</v>
      </c>
      <c r="K1409" s="25" t="s">
        <v>28</v>
      </c>
      <c r="L1409" s="26">
        <v>4.0</v>
      </c>
      <c r="M1409" s="26">
        <v>2.0</v>
      </c>
      <c r="N1409" s="26">
        <v>1.0</v>
      </c>
      <c r="O1409" s="30"/>
      <c r="P1409" s="34">
        <v>1052.0</v>
      </c>
      <c r="Q1409" s="35">
        <v>64.0</v>
      </c>
      <c r="R1409" s="32">
        <v>45862.0</v>
      </c>
      <c r="S1409" s="32">
        <v>45799.0</v>
      </c>
      <c r="T1409" s="29"/>
      <c r="U1409" s="33"/>
      <c r="V1409" s="1"/>
    </row>
    <row r="1410" ht="24.0" customHeight="1">
      <c r="A1410" s="1"/>
      <c r="B1410" s="24" t="str">
        <f>HYPERLINK("https://www.compass.com/listing/144-60-gravett-road-unit-1c-queens-ny-11367/1698030087372759569/view?agent_id=610d3f3370540700019b0833","144-60 Gravett Road, Unit 1C")</f>
        <v>144-60 Gravett Road, Unit 1C</v>
      </c>
      <c r="C1410" s="25" t="s">
        <v>22</v>
      </c>
      <c r="D1410" s="26" t="s">
        <v>23</v>
      </c>
      <c r="E1410" s="27" t="str">
        <f>HYPERLINK("https://www.compass.com/building/144-60-gravett-rd-queens-ny-11367/307459308694096901/","144-60 Gravett Rd")</f>
        <v>144-60 Gravett Rd</v>
      </c>
      <c r="F1410" s="25" t="s">
        <v>142</v>
      </c>
      <c r="G1410" s="28">
        <v>225000.0</v>
      </c>
      <c r="H1410" s="28">
        <v>225.0</v>
      </c>
      <c r="I1410" s="28">
        <v>2571.0</v>
      </c>
      <c r="J1410" s="28">
        <v>0.0</v>
      </c>
      <c r="K1410" s="25" t="s">
        <v>25</v>
      </c>
      <c r="L1410" s="26">
        <v>4.0</v>
      </c>
      <c r="M1410" s="26">
        <v>2.0</v>
      </c>
      <c r="N1410" s="26">
        <v>1.0</v>
      </c>
      <c r="O1410" s="30"/>
      <c r="P1410" s="34">
        <v>1000.0</v>
      </c>
      <c r="Q1410" s="35">
        <v>269.0</v>
      </c>
      <c r="R1410" s="32">
        <v>45777.0</v>
      </c>
      <c r="S1410" s="32">
        <v>45594.0</v>
      </c>
      <c r="T1410" s="29"/>
      <c r="U1410" s="33"/>
      <c r="V1410" s="1"/>
    </row>
    <row r="1411" ht="24.0" customHeight="1">
      <c r="A1411" s="1"/>
      <c r="B1411" s="24" t="str">
        <f>HYPERLINK("https://www.compass.com/listing/147-edgewater-park-unit-d-bronx-ny-10465/1545726928498821761/view?agent_id=610d3f3370540700019b0833","147 Edgewater Park, Unit D")</f>
        <v>147 Edgewater Park, Unit D</v>
      </c>
      <c r="C1411" s="25" t="s">
        <v>22</v>
      </c>
      <c r="D1411" s="26" t="s">
        <v>23</v>
      </c>
      <c r="E1411" s="27" t="str">
        <f>HYPERLINK("https://www.compass.com/building/edgewater-park-bronx-ny/358733234922892853/","Edgewater Park")</f>
        <v>Edgewater Park</v>
      </c>
      <c r="F1411" s="25" t="s">
        <v>204</v>
      </c>
      <c r="G1411" s="28">
        <v>55000.0</v>
      </c>
      <c r="H1411" s="29"/>
      <c r="I1411" s="28">
        <v>335.0</v>
      </c>
      <c r="J1411" s="29"/>
      <c r="K1411" s="25" t="s">
        <v>25</v>
      </c>
      <c r="L1411" s="26">
        <v>5.0</v>
      </c>
      <c r="M1411" s="26">
        <v>2.0</v>
      </c>
      <c r="N1411" s="26">
        <v>1.0</v>
      </c>
      <c r="O1411" s="30"/>
      <c r="P1411" s="30"/>
      <c r="Q1411" s="35">
        <v>479.0</v>
      </c>
      <c r="R1411" s="32">
        <v>45832.0</v>
      </c>
      <c r="S1411" s="32">
        <v>45384.0</v>
      </c>
      <c r="T1411" s="29"/>
      <c r="U1411" s="33"/>
      <c r="V1411" s="1"/>
    </row>
    <row r="1412" ht="24.0" customHeight="1">
      <c r="A1412" s="1"/>
      <c r="B1412" s="24" t="str">
        <f>HYPERLINK("https://www.compass.com/listing/150-20-71st-avenue-unit-6-queens-ny-11367/1616849083626234593/view?agent_id=610d3f3370540700019b0833","150-20 71st Avenue, Unit 6")</f>
        <v>150-20 71st Avenue, Unit 6</v>
      </c>
      <c r="C1412" s="25" t="s">
        <v>22</v>
      </c>
      <c r="D1412" s="26" t="s">
        <v>23</v>
      </c>
      <c r="E1412" s="27" t="str">
        <f>HYPERLINK("https://www.compass.com/building/dara-gardens-queens-ny/294844631888016069/","Dara Gardens")</f>
        <v>Dara Gardens</v>
      </c>
      <c r="F1412" s="25" t="s">
        <v>142</v>
      </c>
      <c r="G1412" s="28">
        <v>345000.0</v>
      </c>
      <c r="H1412" s="28">
        <v>388.0</v>
      </c>
      <c r="I1412" s="28">
        <v>1075.0</v>
      </c>
      <c r="J1412" s="28">
        <v>0.0</v>
      </c>
      <c r="K1412" s="25" t="s">
        <v>25</v>
      </c>
      <c r="L1412" s="26">
        <v>5.0</v>
      </c>
      <c r="M1412" s="26">
        <v>2.0</v>
      </c>
      <c r="N1412" s="26">
        <v>1.0</v>
      </c>
      <c r="O1412" s="30"/>
      <c r="P1412" s="26">
        <v>890.0</v>
      </c>
      <c r="Q1412" s="35">
        <v>364.0</v>
      </c>
      <c r="R1412" s="32">
        <v>45863.0</v>
      </c>
      <c r="S1412" s="32">
        <v>45485.0</v>
      </c>
      <c r="T1412" s="29"/>
      <c r="U1412" s="33"/>
      <c r="V1412" s="1"/>
    </row>
    <row r="1413" ht="24.0" customHeight="1">
      <c r="A1413" s="1"/>
      <c r="B1413" s="24" t="str">
        <f>HYPERLINK("https://www.compass.com/listing/83-00-talbot-street-unit-6f-queens-ny-11415/1844933496580052673/view?agent_id=610d3f3370540700019b0833","83-00 Talbot Street, Unit 6F")</f>
        <v>83-00 Talbot Street, Unit 6F</v>
      </c>
      <c r="C1413" s="25" t="s">
        <v>22</v>
      </c>
      <c r="D1413" s="26" t="s">
        <v>23</v>
      </c>
      <c r="E1413" s="27" t="str">
        <f>HYPERLINK("https://www.compass.com/building/83-00-talbot-st-queens-ny-11415/307456979052000053/","83-00 Talbot St")</f>
        <v>83-00 Talbot St</v>
      </c>
      <c r="F1413" s="25" t="s">
        <v>91</v>
      </c>
      <c r="G1413" s="28">
        <v>475000.0</v>
      </c>
      <c r="H1413" s="29"/>
      <c r="I1413" s="28">
        <v>1245.0</v>
      </c>
      <c r="J1413" s="28">
        <v>0.0</v>
      </c>
      <c r="K1413" s="25" t="s">
        <v>25</v>
      </c>
      <c r="L1413" s="26">
        <v>4.0</v>
      </c>
      <c r="M1413" s="26">
        <v>2.0</v>
      </c>
      <c r="N1413" s="26">
        <v>1.0</v>
      </c>
      <c r="O1413" s="26">
        <v>0.0</v>
      </c>
      <c r="P1413" s="30"/>
      <c r="Q1413" s="35">
        <v>66.0</v>
      </c>
      <c r="R1413" s="32">
        <v>45849.0</v>
      </c>
      <c r="S1413" s="32">
        <v>45797.0</v>
      </c>
      <c r="T1413" s="29"/>
      <c r="U1413" s="33"/>
      <c r="V1413" s="1"/>
    </row>
    <row r="1414" ht="24.0" customHeight="1">
      <c r="A1414" s="1"/>
      <c r="B1414" s="24" t="str">
        <f>HYPERLINK("https://www.compass.com/listing/35-91-161-street-unit-2j-queens-ny-11358/1856059433113135185/view?agent_id=610d3f3370540700019b0833","35-91 161 Street, Unit 2J")</f>
        <v>35-91 161 Street, Unit 2J</v>
      </c>
      <c r="C1414" s="25" t="s">
        <v>22</v>
      </c>
      <c r="D1414" s="26" t="s">
        <v>23</v>
      </c>
      <c r="E1414" s="26" t="s">
        <v>300</v>
      </c>
      <c r="F1414" s="25" t="s">
        <v>160</v>
      </c>
      <c r="G1414" s="28">
        <v>656000.0</v>
      </c>
      <c r="H1414" s="28">
        <v>625.0</v>
      </c>
      <c r="I1414" s="28">
        <v>762.0</v>
      </c>
      <c r="J1414" s="28">
        <v>3993.0</v>
      </c>
      <c r="K1414" s="25" t="s">
        <v>28</v>
      </c>
      <c r="L1414" s="26">
        <v>4.0</v>
      </c>
      <c r="M1414" s="26">
        <v>2.0</v>
      </c>
      <c r="N1414" s="26">
        <v>1.0</v>
      </c>
      <c r="O1414" s="30"/>
      <c r="P1414" s="34">
        <v>1050.0</v>
      </c>
      <c r="Q1414" s="35">
        <v>50.0</v>
      </c>
      <c r="R1414" s="32">
        <v>45849.0</v>
      </c>
      <c r="S1414" s="32">
        <v>45812.0</v>
      </c>
      <c r="T1414" s="29"/>
      <c r="U1414" s="33"/>
      <c r="V1414" s="1"/>
    </row>
    <row r="1415" ht="24.0" customHeight="1">
      <c r="A1415" s="1"/>
      <c r="B1415" s="24" t="str">
        <f>HYPERLINK("https://www.compass.com/listing/800-grand-concourse-unit-gms-bronx-ny-10451/1649919392163379897/view?agent_id=610d3f3370540700019b0833","800 Grand Concourse, Unit GMS")</f>
        <v>800 Grand Concourse, Unit GMS</v>
      </c>
      <c r="C1415" s="25" t="s">
        <v>22</v>
      </c>
      <c r="D1415" s="26" t="s">
        <v>23</v>
      </c>
      <c r="E1415" s="27" t="str">
        <f>HYPERLINK("https://www.compass.com/building/800-grand-concourse-bronx-ny-10451/293534286068403877/","800 Grand Concourse")</f>
        <v>800 Grand Concourse</v>
      </c>
      <c r="F1415" s="25" t="s">
        <v>217</v>
      </c>
      <c r="G1415" s="28">
        <v>265000.0</v>
      </c>
      <c r="H1415" s="28">
        <v>325.0</v>
      </c>
      <c r="I1415" s="28">
        <v>1085.0</v>
      </c>
      <c r="J1415" s="28">
        <v>0.0</v>
      </c>
      <c r="K1415" s="25" t="s">
        <v>25</v>
      </c>
      <c r="L1415" s="26">
        <v>4.0</v>
      </c>
      <c r="M1415" s="26">
        <v>2.0</v>
      </c>
      <c r="N1415" s="26">
        <v>1.0</v>
      </c>
      <c r="O1415" s="26">
        <v>0.0</v>
      </c>
      <c r="P1415" s="26">
        <v>815.0</v>
      </c>
      <c r="Q1415" s="35">
        <v>324.0</v>
      </c>
      <c r="R1415" s="32">
        <v>45848.0</v>
      </c>
      <c r="S1415" s="32">
        <v>45530.0</v>
      </c>
      <c r="T1415" s="29"/>
      <c r="U1415" s="33"/>
      <c r="V1415" s="1"/>
    </row>
    <row r="1416" ht="24.0" customHeight="1">
      <c r="A1416" s="1"/>
      <c r="B1416" s="24" t="str">
        <f>HYPERLINK("https://www.compass.com/listing/140-21-burden-crescent-unit-102-queens-ny-11435/1807205318753486537/view?agent_id=610d3f3370540700019b0833","140-21 Burden Crescent, Unit 102")</f>
        <v>140-21 Burden Crescent, Unit 102</v>
      </c>
      <c r="C1416" s="25" t="s">
        <v>22</v>
      </c>
      <c r="D1416" s="26" t="s">
        <v>23</v>
      </c>
      <c r="E1416" s="27" t="str">
        <f>HYPERLINK("https://www.compass.com/building/140-21-burden-cres-queens-ny-11435/294845487240460197/","140-21 Burden Cres")</f>
        <v>140-21 Burden Cres</v>
      </c>
      <c r="F1416" s="25" t="s">
        <v>146</v>
      </c>
      <c r="G1416" s="28">
        <v>320000.0</v>
      </c>
      <c r="H1416" s="28">
        <v>320.0</v>
      </c>
      <c r="I1416" s="28">
        <v>1215.0</v>
      </c>
      <c r="J1416" s="28">
        <v>0.0</v>
      </c>
      <c r="K1416" s="25" t="s">
        <v>25</v>
      </c>
      <c r="L1416" s="26">
        <v>4.0</v>
      </c>
      <c r="M1416" s="26">
        <v>2.0</v>
      </c>
      <c r="N1416" s="26">
        <v>1.0</v>
      </c>
      <c r="O1416" s="26">
        <v>0.0</v>
      </c>
      <c r="P1416" s="34">
        <v>1000.0</v>
      </c>
      <c r="Q1416" s="35">
        <v>114.0</v>
      </c>
      <c r="R1416" s="32">
        <v>45749.0</v>
      </c>
      <c r="S1416" s="32">
        <v>45749.0</v>
      </c>
      <c r="T1416" s="29"/>
      <c r="U1416" s="33"/>
      <c r="V1416" s="1"/>
    </row>
    <row r="1417" ht="24.0" customHeight="1">
      <c r="A1417" s="1"/>
      <c r="B1417" s="24" t="str">
        <f>HYPERLINK("https://www.compass.com/listing/43-aster-court-unit-ph-brooklyn-ny-11229/1628063000869545121/view?agent_id=610d3f3370540700019b0833","43 Aster Court, Unit PH")</f>
        <v>43 Aster Court, Unit PH</v>
      </c>
      <c r="C1417" s="25" t="s">
        <v>22</v>
      </c>
      <c r="D1417" s="26" t="s">
        <v>23</v>
      </c>
      <c r="E1417" s="27" t="str">
        <f>HYPERLINK("https://www.compass.com/building/43-aster-ct-brooklyn-ny-11229/293527388745207733/","43 Aster Ct")</f>
        <v>43 Aster Ct</v>
      </c>
      <c r="F1417" s="25" t="s">
        <v>240</v>
      </c>
      <c r="G1417" s="28">
        <v>554000.0</v>
      </c>
      <c r="H1417" s="28">
        <v>729.0</v>
      </c>
      <c r="I1417" s="28">
        <v>0.0</v>
      </c>
      <c r="J1417" s="28">
        <v>0.0</v>
      </c>
      <c r="K1417" s="25" t="s">
        <v>93</v>
      </c>
      <c r="L1417" s="26">
        <v>4.0</v>
      </c>
      <c r="M1417" s="26">
        <v>2.0</v>
      </c>
      <c r="N1417" s="26">
        <v>1.0</v>
      </c>
      <c r="O1417" s="30"/>
      <c r="P1417" s="26">
        <v>760.0</v>
      </c>
      <c r="Q1417" s="35">
        <v>318.0</v>
      </c>
      <c r="R1417" s="32">
        <v>45636.0</v>
      </c>
      <c r="S1417" s="32">
        <v>45545.0</v>
      </c>
      <c r="T1417" s="29"/>
      <c r="U1417" s="33"/>
      <c r="V1417" s="1"/>
    </row>
    <row r="1418" ht="24.0" customHeight="1">
      <c r="A1418" s="1"/>
      <c r="B1418" s="24" t="str">
        <f>HYPERLINK("https://www.compass.com/listing/123-35-82nd-road-unit-5n-queens-ny-11415/1834260705795110529/view?agent_id=610d3f3370540700019b0833","123-35 82nd Road, Unit 5N")</f>
        <v>123-35 82nd Road, Unit 5N</v>
      </c>
      <c r="C1418" s="25" t="s">
        <v>22</v>
      </c>
      <c r="D1418" s="26" t="s">
        <v>23</v>
      </c>
      <c r="E1418" s="27" t="str">
        <f>HYPERLINK("https://www.compass.com/building/123-35-82nd-rd-queens-ny-11415/307461174530338677/","123-35 82nd Rd")</f>
        <v>123-35 82nd Rd</v>
      </c>
      <c r="F1418" s="25" t="s">
        <v>91</v>
      </c>
      <c r="G1418" s="28">
        <v>410000.0</v>
      </c>
      <c r="H1418" s="28">
        <v>410.0</v>
      </c>
      <c r="I1418" s="28">
        <v>3006.0</v>
      </c>
      <c r="J1418" s="29"/>
      <c r="K1418" s="25" t="s">
        <v>25</v>
      </c>
      <c r="L1418" s="26">
        <v>5.0</v>
      </c>
      <c r="M1418" s="26">
        <v>2.0</v>
      </c>
      <c r="N1418" s="26">
        <v>1.0</v>
      </c>
      <c r="O1418" s="30"/>
      <c r="P1418" s="34">
        <v>1000.0</v>
      </c>
      <c r="Q1418" s="35">
        <v>80.0</v>
      </c>
      <c r="R1418" s="32">
        <v>45851.0</v>
      </c>
      <c r="S1418" s="32">
        <v>45782.0</v>
      </c>
      <c r="T1418" s="29"/>
      <c r="U1418" s="33"/>
      <c r="V1418" s="1"/>
    </row>
    <row r="1419" ht="24.0" customHeight="1">
      <c r="A1419" s="1"/>
      <c r="B1419" s="24" t="str">
        <f>HYPERLINK("https://www.compass.com/listing/72-10-112th-street-unit-5b-queens-ny-11375/1855989696551239097/view?agent_id=610d3f3370540700019b0833","72-10 112th Street, Unit 5B")</f>
        <v>72-10 112th Street, Unit 5B</v>
      </c>
      <c r="C1419" s="25" t="s">
        <v>22</v>
      </c>
      <c r="D1419" s="26" t="s">
        <v>23</v>
      </c>
      <c r="E1419" s="27" t="str">
        <f>HYPERLINK("https://www.compass.com/building/72-10-112th-st-queens-ny-11375/293529036729090293/","72-10 112th St")</f>
        <v>72-10 112th St</v>
      </c>
      <c r="F1419" s="25" t="s">
        <v>83</v>
      </c>
      <c r="G1419" s="28">
        <v>445000.0</v>
      </c>
      <c r="H1419" s="28">
        <v>470.0</v>
      </c>
      <c r="I1419" s="28">
        <v>1251.0</v>
      </c>
      <c r="J1419" s="29"/>
      <c r="K1419" s="25" t="s">
        <v>25</v>
      </c>
      <c r="L1419" s="26">
        <v>5.0</v>
      </c>
      <c r="M1419" s="26">
        <v>2.0</v>
      </c>
      <c r="N1419" s="26">
        <v>1.0</v>
      </c>
      <c r="O1419" s="30"/>
      <c r="P1419" s="26">
        <v>947.0</v>
      </c>
      <c r="Q1419" s="35">
        <v>45.0</v>
      </c>
      <c r="R1419" s="32">
        <v>45859.0</v>
      </c>
      <c r="S1419" s="32">
        <v>45817.0</v>
      </c>
      <c r="T1419" s="29"/>
      <c r="U1419" s="33"/>
      <c r="V1419" s="1"/>
    </row>
    <row r="1420" ht="24.0" customHeight="1">
      <c r="A1420" s="1"/>
      <c r="B1420" s="24" t="str">
        <f>HYPERLINK("https://www.compass.com/listing/140-37-cherry-avenue-unit-2c-queens-ny-11355/1869081924861764473/view?agent_id=610d3f3370540700019b0833","140-37 Cherry Avenue, Unit 2C")</f>
        <v>140-37 Cherry Avenue, Unit 2C</v>
      </c>
      <c r="C1420" s="25" t="s">
        <v>22</v>
      </c>
      <c r="D1420" s="26" t="s">
        <v>23</v>
      </c>
      <c r="E1420" s="27" t="str">
        <f>HYPERLINK("https://www.compass.com/building/140-37-cherry-ave-queens-ny-11355/293533954844214613/","140-37 Cherry Ave")</f>
        <v>140-37 Cherry Ave</v>
      </c>
      <c r="F1420" s="25" t="s">
        <v>185</v>
      </c>
      <c r="G1420" s="28">
        <v>639000.0</v>
      </c>
      <c r="H1420" s="28">
        <v>983.0</v>
      </c>
      <c r="I1420" s="28">
        <v>381.0</v>
      </c>
      <c r="J1420" s="28">
        <v>4572.0</v>
      </c>
      <c r="K1420" s="25" t="s">
        <v>28</v>
      </c>
      <c r="L1420" s="26">
        <v>4.0</v>
      </c>
      <c r="M1420" s="26">
        <v>2.0</v>
      </c>
      <c r="N1420" s="26">
        <v>1.0</v>
      </c>
      <c r="O1420" s="30"/>
      <c r="P1420" s="26">
        <v>650.0</v>
      </c>
      <c r="Q1420" s="35">
        <v>33.0</v>
      </c>
      <c r="R1420" s="32">
        <v>45831.0</v>
      </c>
      <c r="S1420" s="32">
        <v>45830.0</v>
      </c>
      <c r="T1420" s="29"/>
      <c r="U1420" s="33"/>
      <c r="V1420" s="1"/>
    </row>
    <row r="1421" ht="24.0" customHeight="1">
      <c r="A1421" s="1"/>
      <c r="B1421" s="24" t="str">
        <f>HYPERLINK("https://www.compass.com/listing/98-50-67th-avenue-unit-1h-queens-ny-11374/1836356132208830025/view?agent_id=610d3f3370540700019b0833","98-50 67th Avenue, Unit 1H")</f>
        <v>98-50 67th Avenue, Unit 1H</v>
      </c>
      <c r="C1421" s="25" t="s">
        <v>22</v>
      </c>
      <c r="D1421" s="26" t="s">
        <v>23</v>
      </c>
      <c r="E1421" s="26" t="s">
        <v>301</v>
      </c>
      <c r="F1421" s="25" t="s">
        <v>166</v>
      </c>
      <c r="G1421" s="28">
        <v>415000.0</v>
      </c>
      <c r="H1421" s="28">
        <v>437.0</v>
      </c>
      <c r="I1421" s="28">
        <v>915.0</v>
      </c>
      <c r="J1421" s="29"/>
      <c r="K1421" s="25" t="s">
        <v>25</v>
      </c>
      <c r="L1421" s="26">
        <v>4.0</v>
      </c>
      <c r="M1421" s="26">
        <v>2.0</v>
      </c>
      <c r="N1421" s="26">
        <v>1.0</v>
      </c>
      <c r="O1421" s="30"/>
      <c r="P1421" s="26">
        <v>950.0</v>
      </c>
      <c r="Q1421" s="35">
        <v>77.0</v>
      </c>
      <c r="R1421" s="32">
        <v>45826.0</v>
      </c>
      <c r="S1421" s="32">
        <v>45785.0</v>
      </c>
      <c r="T1421" s="29"/>
      <c r="U1421" s="33"/>
      <c r="V1421" s="1"/>
    </row>
    <row r="1422" ht="24.0" customHeight="1">
      <c r="A1422" s="1"/>
      <c r="B1422" s="24" t="str">
        <f>HYPERLINK("https://www.compass.com/listing/32-40-91st-street-unit-509-queens-ny-11369/1750907032985221377/view?agent_id=610d3f3370540700019b0833","32-40 91st Street, Unit 509")</f>
        <v>32-40 91st Street, Unit 509</v>
      </c>
      <c r="C1422" s="25" t="s">
        <v>22</v>
      </c>
      <c r="D1422" s="26" t="s">
        <v>23</v>
      </c>
      <c r="E1422" s="27" t="str">
        <f t="shared" ref="E1422:E1423" si="9">HYPERLINK("https://www.compass.com/building/32-40-91st-st-queens-ny-11369/307455587558150565/","32-40 91st St")</f>
        <v>32-40 91st St</v>
      </c>
      <c r="F1422" s="25" t="s">
        <v>33</v>
      </c>
      <c r="G1422" s="28">
        <v>349000.0</v>
      </c>
      <c r="H1422" s="28">
        <v>356.0</v>
      </c>
      <c r="I1422" s="28">
        <v>2065.0</v>
      </c>
      <c r="J1422" s="29"/>
      <c r="K1422" s="25" t="s">
        <v>25</v>
      </c>
      <c r="L1422" s="26">
        <v>5.0</v>
      </c>
      <c r="M1422" s="26">
        <v>2.0</v>
      </c>
      <c r="N1422" s="26">
        <v>1.0</v>
      </c>
      <c r="O1422" s="30"/>
      <c r="P1422" s="26">
        <v>980.0</v>
      </c>
      <c r="Q1422" s="35">
        <v>196.0</v>
      </c>
      <c r="R1422" s="32">
        <v>45836.0</v>
      </c>
      <c r="S1422" s="32">
        <v>45667.0</v>
      </c>
      <c r="T1422" s="29"/>
      <c r="U1422" s="33"/>
      <c r="V1422" s="1"/>
    </row>
    <row r="1423" ht="24.0" customHeight="1">
      <c r="A1423" s="1"/>
      <c r="B1423" s="24" t="str">
        <f>HYPERLINK("https://www.compass.com/listing/32-40-91st-street-unit-303-queens-ny-11369/1588248626280074705/view?agent_id=610d3f3370540700019b0833","32-40 91st Street, Unit 303")</f>
        <v>32-40 91st Street, Unit 303</v>
      </c>
      <c r="C1423" s="25" t="s">
        <v>22</v>
      </c>
      <c r="D1423" s="26" t="s">
        <v>23</v>
      </c>
      <c r="E1423" s="27" t="str">
        <f t="shared" si="9"/>
        <v>32-40 91st St</v>
      </c>
      <c r="F1423" s="25" t="s">
        <v>33</v>
      </c>
      <c r="G1423" s="28">
        <v>350000.0</v>
      </c>
      <c r="H1423" s="29"/>
      <c r="I1423" s="28">
        <v>876.0</v>
      </c>
      <c r="J1423" s="28">
        <v>10512.0</v>
      </c>
      <c r="K1423" s="25" t="s">
        <v>25</v>
      </c>
      <c r="L1423" s="26">
        <v>4.0</v>
      </c>
      <c r="M1423" s="26">
        <v>2.0</v>
      </c>
      <c r="N1423" s="30"/>
      <c r="O1423" s="30"/>
      <c r="P1423" s="30"/>
      <c r="Q1423" s="35">
        <v>421.0</v>
      </c>
      <c r="R1423" s="32">
        <v>45443.0</v>
      </c>
      <c r="S1423" s="32">
        <v>45442.0</v>
      </c>
      <c r="T1423" s="29"/>
      <c r="U1423" s="33"/>
      <c r="V1423" s="1"/>
    </row>
    <row r="1424" ht="24.0" customHeight="1">
      <c r="A1424" s="1"/>
      <c r="B1424" s="24" t="str">
        <f>HYPERLINK("https://www.compass.com/listing/216-continental-place-staten-island-ny-10303/1839977754782038121/view?agent_id=610d3f3370540700019b0833","216 Continental Place")</f>
        <v>216 Continental Place</v>
      </c>
      <c r="C1424" s="25" t="s">
        <v>22</v>
      </c>
      <c r="D1424" s="26" t="s">
        <v>23</v>
      </c>
      <c r="E1424" s="27" t="str">
        <f>HYPERLINK("https://www.compass.com/building/216-continental-pl-staten-island-ny-10303/293534918879823013/","216 Continental Pl")</f>
        <v>216 Continental Pl</v>
      </c>
      <c r="F1424" s="25" t="s">
        <v>302</v>
      </c>
      <c r="G1424" s="28">
        <v>399000.0</v>
      </c>
      <c r="H1424" s="28">
        <v>399.0</v>
      </c>
      <c r="I1424" s="28">
        <v>281.0</v>
      </c>
      <c r="J1424" s="28">
        <v>3369.0</v>
      </c>
      <c r="K1424" s="25" t="s">
        <v>36</v>
      </c>
      <c r="L1424" s="26">
        <v>5.0</v>
      </c>
      <c r="M1424" s="26">
        <v>2.0</v>
      </c>
      <c r="N1424" s="26">
        <v>1.0</v>
      </c>
      <c r="O1424" s="26">
        <v>0.0</v>
      </c>
      <c r="P1424" s="34">
        <v>1000.0</v>
      </c>
      <c r="Q1424" s="35">
        <v>74.0</v>
      </c>
      <c r="R1424" s="32">
        <v>45827.0</v>
      </c>
      <c r="S1424" s="32">
        <v>45789.0</v>
      </c>
      <c r="T1424" s="29"/>
      <c r="U1424" s="33"/>
      <c r="V1424" s="1"/>
    </row>
    <row r="1425" ht="24.0" customHeight="1">
      <c r="A1425" s="1"/>
      <c r="B1425" s="24" t="str">
        <f>HYPERLINK("https://www.compass.com/listing/139-05-85th-drive-unit-4g-queens-ny-11435/1776116877707705601/view?agent_id=610d3f3370540700019b0833","139-05 85th Drive, Unit 4G")</f>
        <v>139-05 85th Drive, Unit 4G</v>
      </c>
      <c r="C1425" s="25" t="s">
        <v>22</v>
      </c>
      <c r="D1425" s="26" t="s">
        <v>23</v>
      </c>
      <c r="E1425" s="27" t="str">
        <f>HYPERLINK("https://www.compass.com/building/139-05-85th-dr-queens-ny-11435/293528112153620837/","139-05 85th Dr")</f>
        <v>139-05 85th Dr</v>
      </c>
      <c r="F1425" s="25" t="s">
        <v>146</v>
      </c>
      <c r="G1425" s="28">
        <v>299000.0</v>
      </c>
      <c r="H1425" s="28">
        <v>299.0</v>
      </c>
      <c r="I1425" s="28">
        <v>1227.0</v>
      </c>
      <c r="J1425" s="29"/>
      <c r="K1425" s="25" t="s">
        <v>25</v>
      </c>
      <c r="L1425" s="26">
        <v>5.0</v>
      </c>
      <c r="M1425" s="26">
        <v>2.0</v>
      </c>
      <c r="N1425" s="26">
        <v>1.0</v>
      </c>
      <c r="O1425" s="30"/>
      <c r="P1425" s="34">
        <v>1000.0</v>
      </c>
      <c r="Q1425" s="35">
        <v>161.0</v>
      </c>
      <c r="R1425" s="32">
        <v>45852.0</v>
      </c>
      <c r="S1425" s="32">
        <v>45702.0</v>
      </c>
      <c r="T1425" s="29"/>
      <c r="U1425" s="33"/>
      <c r="V1425" s="1"/>
    </row>
    <row r="1426" ht="24.0" customHeight="1">
      <c r="A1426" s="1"/>
      <c r="B1426" s="24" t="str">
        <f>HYPERLINK("https://www.compass.com/listing/79-16-main-street-unit-2k-queens-ny-11367/1786583974538529417/view?agent_id=610d3f3370540700019b0833","79-16 Main Street, Unit 2K")</f>
        <v>79-16 Main Street, Unit 2K</v>
      </c>
      <c r="C1426" s="25" t="s">
        <v>22</v>
      </c>
      <c r="D1426" s="26" t="s">
        <v>23</v>
      </c>
      <c r="E1426" s="27" t="str">
        <f>HYPERLINK("https://www.compass.com/building/79-16-main-st-queens-ny-11367/307448807146893413/","79-16 Main St")</f>
        <v>79-16 Main St</v>
      </c>
      <c r="F1426" s="25" t="s">
        <v>142</v>
      </c>
      <c r="G1426" s="28">
        <v>369000.0</v>
      </c>
      <c r="H1426" s="28">
        <v>401.0</v>
      </c>
      <c r="I1426" s="28">
        <v>2194.0</v>
      </c>
      <c r="J1426" s="29"/>
      <c r="K1426" s="25" t="s">
        <v>25</v>
      </c>
      <c r="L1426" s="26">
        <v>5.0</v>
      </c>
      <c r="M1426" s="26">
        <v>2.0</v>
      </c>
      <c r="N1426" s="26">
        <v>1.0</v>
      </c>
      <c r="O1426" s="30"/>
      <c r="P1426" s="26">
        <v>920.0</v>
      </c>
      <c r="Q1426" s="35">
        <v>147.0</v>
      </c>
      <c r="R1426" s="32">
        <v>45862.0</v>
      </c>
      <c r="S1426" s="32">
        <v>45716.0</v>
      </c>
      <c r="T1426" s="29"/>
      <c r="U1426" s="33"/>
      <c r="V1426" s="1"/>
    </row>
    <row r="1427" ht="24.0" customHeight="1">
      <c r="A1427" s="1"/>
      <c r="B1427" s="24" t="str">
        <f>HYPERLINK("https://www.compass.com/listing/2265-west-7th-street-unit-3b-brooklyn-ny-11223/1836485500189148521/view?agent_id=610d3f3370540700019b0833","2265 West 7th Street, Unit 3B")</f>
        <v>2265 West 7th Street, Unit 3B</v>
      </c>
      <c r="C1427" s="25" t="s">
        <v>22</v>
      </c>
      <c r="D1427" s="26" t="s">
        <v>23</v>
      </c>
      <c r="E1427" s="27" t="str">
        <f>HYPERLINK("https://www.compass.com/building/2265-w-7th-st-brooklyn-ny-11223/293528880382279365/","2265 W 7th St")</f>
        <v>2265 W 7th St</v>
      </c>
      <c r="F1427" s="25" t="s">
        <v>173</v>
      </c>
      <c r="G1427" s="28">
        <v>499990.0</v>
      </c>
      <c r="H1427" s="28">
        <v>706.0</v>
      </c>
      <c r="I1427" s="28">
        <v>458.0</v>
      </c>
      <c r="J1427" s="28">
        <v>5501.0</v>
      </c>
      <c r="K1427" s="25" t="s">
        <v>28</v>
      </c>
      <c r="L1427" s="26">
        <v>5.0</v>
      </c>
      <c r="M1427" s="26">
        <v>2.0</v>
      </c>
      <c r="N1427" s="26">
        <v>1.0</v>
      </c>
      <c r="O1427" s="30"/>
      <c r="P1427" s="26">
        <v>708.0</v>
      </c>
      <c r="Q1427" s="35">
        <v>77.0</v>
      </c>
      <c r="R1427" s="32">
        <v>45845.0</v>
      </c>
      <c r="S1427" s="32">
        <v>45785.0</v>
      </c>
      <c r="T1427" s="29"/>
      <c r="U1427" s="33"/>
      <c r="V1427" s="1"/>
    </row>
    <row r="1428" ht="24.0" customHeight="1">
      <c r="A1428" s="1"/>
      <c r="B1428" s="24" t="str">
        <f>HYPERLINK("https://www.compass.com/listing/2265-gerritsen-avenue-unit-3r-brooklyn-ny-11229/1636526644518035777/view?agent_id=610d3f3370540700019b0833","2265 Gerritsen Avenue, Unit 3R")</f>
        <v>2265 Gerritsen Avenue, Unit 3R</v>
      </c>
      <c r="C1428" s="25" t="s">
        <v>22</v>
      </c>
      <c r="D1428" s="26" t="s">
        <v>23</v>
      </c>
      <c r="E1428" s="27" t="str">
        <f>HYPERLINK("https://www.compass.com/building/2265-gerritsen-ave-brooklyn-ny-11229/293418459449030101/","2265 Gerritsen Ave")</f>
        <v>2265 Gerritsen Ave</v>
      </c>
      <c r="F1428" s="25" t="s">
        <v>303</v>
      </c>
      <c r="G1428" s="28">
        <v>270000.0</v>
      </c>
      <c r="H1428" s="28">
        <v>338.0</v>
      </c>
      <c r="I1428" s="28">
        <v>1640.0</v>
      </c>
      <c r="J1428" s="28">
        <v>0.0</v>
      </c>
      <c r="K1428" s="25" t="s">
        <v>25</v>
      </c>
      <c r="L1428" s="26">
        <v>4.0</v>
      </c>
      <c r="M1428" s="26">
        <v>2.0</v>
      </c>
      <c r="N1428" s="26">
        <v>1.0</v>
      </c>
      <c r="O1428" s="30"/>
      <c r="P1428" s="26">
        <v>800.0</v>
      </c>
      <c r="Q1428" s="35">
        <v>353.0</v>
      </c>
      <c r="R1428" s="32">
        <v>45546.0</v>
      </c>
      <c r="S1428" s="32">
        <v>45509.0</v>
      </c>
      <c r="T1428" s="29"/>
      <c r="U1428" s="33"/>
      <c r="V1428" s="1"/>
    </row>
    <row r="1429" ht="24.0" customHeight="1">
      <c r="A1429" s="1"/>
      <c r="B1429" s="24" t="str">
        <f>HYPERLINK("https://www.compass.com/listing/2546-stillwell-avenue-unit-1b-brooklyn-ny-11223/1844447041991021929/view?agent_id=610d3f3370540700019b0833","2546 Stillwell Avenue, Unit 1B")</f>
        <v>2546 Stillwell Avenue, Unit 1B</v>
      </c>
      <c r="C1429" s="25" t="s">
        <v>22</v>
      </c>
      <c r="D1429" s="26" t="s">
        <v>23</v>
      </c>
      <c r="E1429" s="27" t="str">
        <f>HYPERLINK("https://www.compass.com/building/2546-stillwell-ave-brooklyn-ny-11223/293529283597542789/","2546 Stillwell Ave")</f>
        <v>2546 Stillwell Ave</v>
      </c>
      <c r="F1429" s="25" t="s">
        <v>173</v>
      </c>
      <c r="G1429" s="28">
        <v>499900.0</v>
      </c>
      <c r="H1429" s="28">
        <v>662.0</v>
      </c>
      <c r="I1429" s="28">
        <v>1037.0</v>
      </c>
      <c r="J1429" s="28">
        <v>8847.0</v>
      </c>
      <c r="K1429" s="25" t="s">
        <v>28</v>
      </c>
      <c r="L1429" s="26">
        <v>6.0</v>
      </c>
      <c r="M1429" s="26">
        <v>2.0</v>
      </c>
      <c r="N1429" s="26">
        <v>1.0</v>
      </c>
      <c r="O1429" s="30"/>
      <c r="P1429" s="26">
        <v>755.0</v>
      </c>
      <c r="Q1429" s="35">
        <v>67.0</v>
      </c>
      <c r="R1429" s="32">
        <v>45797.0</v>
      </c>
      <c r="S1429" s="32">
        <v>45796.0</v>
      </c>
      <c r="T1429" s="29"/>
      <c r="U1429" s="33"/>
      <c r="V1429" s="1"/>
    </row>
    <row r="1430" ht="24.0" customHeight="1">
      <c r="A1430" s="1"/>
      <c r="B1430" s="24" t="str">
        <f>HYPERLINK("https://www.compass.com/listing/241-20-northern-boulevard-unit-6e-queens-ny-11362/1750780587520828033/view?agent_id=610d3f3370540700019b0833","241-20 Northern Boulevard, Unit 6E")</f>
        <v>241-20 Northern Boulevard, Unit 6E</v>
      </c>
      <c r="C1430" s="25" t="s">
        <v>22</v>
      </c>
      <c r="D1430" s="26" t="s">
        <v>23</v>
      </c>
      <c r="E1430" s="27" t="str">
        <f>HYPERLINK("https://www.compass.com/building/241-20-northern-blvd-queens-ny-11362/293533849869131349/","241-20 Northern Blvd")</f>
        <v>241-20 Northern Blvd</v>
      </c>
      <c r="F1430" s="25" t="s">
        <v>145</v>
      </c>
      <c r="G1430" s="28">
        <v>299999.0</v>
      </c>
      <c r="H1430" s="28">
        <v>316.0</v>
      </c>
      <c r="I1430" s="28">
        <v>1704.0</v>
      </c>
      <c r="J1430" s="29"/>
      <c r="K1430" s="25" t="s">
        <v>25</v>
      </c>
      <c r="L1430" s="26">
        <v>5.0</v>
      </c>
      <c r="M1430" s="26">
        <v>2.0</v>
      </c>
      <c r="N1430" s="26">
        <v>1.0</v>
      </c>
      <c r="O1430" s="30"/>
      <c r="P1430" s="26">
        <v>950.0</v>
      </c>
      <c r="Q1430" s="35">
        <v>190.0</v>
      </c>
      <c r="R1430" s="32">
        <v>45862.0</v>
      </c>
      <c r="S1430" s="32">
        <v>45667.0</v>
      </c>
      <c r="T1430" s="29"/>
      <c r="U1430" s="33"/>
      <c r="V1430" s="1"/>
    </row>
    <row r="1431" ht="24.0" customHeight="1">
      <c r="A1431" s="1"/>
      <c r="B1431" s="24" t="str">
        <f>HYPERLINK("https://www.compass.com/listing/139-21-85th-drive-unit-3g-queens-ny-11435/1734142913674018281/view?agent_id=610d3f3370540700019b0833","139-21 85th Drive, Unit 3G")</f>
        <v>139-21 85th Drive, Unit 3G</v>
      </c>
      <c r="C1431" s="25" t="s">
        <v>22</v>
      </c>
      <c r="D1431" s="26" t="s">
        <v>23</v>
      </c>
      <c r="E1431" s="27" t="str">
        <f>HYPERLINK("https://www.compass.com/building/139-21-85th-dr-queens-ny-11435/293531646374760469/","139-21 85th Dr")</f>
        <v>139-21 85th Dr</v>
      </c>
      <c r="F1431" s="25" t="s">
        <v>146</v>
      </c>
      <c r="G1431" s="28">
        <v>279000.0</v>
      </c>
      <c r="H1431" s="28">
        <v>305.0</v>
      </c>
      <c r="I1431" s="28">
        <v>1065.0</v>
      </c>
      <c r="J1431" s="29"/>
      <c r="K1431" s="25" t="s">
        <v>25</v>
      </c>
      <c r="L1431" s="26">
        <v>4.0</v>
      </c>
      <c r="M1431" s="26">
        <v>2.0</v>
      </c>
      <c r="N1431" s="26">
        <v>1.0</v>
      </c>
      <c r="O1431" s="30"/>
      <c r="P1431" s="26">
        <v>915.0</v>
      </c>
      <c r="Q1431" s="35">
        <v>206.0</v>
      </c>
      <c r="R1431" s="32">
        <v>45851.0</v>
      </c>
      <c r="S1431" s="32">
        <v>45657.0</v>
      </c>
      <c r="T1431" s="29"/>
      <c r="U1431" s="33"/>
      <c r="V1431" s="1"/>
    </row>
    <row r="1432" ht="24.0" customHeight="1">
      <c r="A1432" s="1"/>
      <c r="B1432" s="24" t="str">
        <f>HYPERLINK("https://www.compass.com/listing/800-grand-concourse-unit-3os-bronx-ny-10451/1805969070016882713/view?agent_id=610d3f3370540700019b0833","800 Grand Concourse, Unit 3OS")</f>
        <v>800 Grand Concourse, Unit 3OS</v>
      </c>
      <c r="C1432" s="25" t="s">
        <v>22</v>
      </c>
      <c r="D1432" s="26" t="s">
        <v>23</v>
      </c>
      <c r="E1432" s="27" t="str">
        <f>HYPERLINK("https://www.compass.com/building/800-grand-concourse-bronx-ny-10451/293534286068403877/","800 Grand Concourse")</f>
        <v>800 Grand Concourse</v>
      </c>
      <c r="F1432" s="25" t="s">
        <v>217</v>
      </c>
      <c r="G1432" s="28">
        <v>295000.0</v>
      </c>
      <c r="H1432" s="29"/>
      <c r="I1432" s="28">
        <v>1244.0</v>
      </c>
      <c r="J1432" s="28">
        <v>0.0</v>
      </c>
      <c r="K1432" s="25" t="s">
        <v>25</v>
      </c>
      <c r="L1432" s="26">
        <v>4.0</v>
      </c>
      <c r="M1432" s="26">
        <v>2.0</v>
      </c>
      <c r="N1432" s="26">
        <v>1.0</v>
      </c>
      <c r="O1432" s="26">
        <v>0.0</v>
      </c>
      <c r="P1432" s="30"/>
      <c r="Q1432" s="35">
        <v>120.0</v>
      </c>
      <c r="R1432" s="32">
        <v>45862.0</v>
      </c>
      <c r="S1432" s="32">
        <v>45743.0</v>
      </c>
      <c r="T1432" s="29"/>
      <c r="U1432" s="33"/>
      <c r="V1432" s="1"/>
    </row>
    <row r="1433" ht="24.0" customHeight="1">
      <c r="A1433" s="1"/>
      <c r="B1433" s="24" t="str">
        <f>HYPERLINK("https://www.compass.com/listing/2546-stillwell-avenue-unit-3b-brooklyn-ny-11223/1844451191600736745/view?agent_id=610d3f3370540700019b0833","2546 Stillwell Avenue, Unit 3B")</f>
        <v>2546 Stillwell Avenue, Unit 3B</v>
      </c>
      <c r="C1433" s="25" t="s">
        <v>22</v>
      </c>
      <c r="D1433" s="26" t="s">
        <v>23</v>
      </c>
      <c r="E1433" s="27" t="str">
        <f>HYPERLINK("https://www.compass.com/building/2546-stillwell-ave-brooklyn-ny-11223/293529283597542789/","2546 Stillwell Ave")</f>
        <v>2546 Stillwell Ave</v>
      </c>
      <c r="F1433" s="25" t="s">
        <v>173</v>
      </c>
      <c r="G1433" s="28">
        <v>499900.0</v>
      </c>
      <c r="H1433" s="28">
        <v>694.0</v>
      </c>
      <c r="I1433" s="28">
        <v>1037.0</v>
      </c>
      <c r="J1433" s="28">
        <v>8847.0</v>
      </c>
      <c r="K1433" s="25" t="s">
        <v>28</v>
      </c>
      <c r="L1433" s="26">
        <v>5.0</v>
      </c>
      <c r="M1433" s="26">
        <v>2.0</v>
      </c>
      <c r="N1433" s="26">
        <v>1.0</v>
      </c>
      <c r="O1433" s="30"/>
      <c r="P1433" s="26">
        <v>720.0</v>
      </c>
      <c r="Q1433" s="35">
        <v>67.0</v>
      </c>
      <c r="R1433" s="32">
        <v>45797.0</v>
      </c>
      <c r="S1433" s="32">
        <v>45796.0</v>
      </c>
      <c r="T1433" s="29"/>
      <c r="U1433" s="33"/>
      <c r="V1433" s="1"/>
    </row>
    <row r="1434" ht="24.0" customHeight="1">
      <c r="A1434" s="1"/>
      <c r="B1434" s="24" t="str">
        <f>HYPERLINK("https://www.compass.com/listing/155-24-84th-street-unit-1-queens-ny-11414/1805224962684082145/view?agent_id=610d3f3370540700019b0833","155-24 84th Street, Unit 1")</f>
        <v>155-24 84th Street, Unit 1</v>
      </c>
      <c r="C1434" s="25" t="s">
        <v>22</v>
      </c>
      <c r="D1434" s="26" t="s">
        <v>23</v>
      </c>
      <c r="E1434" s="27" t="str">
        <f>HYPERLINK("https://www.compass.com/building/155-24-84th-st-queens-ny-11414/307458367417063493/","155-24 84th St")</f>
        <v>155-24 84th St</v>
      </c>
      <c r="F1434" s="25" t="s">
        <v>212</v>
      </c>
      <c r="G1434" s="28">
        <v>336000.0</v>
      </c>
      <c r="H1434" s="28">
        <v>517.0</v>
      </c>
      <c r="I1434" s="28">
        <v>775.0</v>
      </c>
      <c r="J1434" s="29"/>
      <c r="K1434" s="25" t="s">
        <v>25</v>
      </c>
      <c r="L1434" s="26">
        <v>5.0</v>
      </c>
      <c r="M1434" s="26">
        <v>2.0</v>
      </c>
      <c r="N1434" s="26">
        <v>1.0</v>
      </c>
      <c r="O1434" s="30"/>
      <c r="P1434" s="26">
        <v>650.0</v>
      </c>
      <c r="Q1434" s="35">
        <v>121.0</v>
      </c>
      <c r="R1434" s="32">
        <v>45765.0</v>
      </c>
      <c r="S1434" s="32">
        <v>45742.0</v>
      </c>
      <c r="T1434" s="29"/>
      <c r="U1434" s="33"/>
      <c r="V1434" s="1"/>
    </row>
    <row r="1435" ht="24.0" customHeight="1">
      <c r="A1435" s="1"/>
      <c r="B1435" s="24" t="str">
        <f>HYPERLINK("https://www.compass.com/listing/150-29-72nd-road-unit-3a-queens-ny-11367/1779220906952936585/view?agent_id=610d3f3370540700019b0833","150-29 72nd Road, Unit 3A")</f>
        <v>150-29 72nd Road, Unit 3A</v>
      </c>
      <c r="C1435" s="25" t="s">
        <v>22</v>
      </c>
      <c r="D1435" s="26" t="s">
        <v>23</v>
      </c>
      <c r="E1435" s="27" t="str">
        <f>HYPERLINK("https://www.compass.com/building/150-29-72nd-rd-queens-ny-11367/294841301417693765/","150-29 72nd Rd")</f>
        <v>150-29 72nd Rd</v>
      </c>
      <c r="F1435" s="25" t="s">
        <v>142</v>
      </c>
      <c r="G1435" s="28">
        <v>328000.0</v>
      </c>
      <c r="H1435" s="28">
        <v>410.0</v>
      </c>
      <c r="I1435" s="28">
        <v>1065.0</v>
      </c>
      <c r="J1435" s="29"/>
      <c r="K1435" s="25" t="s">
        <v>25</v>
      </c>
      <c r="L1435" s="26">
        <v>3.0</v>
      </c>
      <c r="M1435" s="26">
        <v>2.0</v>
      </c>
      <c r="N1435" s="26">
        <v>1.0</v>
      </c>
      <c r="O1435" s="30"/>
      <c r="P1435" s="26">
        <v>800.0</v>
      </c>
      <c r="Q1435" s="35">
        <v>157.0</v>
      </c>
      <c r="R1435" s="32">
        <v>45853.0</v>
      </c>
      <c r="S1435" s="32">
        <v>45706.0</v>
      </c>
      <c r="T1435" s="29"/>
      <c r="U1435" s="33"/>
      <c r="V1435" s="1"/>
    </row>
    <row r="1436" ht="24.0" customHeight="1">
      <c r="A1436" s="1"/>
      <c r="B1436" s="24" t="str">
        <f>HYPERLINK("https://www.compass.com/listing/150-17-jewel-avenue-unit-311a-queens-ny-11367/1653765238588995945/view?agent_id=610d3f3370540700019b0833","150-17 Jewel Avenue, Unit 311A")</f>
        <v>150-17 Jewel Avenue, Unit 311A</v>
      </c>
      <c r="C1436" s="25" t="s">
        <v>22</v>
      </c>
      <c r="D1436" s="26" t="s">
        <v>23</v>
      </c>
      <c r="E1436" s="27" t="str">
        <f>HYPERLINK("https://www.compass.com/building/150-17-jewel-ave-queens-ny-11367/307449778933674917/","150-17 Jewel Ave")</f>
        <v>150-17 Jewel Ave</v>
      </c>
      <c r="F1436" s="25" t="s">
        <v>142</v>
      </c>
      <c r="G1436" s="28">
        <v>379000.0</v>
      </c>
      <c r="H1436" s="29"/>
      <c r="I1436" s="28">
        <v>1069.0</v>
      </c>
      <c r="J1436" s="28">
        <v>0.0</v>
      </c>
      <c r="K1436" s="25" t="s">
        <v>25</v>
      </c>
      <c r="L1436" s="26">
        <v>5.0</v>
      </c>
      <c r="M1436" s="26">
        <v>2.0</v>
      </c>
      <c r="N1436" s="26">
        <v>1.0</v>
      </c>
      <c r="O1436" s="30"/>
      <c r="P1436" s="30"/>
      <c r="Q1436" s="35">
        <v>329.0</v>
      </c>
      <c r="R1436" s="32">
        <v>45711.0</v>
      </c>
      <c r="S1436" s="32">
        <v>45533.0</v>
      </c>
      <c r="T1436" s="29"/>
      <c r="U1436" s="33"/>
      <c r="V1436" s="1"/>
    </row>
    <row r="1437" ht="24.0" customHeight="1">
      <c r="A1437" s="1"/>
      <c r="B1437" s="24" t="str">
        <f>HYPERLINK("https://www.compass.com/listing/1235-forest-hill-road-unit-2e-staten-island-ny-10314/1854508642950453537/view?agent_id=610d3f3370540700019b0833","1235 Forest Hill Road, Unit 2E")</f>
        <v>1235 Forest Hill Road, Unit 2E</v>
      </c>
      <c r="C1437" s="25" t="s">
        <v>22</v>
      </c>
      <c r="D1437" s="26" t="s">
        <v>23</v>
      </c>
      <c r="E1437" s="27" t="str">
        <f>HYPERLINK("https://www.compass.com/building/1235-forest-hill-rd-staten-island-ny-10314/293534394616905813/","1235 Forest Hill Rd")</f>
        <v>1235 Forest Hill Rd</v>
      </c>
      <c r="F1437" s="25" t="s">
        <v>304</v>
      </c>
      <c r="G1437" s="28">
        <v>525000.0</v>
      </c>
      <c r="H1437" s="28">
        <v>603.0</v>
      </c>
      <c r="I1437" s="28">
        <v>279.0</v>
      </c>
      <c r="J1437" s="28">
        <v>188.0</v>
      </c>
      <c r="K1437" s="25" t="s">
        <v>28</v>
      </c>
      <c r="L1437" s="26">
        <v>4.0</v>
      </c>
      <c r="M1437" s="26">
        <v>2.0</v>
      </c>
      <c r="N1437" s="26">
        <v>1.0</v>
      </c>
      <c r="O1437" s="26">
        <v>0.0</v>
      </c>
      <c r="P1437" s="26">
        <v>870.0</v>
      </c>
      <c r="Q1437" s="35">
        <v>53.0</v>
      </c>
      <c r="R1437" s="32">
        <v>45840.0</v>
      </c>
      <c r="S1437" s="32">
        <v>45809.0</v>
      </c>
      <c r="T1437" s="29"/>
      <c r="U1437" s="33"/>
      <c r="V1437" s="1"/>
    </row>
    <row r="1438" ht="24.0" customHeight="1">
      <c r="A1438" s="1"/>
      <c r="B1438" s="24" t="str">
        <f>HYPERLINK("https://www.compass.com/listing/2554-west-16th-street-brooklyn-ny-11214/1825459299107436649/view?agent_id=610d3f3370540700019b0833","2554 West 16th Street")</f>
        <v>2554 West 16th Street</v>
      </c>
      <c r="C1438" s="25" t="s">
        <v>22</v>
      </c>
      <c r="D1438" s="26" t="s">
        <v>23</v>
      </c>
      <c r="E1438" s="27" t="str">
        <f>HYPERLINK("https://www.compass.com/building/2554-w-16th-st-brooklyn-ny-11214/293530953349876133/","2554 W 16th St")</f>
        <v>2554 W 16th St</v>
      </c>
      <c r="F1438" s="25" t="s">
        <v>173</v>
      </c>
      <c r="G1438" s="28">
        <v>750000.0</v>
      </c>
      <c r="H1438" s="28">
        <v>1271.0</v>
      </c>
      <c r="I1438" s="28">
        <v>273.0</v>
      </c>
      <c r="J1438" s="28">
        <v>3281.0</v>
      </c>
      <c r="K1438" s="25" t="s">
        <v>159</v>
      </c>
      <c r="L1438" s="26">
        <v>4.0</v>
      </c>
      <c r="M1438" s="26">
        <v>2.0</v>
      </c>
      <c r="N1438" s="26">
        <v>1.0</v>
      </c>
      <c r="O1438" s="30"/>
      <c r="P1438" s="26">
        <v>590.0</v>
      </c>
      <c r="Q1438" s="35">
        <v>95.0</v>
      </c>
      <c r="R1438" s="32">
        <v>45820.0</v>
      </c>
      <c r="S1438" s="32">
        <v>45768.0</v>
      </c>
      <c r="T1438" s="29"/>
      <c r="U1438" s="33"/>
      <c r="V1438" s="1"/>
    </row>
    <row r="1439" ht="24.0" customHeight="1">
      <c r="A1439" s="1"/>
      <c r="B1439" s="24" t="str">
        <f>HYPERLINK("https://www.compass.com/listing/99-60-63rd-road-unit-5w-queens-ny-11374/1858260165270661633/view?agent_id=610d3f3370540700019b0833","99-60 63rd Road, Unit 5W")</f>
        <v>99-60 63rd Road, Unit 5W</v>
      </c>
      <c r="C1439" s="25" t="s">
        <v>22</v>
      </c>
      <c r="D1439" s="26" t="s">
        <v>23</v>
      </c>
      <c r="E1439" s="27" t="str">
        <f>HYPERLINK("https://www.compass.com/building/99-60-63rd-rd-queens-ny-11374/294843074106665285/","99-60 63rd Rd")</f>
        <v>99-60 63rd Rd</v>
      </c>
      <c r="F1439" s="25" t="s">
        <v>166</v>
      </c>
      <c r="G1439" s="28">
        <v>339000.0</v>
      </c>
      <c r="H1439" s="28">
        <v>339.0</v>
      </c>
      <c r="I1439" s="28">
        <v>1497.0</v>
      </c>
      <c r="J1439" s="29"/>
      <c r="K1439" s="25" t="s">
        <v>25</v>
      </c>
      <c r="L1439" s="26">
        <v>4.0</v>
      </c>
      <c r="M1439" s="26">
        <v>2.0</v>
      </c>
      <c r="N1439" s="26">
        <v>1.0</v>
      </c>
      <c r="O1439" s="30"/>
      <c r="P1439" s="34">
        <v>1000.0</v>
      </c>
      <c r="Q1439" s="35">
        <v>48.0</v>
      </c>
      <c r="R1439" s="32">
        <v>45863.0</v>
      </c>
      <c r="S1439" s="32">
        <v>45815.0</v>
      </c>
      <c r="T1439" s="29"/>
      <c r="U1439" s="33"/>
      <c r="V1439" s="1"/>
    </row>
    <row r="1440" ht="24.0" customHeight="1">
      <c r="A1440" s="1"/>
      <c r="B1440" s="24" t="str">
        <f>HYPERLINK("https://www.compass.com/listing/1020-grand-concourse-unit-15v-bronx-ny-10451/1674573075243428649/view?agent_id=610d3f3370540700019b0833","1020 Grand Concourse, Unit 15V")</f>
        <v>1020 Grand Concourse, Unit 15V</v>
      </c>
      <c r="C1440" s="25" t="s">
        <v>22</v>
      </c>
      <c r="D1440" s="26" t="s">
        <v>23</v>
      </c>
      <c r="E1440" s="27" t="str">
        <f>HYPERLINK("https://www.compass.com/building/the-executive-towers-bronx-ny/293534126701567605/","The Executive Towers")</f>
        <v>The Executive Towers</v>
      </c>
      <c r="F1440" s="25" t="s">
        <v>217</v>
      </c>
      <c r="G1440" s="28">
        <v>399000.0</v>
      </c>
      <c r="H1440" s="29"/>
      <c r="I1440" s="28">
        <v>1127.0</v>
      </c>
      <c r="J1440" s="28">
        <v>0.0</v>
      </c>
      <c r="K1440" s="25" t="s">
        <v>25</v>
      </c>
      <c r="L1440" s="26">
        <v>4.0</v>
      </c>
      <c r="M1440" s="26">
        <v>2.0</v>
      </c>
      <c r="N1440" s="26">
        <v>1.0</v>
      </c>
      <c r="O1440" s="26">
        <v>0.0</v>
      </c>
      <c r="P1440" s="30"/>
      <c r="Q1440" s="35">
        <v>297.0</v>
      </c>
      <c r="R1440" s="32">
        <v>45840.0</v>
      </c>
      <c r="S1440" s="32">
        <v>45566.0</v>
      </c>
      <c r="T1440" s="29"/>
      <c r="U1440" s="33"/>
      <c r="V1440" s="1"/>
    </row>
    <row r="1441" ht="24.0" customHeight="1">
      <c r="A1441" s="1"/>
      <c r="B1441" s="24" t="str">
        <f>HYPERLINK("https://www.compass.com/listing/6-29-beach-66th-street-queens-ny-11692/1779211516359235297/view?agent_id=610d3f3370540700019b0833","6-29 Beach 66th Street")</f>
        <v>6-29 Beach 66th Street</v>
      </c>
      <c r="C1441" s="25" t="s">
        <v>22</v>
      </c>
      <c r="D1441" s="26" t="s">
        <v>23</v>
      </c>
      <c r="E1441" s="26" t="s">
        <v>305</v>
      </c>
      <c r="F1441" s="25" t="s">
        <v>306</v>
      </c>
      <c r="G1441" s="28">
        <v>515000.0</v>
      </c>
      <c r="H1441" s="28">
        <v>519.0</v>
      </c>
      <c r="I1441" s="28">
        <v>208.0</v>
      </c>
      <c r="J1441" s="28">
        <v>2491.0</v>
      </c>
      <c r="K1441" s="25" t="s">
        <v>159</v>
      </c>
      <c r="L1441" s="26">
        <v>7.0</v>
      </c>
      <c r="M1441" s="26">
        <v>2.0</v>
      </c>
      <c r="N1441" s="26">
        <v>1.0</v>
      </c>
      <c r="O1441" s="30"/>
      <c r="P1441" s="26">
        <v>992.0</v>
      </c>
      <c r="Q1441" s="35">
        <v>157.0</v>
      </c>
      <c r="R1441" s="32">
        <v>45850.0</v>
      </c>
      <c r="S1441" s="32">
        <v>45706.0</v>
      </c>
      <c r="T1441" s="29"/>
      <c r="U1441" s="33"/>
      <c r="V1441" s="1"/>
    </row>
    <row r="1442" ht="24.0" customHeight="1">
      <c r="A1442" s="1"/>
      <c r="B1442" s="24" t="str">
        <f>HYPERLINK("https://www.compass.com/listing/220-48-75th-avenue-unit-a1-queens-ny-11364/1847382202500404193/view?agent_id=610d3f3370540700019b0833","220-48 75th Avenue, Unit A1")</f>
        <v>220-48 75th Avenue, Unit A1</v>
      </c>
      <c r="C1442" s="25" t="s">
        <v>22</v>
      </c>
      <c r="D1442" s="26" t="s">
        <v>23</v>
      </c>
      <c r="E1442" s="27" t="str">
        <f>HYPERLINK("https://www.compass.com/building/220-48-75th-ave-queens-ny-11364/307445341989236261/","220-48 75th Ave")</f>
        <v>220-48 75th Ave</v>
      </c>
      <c r="F1442" s="25" t="s">
        <v>37</v>
      </c>
      <c r="G1442" s="28">
        <v>348000.0</v>
      </c>
      <c r="H1442" s="28">
        <v>593.0</v>
      </c>
      <c r="I1442" s="28">
        <v>1216.0</v>
      </c>
      <c r="J1442" s="29"/>
      <c r="K1442" s="25" t="s">
        <v>25</v>
      </c>
      <c r="L1442" s="26">
        <v>4.0</v>
      </c>
      <c r="M1442" s="26">
        <v>2.0</v>
      </c>
      <c r="N1442" s="26">
        <v>1.0</v>
      </c>
      <c r="O1442" s="30"/>
      <c r="P1442" s="26">
        <v>587.0</v>
      </c>
      <c r="Q1442" s="35">
        <v>50.0</v>
      </c>
      <c r="R1442" s="32">
        <v>45862.0</v>
      </c>
      <c r="S1442" s="32">
        <v>45813.0</v>
      </c>
      <c r="T1442" s="29"/>
      <c r="U1442" s="33"/>
      <c r="V1442" s="1"/>
    </row>
    <row r="1443" ht="24.0" customHeight="1">
      <c r="A1443" s="1"/>
      <c r="B1443" s="24" t="str">
        <f>HYPERLINK("https://www.compass.com/listing/83-40-austin-street-unit-5g-queens-ny-11415/1839287867319337625/view?agent_id=610d3f3370540700019b0833","83-40 Austin Street, Unit 5G")</f>
        <v>83-40 Austin Street, Unit 5G</v>
      </c>
      <c r="C1443" s="25" t="s">
        <v>22</v>
      </c>
      <c r="D1443" s="26" t="s">
        <v>23</v>
      </c>
      <c r="E1443" s="27" t="str">
        <f>HYPERLINK("https://www.compass.com/building/the-texas-queens-ny/293417987430525557/","The Texas")</f>
        <v>The Texas</v>
      </c>
      <c r="F1443" s="25" t="s">
        <v>91</v>
      </c>
      <c r="G1443" s="28">
        <v>399000.0</v>
      </c>
      <c r="H1443" s="28">
        <v>333.0</v>
      </c>
      <c r="I1443" s="28">
        <v>1461.0</v>
      </c>
      <c r="J1443" s="29"/>
      <c r="K1443" s="25" t="s">
        <v>25</v>
      </c>
      <c r="L1443" s="26">
        <v>6.0</v>
      </c>
      <c r="M1443" s="26">
        <v>2.0</v>
      </c>
      <c r="N1443" s="26">
        <v>1.0</v>
      </c>
      <c r="O1443" s="30"/>
      <c r="P1443" s="34">
        <v>1200.0</v>
      </c>
      <c r="Q1443" s="35">
        <v>74.0</v>
      </c>
      <c r="R1443" s="32">
        <v>45847.0</v>
      </c>
      <c r="S1443" s="32">
        <v>45789.0</v>
      </c>
      <c r="T1443" s="29"/>
      <c r="U1443" s="33"/>
      <c r="V1443" s="1"/>
    </row>
    <row r="1444" ht="24.0" customHeight="1">
      <c r="A1444" s="1"/>
      <c r="B1444" s="24" t="str">
        <f>HYPERLINK("https://www.compass.com/listing/112-50-78th-avenue-unit-1a-queens-ny-11375/1850087597157445345/view?agent_id=610d3f3370540700019b0833","112-50 78th Avenue, Unit 1A")</f>
        <v>112-50 78th Avenue, Unit 1A</v>
      </c>
      <c r="C1444" s="25" t="s">
        <v>22</v>
      </c>
      <c r="D1444" s="26" t="s">
        <v>23</v>
      </c>
      <c r="E1444" s="27" t="str">
        <f>HYPERLINK("https://www.compass.com/building/112-50-78th-ave-queens-ny-11375/293529870363885957/","112-50 78th Ave")</f>
        <v>112-50 78th Ave</v>
      </c>
      <c r="F1444" s="25" t="s">
        <v>83</v>
      </c>
      <c r="G1444" s="28">
        <v>435000.0</v>
      </c>
      <c r="H1444" s="28">
        <v>435.0</v>
      </c>
      <c r="I1444" s="28">
        <v>2226.0</v>
      </c>
      <c r="J1444" s="29"/>
      <c r="K1444" s="25" t="s">
        <v>25</v>
      </c>
      <c r="L1444" s="26">
        <v>4.0</v>
      </c>
      <c r="M1444" s="26">
        <v>2.0</v>
      </c>
      <c r="N1444" s="26">
        <v>1.0</v>
      </c>
      <c r="O1444" s="30"/>
      <c r="P1444" s="34">
        <v>1000.0</v>
      </c>
      <c r="Q1444" s="35">
        <v>59.0</v>
      </c>
      <c r="R1444" s="32">
        <v>45845.0</v>
      </c>
      <c r="S1444" s="32">
        <v>45804.0</v>
      </c>
      <c r="T1444" s="29"/>
      <c r="U1444" s="33"/>
      <c r="V1444" s="1"/>
    </row>
    <row r="1445" ht="24.0" customHeight="1">
      <c r="A1445" s="1"/>
      <c r="B1445" s="24" t="str">
        <f>HYPERLINK("https://www.compass.com/listing/860-grand-concourse-unit-4i-bronx-ny-10451/1766755577658098689/view?agent_id=610d3f3370540700019b0833","860 Grand Concourse, Unit 4I")</f>
        <v>860 Grand Concourse, Unit 4I</v>
      </c>
      <c r="C1445" s="25" t="s">
        <v>22</v>
      </c>
      <c r="D1445" s="26" t="s">
        <v>23</v>
      </c>
      <c r="E1445" s="27" t="str">
        <f>HYPERLINK("https://www.compass.com/building/860-grand-concourse-bronx-ny-10451/293418161175306821/","860 Grand Concourse")</f>
        <v>860 Grand Concourse</v>
      </c>
      <c r="F1445" s="25" t="s">
        <v>217</v>
      </c>
      <c r="G1445" s="28">
        <v>261000.0</v>
      </c>
      <c r="H1445" s="28">
        <v>247.0</v>
      </c>
      <c r="I1445" s="28">
        <v>1496.0</v>
      </c>
      <c r="J1445" s="29"/>
      <c r="K1445" s="25" t="s">
        <v>25</v>
      </c>
      <c r="L1445" s="26">
        <v>4.0</v>
      </c>
      <c r="M1445" s="26">
        <v>2.0</v>
      </c>
      <c r="N1445" s="26">
        <v>1.0</v>
      </c>
      <c r="O1445" s="26">
        <v>0.0</v>
      </c>
      <c r="P1445" s="34">
        <v>1056.0</v>
      </c>
      <c r="Q1445" s="35">
        <v>174.0</v>
      </c>
      <c r="R1445" s="32">
        <v>45863.0</v>
      </c>
      <c r="S1445" s="32">
        <v>45689.0</v>
      </c>
      <c r="T1445" s="29"/>
      <c r="U1445" s="33"/>
      <c r="V1445" s="1"/>
    </row>
    <row r="1446" ht="24.0" customHeight="1">
      <c r="A1446" s="1"/>
      <c r="B1446" s="24" t="str">
        <f>HYPERLINK("https://www.compass.com/listing/135-46-grand-central-parkway-unit-4a-queens-ny-11435/1795093325925564697/view?agent_id=610d3f3370540700019b0833","135-46 Grand Central Parkway, Unit 4A")</f>
        <v>135-46 Grand Central Parkway, Unit 4A</v>
      </c>
      <c r="C1446" s="25" t="s">
        <v>22</v>
      </c>
      <c r="D1446" s="26" t="s">
        <v>23</v>
      </c>
      <c r="E1446" s="27" t="str">
        <f>HYPERLINK("https://www.compass.com/building/135-46-grand-central-pkwy-queens-ny-11435/440456357670355605/","135-46 Grand Central Pkwy")</f>
        <v>135-46 Grand Central Pkwy</v>
      </c>
      <c r="F1446" s="25" t="s">
        <v>146</v>
      </c>
      <c r="G1446" s="28">
        <v>529000.0</v>
      </c>
      <c r="H1446" s="28">
        <v>830.0</v>
      </c>
      <c r="I1446" s="28">
        <v>600.0</v>
      </c>
      <c r="J1446" s="28">
        <v>353.0</v>
      </c>
      <c r="K1446" s="25" t="s">
        <v>28</v>
      </c>
      <c r="L1446" s="26">
        <v>4.0</v>
      </c>
      <c r="M1446" s="26">
        <v>2.0</v>
      </c>
      <c r="N1446" s="26">
        <v>1.0</v>
      </c>
      <c r="O1446" s="30"/>
      <c r="P1446" s="26">
        <v>637.0</v>
      </c>
      <c r="Q1446" s="35">
        <v>135.0</v>
      </c>
      <c r="R1446" s="32">
        <v>45862.0</v>
      </c>
      <c r="S1446" s="32">
        <v>45728.0</v>
      </c>
      <c r="T1446" s="29"/>
      <c r="U1446" s="33"/>
      <c r="V1446" s="1"/>
    </row>
    <row r="1447" ht="24.0" customHeight="1">
      <c r="A1447" s="1"/>
      <c r="B1447" s="24" t="str">
        <f>HYPERLINK("https://www.compass.com/listing/800-grand-concourse-unit-3rs-bronx-ny-10451/1560388722720992497/view?agent_id=610d3f3370540700019b0833","800 Grand Concourse, Unit 3RS")</f>
        <v>800 Grand Concourse, Unit 3RS</v>
      </c>
      <c r="C1447" s="25" t="s">
        <v>22</v>
      </c>
      <c r="D1447" s="26" t="s">
        <v>23</v>
      </c>
      <c r="E1447" s="27" t="str">
        <f>HYPERLINK("https://www.compass.com/building/800-grand-concourse-bronx-ny-10451/293534286068403877/","800 Grand Concourse")</f>
        <v>800 Grand Concourse</v>
      </c>
      <c r="F1447" s="25" t="s">
        <v>217</v>
      </c>
      <c r="G1447" s="28">
        <v>280000.0</v>
      </c>
      <c r="H1447" s="29"/>
      <c r="I1447" s="28">
        <v>1288.0</v>
      </c>
      <c r="J1447" s="28">
        <v>0.0</v>
      </c>
      <c r="K1447" s="25" t="s">
        <v>25</v>
      </c>
      <c r="L1447" s="26">
        <v>4.0</v>
      </c>
      <c r="M1447" s="26">
        <v>2.0</v>
      </c>
      <c r="N1447" s="26">
        <v>1.0</v>
      </c>
      <c r="O1447" s="26">
        <v>0.0</v>
      </c>
      <c r="P1447" s="30"/>
      <c r="Q1447" s="35">
        <v>683.0</v>
      </c>
      <c r="R1447" s="32">
        <v>45859.0</v>
      </c>
      <c r="S1447" s="32">
        <v>45180.0</v>
      </c>
      <c r="T1447" s="29"/>
      <c r="U1447" s="33"/>
      <c r="V1447" s="1"/>
    </row>
    <row r="1448" ht="24.0" customHeight="1">
      <c r="A1448" s="1"/>
      <c r="B1448" s="24" t="str">
        <f>HYPERLINK("https://www.compass.com/listing/91-23-corona-avenue-unit-2a-queens-ny-11373/1855971550322969825/view?agent_id=610d3f3370540700019b0833","91-23 Corona Avenue, Unit 2A")</f>
        <v>91-23 Corona Avenue, Unit 2A</v>
      </c>
      <c r="C1448" s="25" t="s">
        <v>22</v>
      </c>
      <c r="D1448" s="26" t="s">
        <v>23</v>
      </c>
      <c r="E1448" s="27" t="str">
        <f>HYPERLINK("https://www.compass.com/building/91-23-corona-ave-queens-ny-11373/293527826286522421/","91-23 Corona Ave")</f>
        <v>91-23 Corona Ave</v>
      </c>
      <c r="F1448" s="25" t="s">
        <v>151</v>
      </c>
      <c r="G1448" s="28">
        <v>558000.0</v>
      </c>
      <c r="H1448" s="28">
        <v>873.0</v>
      </c>
      <c r="I1448" s="28">
        <v>655.0</v>
      </c>
      <c r="J1448" s="28">
        <v>3881.0</v>
      </c>
      <c r="K1448" s="25" t="s">
        <v>28</v>
      </c>
      <c r="L1448" s="26">
        <v>4.0</v>
      </c>
      <c r="M1448" s="26">
        <v>2.0</v>
      </c>
      <c r="N1448" s="26">
        <v>1.0</v>
      </c>
      <c r="O1448" s="30"/>
      <c r="P1448" s="26">
        <v>639.0</v>
      </c>
      <c r="Q1448" s="35">
        <v>51.0</v>
      </c>
      <c r="R1448" s="32">
        <v>45860.0</v>
      </c>
      <c r="S1448" s="32">
        <v>45812.0</v>
      </c>
      <c r="T1448" s="29"/>
      <c r="U1448" s="33"/>
      <c r="V1448" s="1"/>
    </row>
    <row r="1449" ht="24.0" customHeight="1">
      <c r="A1449" s="1"/>
      <c r="B1449" s="24" t="str">
        <f>HYPERLINK("https://www.compass.com/listing/90-60-union-turnpike-unit-9e-queens-ny-11385/1826217720135832513/view?agent_id=610d3f3370540700019b0833","90-60 Union Turnpike, Unit 9E")</f>
        <v>90-60 Union Turnpike, Unit 9E</v>
      </c>
      <c r="C1449" s="25" t="s">
        <v>22</v>
      </c>
      <c r="D1449" s="26" t="s">
        <v>23</v>
      </c>
      <c r="E1449" s="27" t="str">
        <f>HYPERLINK("https://www.compass.com/building/90-60-union-tpke-queens-ny-11385/293417477092717845/","90-60 Union Tpke")</f>
        <v>90-60 Union Tpke</v>
      </c>
      <c r="F1449" s="25" t="s">
        <v>168</v>
      </c>
      <c r="G1449" s="28">
        <v>400000.0</v>
      </c>
      <c r="H1449" s="28">
        <v>410.0</v>
      </c>
      <c r="I1449" s="28">
        <v>1242.0</v>
      </c>
      <c r="J1449" s="29"/>
      <c r="K1449" s="25" t="s">
        <v>25</v>
      </c>
      <c r="L1449" s="26">
        <v>4.0</v>
      </c>
      <c r="M1449" s="26">
        <v>2.0</v>
      </c>
      <c r="N1449" s="26">
        <v>1.0</v>
      </c>
      <c r="O1449" s="30"/>
      <c r="P1449" s="26">
        <v>975.0</v>
      </c>
      <c r="Q1449" s="35">
        <v>92.0</v>
      </c>
      <c r="R1449" s="32">
        <v>45859.0</v>
      </c>
      <c r="S1449" s="32">
        <v>45771.0</v>
      </c>
      <c r="T1449" s="29"/>
      <c r="U1449" s="33"/>
      <c r="V1449" s="1"/>
    </row>
    <row r="1450" ht="24.0" customHeight="1">
      <c r="A1450" s="1"/>
      <c r="B1450" s="24" t="str">
        <f>HYPERLINK("https://www.compass.com/listing/89-12-155th-avenue-unit-1-queens-ny-11414/1839185752886163585/view?agent_id=610d3f3370540700019b0833","89-12 155th Avenue, Unit 1")</f>
        <v>89-12 155th Avenue, Unit 1</v>
      </c>
      <c r="C1450" s="25" t="s">
        <v>22</v>
      </c>
      <c r="D1450" s="26" t="s">
        <v>23</v>
      </c>
      <c r="E1450" s="27" t="str">
        <f>HYPERLINK("https://www.compass.com/building/89-12-155th-ave-queens-ny-11414/307434905721882885/","89-12 155th Ave")</f>
        <v>89-12 155th Ave</v>
      </c>
      <c r="F1450" s="25" t="s">
        <v>212</v>
      </c>
      <c r="G1450" s="28">
        <v>318000.0</v>
      </c>
      <c r="H1450" s="28">
        <v>353.0</v>
      </c>
      <c r="I1450" s="28">
        <v>1118.0</v>
      </c>
      <c r="J1450" s="29"/>
      <c r="K1450" s="25" t="s">
        <v>25</v>
      </c>
      <c r="L1450" s="26">
        <v>5.0</v>
      </c>
      <c r="M1450" s="26">
        <v>2.0</v>
      </c>
      <c r="N1450" s="26">
        <v>1.0</v>
      </c>
      <c r="O1450" s="30"/>
      <c r="P1450" s="26">
        <v>900.0</v>
      </c>
      <c r="Q1450" s="35">
        <v>74.0</v>
      </c>
      <c r="R1450" s="32">
        <v>45859.0</v>
      </c>
      <c r="S1450" s="32">
        <v>45789.0</v>
      </c>
      <c r="T1450" s="29"/>
      <c r="U1450" s="33"/>
      <c r="V1450" s="1"/>
    </row>
    <row r="1451" ht="24.0" customHeight="1">
      <c r="A1451" s="1"/>
      <c r="B1451" s="24" t="str">
        <f>HYPERLINK("https://www.compass.com/listing/62-15-53rd-avenue-unit-lgd-queens-ny-11378/1833292489556352985/view?agent_id=610d3f3370540700019b0833","62-15 53rd Avenue, Unit LGD")</f>
        <v>62-15 53rd Avenue, Unit LGD</v>
      </c>
      <c r="C1451" s="25" t="s">
        <v>22</v>
      </c>
      <c r="D1451" s="26" t="s">
        <v>23</v>
      </c>
      <c r="E1451" s="27" t="str">
        <f>HYPERLINK("https://www.compass.com/building/62-15-53rd-ave-queens-ny-11378/307451424400810437/","62-15 53rd Ave")</f>
        <v>62-15 53rd Ave</v>
      </c>
      <c r="F1451" s="25" t="s">
        <v>242</v>
      </c>
      <c r="G1451" s="28">
        <v>296500.0</v>
      </c>
      <c r="H1451" s="28">
        <v>378.0</v>
      </c>
      <c r="I1451" s="28">
        <v>629.0</v>
      </c>
      <c r="J1451" s="29"/>
      <c r="K1451" s="25" t="s">
        <v>25</v>
      </c>
      <c r="L1451" s="26">
        <v>4.0</v>
      </c>
      <c r="M1451" s="26">
        <v>2.0</v>
      </c>
      <c r="N1451" s="26">
        <v>1.0</v>
      </c>
      <c r="O1451" s="30"/>
      <c r="P1451" s="26">
        <v>785.0</v>
      </c>
      <c r="Q1451" s="35">
        <v>50.0</v>
      </c>
      <c r="R1451" s="32">
        <v>45858.0</v>
      </c>
      <c r="S1451" s="32">
        <v>45794.0</v>
      </c>
      <c r="T1451" s="29"/>
      <c r="U1451" s="33"/>
      <c r="V1451" s="1"/>
    </row>
    <row r="1452" ht="24.0" customHeight="1">
      <c r="A1452" s="1"/>
      <c r="B1452" s="24" t="str">
        <f>HYPERLINK("https://www.compass.com/listing/33-02-junction-boulevard-unit-4p-queens-ny-11372/1700576468919391985/view?agent_id=610d3f3370540700019b0833","33-02 Junction Boulevard, Unit 4P")</f>
        <v>33-02 Junction Boulevard, Unit 4P</v>
      </c>
      <c r="C1452" s="25" t="s">
        <v>22</v>
      </c>
      <c r="D1452" s="26" t="s">
        <v>23</v>
      </c>
      <c r="E1452" s="26" t="s">
        <v>307</v>
      </c>
      <c r="F1452" s="25" t="s">
        <v>230</v>
      </c>
      <c r="G1452" s="28">
        <v>329999.0</v>
      </c>
      <c r="H1452" s="28">
        <v>300.0</v>
      </c>
      <c r="I1452" s="28">
        <v>932.0</v>
      </c>
      <c r="J1452" s="28">
        <v>0.0</v>
      </c>
      <c r="K1452" s="25" t="s">
        <v>25</v>
      </c>
      <c r="L1452" s="26">
        <v>5.0</v>
      </c>
      <c r="M1452" s="26">
        <v>2.0</v>
      </c>
      <c r="N1452" s="26">
        <v>0.0</v>
      </c>
      <c r="O1452" s="30"/>
      <c r="P1452" s="34">
        <v>1100.0</v>
      </c>
      <c r="Q1452" s="35">
        <v>267.0</v>
      </c>
      <c r="R1452" s="32">
        <v>45598.0</v>
      </c>
      <c r="S1452" s="32">
        <v>45596.0</v>
      </c>
      <c r="T1452" s="29"/>
      <c r="U1452" s="33"/>
      <c r="V1452" s="1"/>
    </row>
    <row r="1453" ht="24.0" customHeight="1">
      <c r="A1453" s="1"/>
      <c r="B1453" s="24" t="str">
        <f>HYPERLINK("https://www.compass.com/listing/35-seacoast-terrace-unit-8a-brooklyn-ny-11235/1869597916360067305/view?agent_id=610d3f3370540700019b0833","35 Seacoast Terrace, Unit 8A")</f>
        <v>35 Seacoast Terrace, Unit 8A</v>
      </c>
      <c r="C1453" s="25" t="s">
        <v>22</v>
      </c>
      <c r="D1453" s="26" t="s">
        <v>23</v>
      </c>
      <c r="E1453" s="27" t="str">
        <f>HYPERLINK("https://www.compass.com/building/seacoast-towers-brooklyn-ny/307454594850262149/","Seacoast Towers")</f>
        <v>Seacoast Towers</v>
      </c>
      <c r="F1453" s="25" t="s">
        <v>74</v>
      </c>
      <c r="G1453" s="28">
        <v>575000.0</v>
      </c>
      <c r="H1453" s="28">
        <v>575.0</v>
      </c>
      <c r="I1453" s="28">
        <v>964.0</v>
      </c>
      <c r="J1453" s="29"/>
      <c r="K1453" s="25" t="s">
        <v>25</v>
      </c>
      <c r="L1453" s="26">
        <v>4.0</v>
      </c>
      <c r="M1453" s="26">
        <v>2.0</v>
      </c>
      <c r="N1453" s="26">
        <v>1.0</v>
      </c>
      <c r="O1453" s="30"/>
      <c r="P1453" s="34">
        <v>1000.0</v>
      </c>
      <c r="Q1453" s="35">
        <v>32.0</v>
      </c>
      <c r="R1453" s="32">
        <v>45860.0</v>
      </c>
      <c r="S1453" s="32">
        <v>45831.0</v>
      </c>
      <c r="T1453" s="29"/>
      <c r="U1453" s="33"/>
      <c r="V1453" s="1"/>
    </row>
    <row r="1454" ht="24.0" customHeight="1">
      <c r="A1454" s="1"/>
      <c r="B1454" s="24" t="str">
        <f>HYPERLINK("https://www.compass.com/listing/860-grand-concourse-unit-2r-bronx-ny-10451/1697770066881438409/view?agent_id=610d3f3370540700019b0833","860 Grand Concourse, Unit 2R")</f>
        <v>860 Grand Concourse, Unit 2R</v>
      </c>
      <c r="C1454" s="25" t="s">
        <v>22</v>
      </c>
      <c r="D1454" s="26" t="s">
        <v>23</v>
      </c>
      <c r="E1454" s="27" t="str">
        <f>HYPERLINK("https://www.compass.com/building/860-grand-concourse-bronx-ny-10451/293418161175306821/","860 Grand Concourse")</f>
        <v>860 Grand Concourse</v>
      </c>
      <c r="F1454" s="25" t="s">
        <v>217</v>
      </c>
      <c r="G1454" s="28">
        <v>225000.0</v>
      </c>
      <c r="H1454" s="28">
        <v>321.0</v>
      </c>
      <c r="I1454" s="28">
        <v>0.0</v>
      </c>
      <c r="J1454" s="28">
        <v>0.0</v>
      </c>
      <c r="K1454" s="25" t="s">
        <v>25</v>
      </c>
      <c r="L1454" s="26">
        <v>4.0</v>
      </c>
      <c r="M1454" s="26">
        <v>2.0</v>
      </c>
      <c r="N1454" s="26">
        <v>0.0</v>
      </c>
      <c r="O1454" s="30"/>
      <c r="P1454" s="26">
        <v>700.0</v>
      </c>
      <c r="Q1454" s="35">
        <v>270.0</v>
      </c>
      <c r="R1454" s="32">
        <v>45594.0</v>
      </c>
      <c r="S1454" s="32">
        <v>45593.0</v>
      </c>
      <c r="T1454" s="29"/>
      <c r="U1454" s="33"/>
      <c r="V1454" s="1"/>
    </row>
    <row r="1455" ht="24.0" customHeight="1">
      <c r="A1455" s="1"/>
      <c r="B1455" s="24" t="str">
        <f>HYPERLINK("https://www.compass.com/listing/34-20-parsons-boulevard-unit-2c-queens-ny-11354/1773491345810719065/view?agent_id=610d3f3370540700019b0833","34-20 Parsons Boulevard, Unit 2C")</f>
        <v>34-20 Parsons Boulevard, Unit 2C</v>
      </c>
      <c r="C1455" s="25" t="s">
        <v>22</v>
      </c>
      <c r="D1455" s="26" t="s">
        <v>23</v>
      </c>
      <c r="E1455" s="27" t="str">
        <f>HYPERLINK("https://www.compass.com/building/34-20-parsons-blvd-queens-ny-11354/293527726621562373/","34-20 Parsons Blvd")</f>
        <v>34-20 Parsons Blvd</v>
      </c>
      <c r="F1455" s="25" t="s">
        <v>185</v>
      </c>
      <c r="G1455" s="28">
        <v>380000.0</v>
      </c>
      <c r="H1455" s="29"/>
      <c r="I1455" s="28">
        <v>769.0</v>
      </c>
      <c r="J1455" s="28">
        <v>0.0</v>
      </c>
      <c r="K1455" s="25" t="s">
        <v>25</v>
      </c>
      <c r="L1455" s="26">
        <v>5.0</v>
      </c>
      <c r="M1455" s="26">
        <v>2.0</v>
      </c>
      <c r="N1455" s="26">
        <v>1.0</v>
      </c>
      <c r="O1455" s="30"/>
      <c r="P1455" s="30"/>
      <c r="Q1455" s="35">
        <v>164.0</v>
      </c>
      <c r="R1455" s="32">
        <v>45701.0</v>
      </c>
      <c r="S1455" s="32">
        <v>45698.0</v>
      </c>
      <c r="T1455" s="29"/>
      <c r="U1455" s="33"/>
      <c r="V1455" s="1"/>
    </row>
    <row r="1456" ht="24.0" customHeight="1">
      <c r="A1456" s="1"/>
      <c r="B1456" s="24" t="str">
        <f>HYPERLINK("https://www.compass.com/listing/141-36-71st-road-queens-ny-11367/1788590228303566745/view?agent_id=610d3f3370540700019b0833","141-36 71st Road")</f>
        <v>141-36 71st Road</v>
      </c>
      <c r="C1456" s="25" t="s">
        <v>22</v>
      </c>
      <c r="D1456" s="26" t="s">
        <v>23</v>
      </c>
      <c r="E1456" s="27" t="str">
        <f>HYPERLINK("https://www.compass.com/building/141-36-71st-rd-queens-ny-11367/293529997769990549/","141-36 71st Rd")</f>
        <v>141-36 71st Rd</v>
      </c>
      <c r="F1456" s="25" t="s">
        <v>142</v>
      </c>
      <c r="G1456" s="28">
        <v>710000.0</v>
      </c>
      <c r="H1456" s="28">
        <v>740.0</v>
      </c>
      <c r="I1456" s="28">
        <v>543.0</v>
      </c>
      <c r="J1456" s="28">
        <v>6516.0</v>
      </c>
      <c r="K1456" s="25" t="s">
        <v>97</v>
      </c>
      <c r="L1456" s="26">
        <v>4.0</v>
      </c>
      <c r="M1456" s="26">
        <v>2.0</v>
      </c>
      <c r="N1456" s="26">
        <v>1.0</v>
      </c>
      <c r="O1456" s="30"/>
      <c r="P1456" s="26">
        <v>960.0</v>
      </c>
      <c r="Q1456" s="35">
        <v>143.0</v>
      </c>
      <c r="R1456" s="32">
        <v>45859.0</v>
      </c>
      <c r="S1456" s="32">
        <v>45719.0</v>
      </c>
      <c r="T1456" s="29"/>
      <c r="U1456" s="33"/>
      <c r="V1456" s="1"/>
    </row>
    <row r="1457" ht="24.0" customHeight="1">
      <c r="A1457" s="1"/>
      <c r="B1457" s="24" t="str">
        <f>HYPERLINK("https://www.compass.com/listing/1722-84th-street-unit-203-brooklyn-ny-11214/1730627193148352009/view?agent_id=610d3f3370540700019b0833","1722 84th Street, Unit 203")</f>
        <v>1722 84th Street, Unit 203</v>
      </c>
      <c r="C1457" s="25" t="s">
        <v>22</v>
      </c>
      <c r="D1457" s="26" t="s">
        <v>23</v>
      </c>
      <c r="E1457" s="27" t="str">
        <f>HYPERLINK("https://www.compass.com/building/1722-84th-st-brooklyn-ny-11214/293527469862948197/","1722 84th St")</f>
        <v>1722 84th St</v>
      </c>
      <c r="F1457" s="25" t="s">
        <v>236</v>
      </c>
      <c r="G1457" s="28">
        <v>728800.0</v>
      </c>
      <c r="H1457" s="28">
        <v>1041.0</v>
      </c>
      <c r="I1457" s="28">
        <v>1214.0</v>
      </c>
      <c r="J1457" s="28">
        <v>9374.0</v>
      </c>
      <c r="K1457" s="25" t="s">
        <v>28</v>
      </c>
      <c r="L1457" s="26">
        <v>4.0</v>
      </c>
      <c r="M1457" s="26">
        <v>2.0</v>
      </c>
      <c r="N1457" s="26">
        <v>1.0</v>
      </c>
      <c r="O1457" s="30"/>
      <c r="P1457" s="26">
        <v>700.0</v>
      </c>
      <c r="Q1457" s="35">
        <v>224.0</v>
      </c>
      <c r="R1457" s="32">
        <v>45863.0</v>
      </c>
      <c r="S1457" s="32">
        <v>45639.0</v>
      </c>
      <c r="T1457" s="29"/>
      <c r="U1457" s="33"/>
      <c r="V1457" s="1"/>
    </row>
    <row r="1458" ht="24.0" customHeight="1">
      <c r="A1458" s="1"/>
      <c r="B1458" s="24" t="str">
        <f>HYPERLINK("https://www.compass.com/listing/1494-ocean-avenue-unit-1j-brooklyn-ny-11230/1839288940297556585/view?agent_id=610d3f3370540700019b0833","1494 Ocean Avenue, Unit 1J")</f>
        <v>1494 Ocean Avenue, Unit 1J</v>
      </c>
      <c r="C1458" s="25" t="s">
        <v>22</v>
      </c>
      <c r="D1458" s="26" t="s">
        <v>23</v>
      </c>
      <c r="E1458" s="27" t="str">
        <f>HYPERLINK("https://www.compass.com/building/1494-ocean-ave-brooklyn-ny-11230/293416634029288293/","1494 Ocean Ave")</f>
        <v>1494 Ocean Ave</v>
      </c>
      <c r="F1458" s="25" t="s">
        <v>34</v>
      </c>
      <c r="G1458" s="28">
        <v>575000.0</v>
      </c>
      <c r="H1458" s="28">
        <v>636.0</v>
      </c>
      <c r="I1458" s="28">
        <v>951.0</v>
      </c>
      <c r="J1458" s="28">
        <v>5100.0</v>
      </c>
      <c r="K1458" s="25" t="s">
        <v>28</v>
      </c>
      <c r="L1458" s="26">
        <v>5.0</v>
      </c>
      <c r="M1458" s="26">
        <v>2.0</v>
      </c>
      <c r="N1458" s="26">
        <v>1.0</v>
      </c>
      <c r="O1458" s="26">
        <v>0.0</v>
      </c>
      <c r="P1458" s="26">
        <v>904.0</v>
      </c>
      <c r="Q1458" s="35">
        <v>74.0</v>
      </c>
      <c r="R1458" s="32">
        <v>45862.0</v>
      </c>
      <c r="S1458" s="32">
        <v>45789.0</v>
      </c>
      <c r="T1458" s="29"/>
      <c r="U1458" s="33"/>
      <c r="V1458" s="1"/>
    </row>
    <row r="1459" ht="24.0" customHeight="1">
      <c r="A1459" s="1"/>
      <c r="B1459" s="24" t="str">
        <f>HYPERLINK("https://www.compass.com/listing/215-19-48th-avenue-unit-2c-queens-ny-11364/1845146739953363321/view?agent_id=610d3f3370540700019b0833","215-19 48th Avenue, Unit 2C")</f>
        <v>215-19 48th Avenue, Unit 2C</v>
      </c>
      <c r="C1459" s="25" t="s">
        <v>22</v>
      </c>
      <c r="D1459" s="26" t="s">
        <v>23</v>
      </c>
      <c r="E1459" s="26" t="s">
        <v>295</v>
      </c>
      <c r="F1459" s="25" t="s">
        <v>252</v>
      </c>
      <c r="G1459" s="28">
        <v>362000.0</v>
      </c>
      <c r="H1459" s="28">
        <v>402.0</v>
      </c>
      <c r="I1459" s="28">
        <v>1438.0</v>
      </c>
      <c r="J1459" s="29"/>
      <c r="K1459" s="25" t="s">
        <v>25</v>
      </c>
      <c r="L1459" s="26">
        <v>4.0</v>
      </c>
      <c r="M1459" s="26">
        <v>2.0</v>
      </c>
      <c r="N1459" s="26">
        <v>1.0</v>
      </c>
      <c r="O1459" s="30"/>
      <c r="P1459" s="26">
        <v>900.0</v>
      </c>
      <c r="Q1459" s="35">
        <v>66.0</v>
      </c>
      <c r="R1459" s="32">
        <v>45857.0</v>
      </c>
      <c r="S1459" s="32">
        <v>45797.0</v>
      </c>
      <c r="T1459" s="29"/>
      <c r="U1459" s="33"/>
      <c r="V1459" s="1"/>
    </row>
    <row r="1460" ht="24.0" customHeight="1">
      <c r="A1460" s="1"/>
      <c r="B1460" s="24" t="str">
        <f>HYPERLINK("https://www.compass.com/listing/37-30-103rd-street-unit-d3-queens-ny-11368/1755573698965676513/view?agent_id=610d3f3370540700019b0833","37-30 103rd Street, Unit D3")</f>
        <v>37-30 103rd Street, Unit D3</v>
      </c>
      <c r="C1460" s="25" t="s">
        <v>22</v>
      </c>
      <c r="D1460" s="26" t="s">
        <v>23</v>
      </c>
      <c r="E1460" s="27" t="str">
        <f>HYPERLINK("https://www.compass.com/building/37-30-103rd-st-queens-ny-11368/293531716495161189/","37-30 103rd St")</f>
        <v>37-30 103rd St</v>
      </c>
      <c r="F1460" s="25" t="s">
        <v>230</v>
      </c>
      <c r="G1460" s="28">
        <v>439800.0</v>
      </c>
      <c r="H1460" s="28">
        <v>676.0</v>
      </c>
      <c r="I1460" s="28">
        <v>603.0</v>
      </c>
      <c r="J1460" s="28">
        <v>3020.0</v>
      </c>
      <c r="K1460" s="25" t="s">
        <v>28</v>
      </c>
      <c r="L1460" s="26">
        <v>4.0</v>
      </c>
      <c r="M1460" s="26">
        <v>2.0</v>
      </c>
      <c r="N1460" s="26">
        <v>1.0</v>
      </c>
      <c r="O1460" s="30"/>
      <c r="P1460" s="26">
        <v>651.0</v>
      </c>
      <c r="Q1460" s="35">
        <v>187.0</v>
      </c>
      <c r="R1460" s="32">
        <v>45862.0</v>
      </c>
      <c r="S1460" s="32">
        <v>45675.0</v>
      </c>
      <c r="T1460" s="29"/>
      <c r="U1460" s="33"/>
      <c r="V1460" s="1"/>
    </row>
    <row r="1461" ht="24.0" customHeight="1">
      <c r="A1461" s="1"/>
      <c r="B1461" s="24" t="str">
        <f>HYPERLINK("https://www.compass.com/listing/67-30-clyde-street-unit-6w-queens-ny-11375/1837176413765956497/view?agent_id=610d3f3370540700019b0833","67-30 Clyde Street, Unit 6W")</f>
        <v>67-30 Clyde Street, Unit 6W</v>
      </c>
      <c r="C1461" s="25" t="s">
        <v>22</v>
      </c>
      <c r="D1461" s="26" t="s">
        <v>23</v>
      </c>
      <c r="E1461" s="27" t="str">
        <f>HYPERLINK("https://www.compass.com/building/67-30-clyde-st-queens-ny-11375/293529738352309365/","67-30 Clyde St")</f>
        <v>67-30 Clyde St</v>
      </c>
      <c r="F1461" s="25" t="s">
        <v>166</v>
      </c>
      <c r="G1461" s="28">
        <v>425000.0</v>
      </c>
      <c r="H1461" s="29"/>
      <c r="I1461" s="28">
        <v>1030.0</v>
      </c>
      <c r="J1461" s="29"/>
      <c r="K1461" s="25" t="s">
        <v>25</v>
      </c>
      <c r="L1461" s="26">
        <v>5.0</v>
      </c>
      <c r="M1461" s="26">
        <v>2.0</v>
      </c>
      <c r="N1461" s="26">
        <v>1.0</v>
      </c>
      <c r="O1461" s="30"/>
      <c r="P1461" s="30"/>
      <c r="Q1461" s="35">
        <v>71.0</v>
      </c>
      <c r="R1461" s="32">
        <v>45857.0</v>
      </c>
      <c r="S1461" s="32">
        <v>45791.0</v>
      </c>
      <c r="T1461" s="29"/>
      <c r="U1461" s="33"/>
      <c r="V1461" s="1"/>
    </row>
    <row r="1462" ht="24.0" customHeight="1">
      <c r="A1462" s="1"/>
      <c r="B1462" s="24" t="str">
        <f>HYPERLINK("https://www.compass.com/listing/33-marc-street-staten-island-ny-10314/1866160256908082257/view?agent_id=610d3f3370540700019b0833","33 Marc Street")</f>
        <v>33 Marc Street</v>
      </c>
      <c r="C1462" s="25" t="s">
        <v>22</v>
      </c>
      <c r="D1462" s="26" t="s">
        <v>23</v>
      </c>
      <c r="E1462" s="26" t="s">
        <v>308</v>
      </c>
      <c r="F1462" s="25" t="s">
        <v>190</v>
      </c>
      <c r="G1462" s="28">
        <v>485000.0</v>
      </c>
      <c r="H1462" s="28">
        <v>499.0</v>
      </c>
      <c r="I1462" s="28">
        <v>479.0</v>
      </c>
      <c r="J1462" s="28">
        <v>3769.0</v>
      </c>
      <c r="K1462" s="25" t="s">
        <v>28</v>
      </c>
      <c r="L1462" s="26">
        <v>5.0</v>
      </c>
      <c r="M1462" s="26">
        <v>2.0</v>
      </c>
      <c r="N1462" s="26">
        <v>1.0</v>
      </c>
      <c r="O1462" s="26">
        <v>0.0</v>
      </c>
      <c r="P1462" s="26">
        <v>972.0</v>
      </c>
      <c r="Q1462" s="35">
        <v>37.0</v>
      </c>
      <c r="R1462" s="32">
        <v>45863.0</v>
      </c>
      <c r="S1462" s="32">
        <v>45826.0</v>
      </c>
      <c r="T1462" s="29"/>
      <c r="U1462" s="33"/>
      <c r="V1462" s="1"/>
    </row>
    <row r="1463" ht="24.0" customHeight="1">
      <c r="A1463" s="1"/>
      <c r="B1463" s="24" t="str">
        <f>HYPERLINK("https://www.compass.com/listing/33-38-parsons-boulevard-unit-6g-queens-ny-11354/1859687234324145137/view?agent_id=610d3f3370540700019b0833","33-38 Parsons Boulevard, Unit 6G")</f>
        <v>33-38 Parsons Boulevard, Unit 6G</v>
      </c>
      <c r="C1463" s="25" t="s">
        <v>22</v>
      </c>
      <c r="D1463" s="26" t="s">
        <v>23</v>
      </c>
      <c r="E1463" s="27" t="str">
        <f>HYPERLINK("https://www.compass.com/building/33-38-parsons-blvd-queens-ny-11354/293528484775483445/","33-38 Parsons Blvd")</f>
        <v>33-38 Parsons Blvd</v>
      </c>
      <c r="F1463" s="25" t="s">
        <v>185</v>
      </c>
      <c r="G1463" s="28">
        <v>389000.0</v>
      </c>
      <c r="H1463" s="28">
        <v>432.0</v>
      </c>
      <c r="I1463" s="28">
        <v>745.0</v>
      </c>
      <c r="J1463" s="29"/>
      <c r="K1463" s="25" t="s">
        <v>25</v>
      </c>
      <c r="L1463" s="26">
        <v>5.0</v>
      </c>
      <c r="M1463" s="26">
        <v>2.0</v>
      </c>
      <c r="N1463" s="26">
        <v>1.0</v>
      </c>
      <c r="O1463" s="30"/>
      <c r="P1463" s="26">
        <v>900.0</v>
      </c>
      <c r="Q1463" s="35">
        <v>46.0</v>
      </c>
      <c r="R1463" s="32">
        <v>45862.0</v>
      </c>
      <c r="S1463" s="32">
        <v>45817.0</v>
      </c>
      <c r="T1463" s="29"/>
      <c r="U1463" s="33"/>
      <c r="V1463" s="1"/>
    </row>
    <row r="1464" ht="24.0" customHeight="1">
      <c r="A1464" s="1"/>
      <c r="B1464" s="24" t="str">
        <f>HYPERLINK("https://www.compass.com/listing/96-11-65th-road-unit-113-queens-ny-11374/1831386292740935209/view?agent_id=610d3f3370540700019b0833","96-11 65th Road, Unit 113")</f>
        <v>96-11 65th Road, Unit 113</v>
      </c>
      <c r="C1464" s="25" t="s">
        <v>22</v>
      </c>
      <c r="D1464" s="26" t="s">
        <v>23</v>
      </c>
      <c r="E1464" s="27" t="str">
        <f>HYPERLINK("https://www.compass.com/building/96-11-65th-rd-queens-ny-11374/293417427717354325/","96-11 65th Rd")</f>
        <v>96-11 65th Rd</v>
      </c>
      <c r="F1464" s="25" t="s">
        <v>166</v>
      </c>
      <c r="G1464" s="28">
        <v>425000.0</v>
      </c>
      <c r="H1464" s="28">
        <v>354.0</v>
      </c>
      <c r="I1464" s="28">
        <v>1237.0</v>
      </c>
      <c r="J1464" s="29"/>
      <c r="K1464" s="25" t="s">
        <v>25</v>
      </c>
      <c r="L1464" s="26">
        <v>5.0</v>
      </c>
      <c r="M1464" s="26">
        <v>2.0</v>
      </c>
      <c r="N1464" s="26">
        <v>1.0</v>
      </c>
      <c r="O1464" s="30"/>
      <c r="P1464" s="34">
        <v>1200.0</v>
      </c>
      <c r="Q1464" s="35">
        <v>78.0</v>
      </c>
      <c r="R1464" s="32">
        <v>45829.0</v>
      </c>
      <c r="S1464" s="32">
        <v>45785.0</v>
      </c>
      <c r="T1464" s="29"/>
      <c r="U1464" s="33"/>
      <c r="V1464" s="1"/>
    </row>
    <row r="1465" ht="24.0" customHeight="1">
      <c r="A1465" s="1"/>
      <c r="B1465" s="24" t="str">
        <f>HYPERLINK("https://www.compass.com/listing/88-12-151st-avenue-unit-5e-queens-ny-11414/1837164186011087137/view?agent_id=610d3f3370540700019b0833","88-12 151st Avenue, Unit 5E")</f>
        <v>88-12 151st Avenue, Unit 5E</v>
      </c>
      <c r="C1465" s="25" t="s">
        <v>22</v>
      </c>
      <c r="D1465" s="26" t="s">
        <v>23</v>
      </c>
      <c r="E1465" s="27" t="str">
        <f>HYPERLINK("https://www.compass.com/building/88-12-151st-ave-queens-ny-11414/307456127398557445/","88-12 151st Ave")</f>
        <v>88-12 151st Ave</v>
      </c>
      <c r="F1465" s="25" t="s">
        <v>212</v>
      </c>
      <c r="G1465" s="28">
        <v>199999.0</v>
      </c>
      <c r="H1465" s="28">
        <v>250.0</v>
      </c>
      <c r="I1465" s="28">
        <v>729.0</v>
      </c>
      <c r="J1465" s="29"/>
      <c r="K1465" s="25" t="s">
        <v>25</v>
      </c>
      <c r="L1465" s="26">
        <v>5.0</v>
      </c>
      <c r="M1465" s="26">
        <v>2.0</v>
      </c>
      <c r="N1465" s="26">
        <v>1.0</v>
      </c>
      <c r="O1465" s="30"/>
      <c r="P1465" s="26">
        <v>800.0</v>
      </c>
      <c r="Q1465" s="35">
        <v>77.0</v>
      </c>
      <c r="R1465" s="32">
        <v>45851.0</v>
      </c>
      <c r="S1465" s="32">
        <v>45786.0</v>
      </c>
      <c r="T1465" s="29"/>
      <c r="U1465" s="33"/>
      <c r="V1465" s="1"/>
    </row>
    <row r="1466" ht="24.0" customHeight="1">
      <c r="A1466" s="1"/>
      <c r="B1466" s="24" t="str">
        <f>HYPERLINK("https://www.compass.com/listing/196-65-69th-avenue-unit-1-queens-ny-11365/1816088938256767289/view?agent_id=610d3f3370540700019b0833","196-65 69th Avenue, Unit 1")</f>
        <v>196-65 69th Avenue, Unit 1</v>
      </c>
      <c r="C1466" s="25" t="s">
        <v>22</v>
      </c>
      <c r="D1466" s="26" t="s">
        <v>23</v>
      </c>
      <c r="E1466" s="27" t="str">
        <f>HYPERLINK("https://www.compass.com/building/196-65-69th-ave-queens-ny-11365/307454212505724165/","196-65 69th Ave")</f>
        <v>196-65 69th Ave</v>
      </c>
      <c r="F1466" s="25" t="s">
        <v>284</v>
      </c>
      <c r="G1466" s="28">
        <v>339000.0</v>
      </c>
      <c r="H1466" s="28">
        <v>484.0</v>
      </c>
      <c r="I1466" s="28">
        <v>1303.0</v>
      </c>
      <c r="J1466" s="29"/>
      <c r="K1466" s="25" t="s">
        <v>25</v>
      </c>
      <c r="L1466" s="26">
        <v>3.0</v>
      </c>
      <c r="M1466" s="26">
        <v>2.0</v>
      </c>
      <c r="N1466" s="26">
        <v>1.0</v>
      </c>
      <c r="O1466" s="30"/>
      <c r="P1466" s="26">
        <v>700.0</v>
      </c>
      <c r="Q1466" s="35">
        <v>106.0</v>
      </c>
      <c r="R1466" s="32">
        <v>45854.0</v>
      </c>
      <c r="S1466" s="32">
        <v>45757.0</v>
      </c>
      <c r="T1466" s="29"/>
      <c r="U1466" s="33"/>
      <c r="V1466" s="1"/>
    </row>
    <row r="1467" ht="24.0" customHeight="1">
      <c r="A1467" s="1"/>
      <c r="B1467" s="24" t="str">
        <f>HYPERLINK("https://www.compass.com/listing/148-09-northern-boulevard-unit-6l-queens-ny-11354/1806024930911754577/view?agent_id=610d3f3370540700019b0833","148-09 Northern Boulevard, Unit 6L")</f>
        <v>148-09 Northern Boulevard, Unit 6L</v>
      </c>
      <c r="C1467" s="25" t="s">
        <v>22</v>
      </c>
      <c r="D1467" s="26" t="s">
        <v>23</v>
      </c>
      <c r="E1467" s="27" t="str">
        <f>HYPERLINK("https://www.compass.com/building/148-09-northern-blvd-queens-ny-11354/293532784465668485/","148-09 Northern Blvd")</f>
        <v>148-09 Northern Blvd</v>
      </c>
      <c r="F1467" s="25" t="s">
        <v>160</v>
      </c>
      <c r="G1467" s="28">
        <v>795000.0</v>
      </c>
      <c r="H1467" s="28">
        <v>796.0</v>
      </c>
      <c r="I1467" s="28">
        <v>1023.0</v>
      </c>
      <c r="J1467" s="28">
        <v>5472.0</v>
      </c>
      <c r="K1467" s="25" t="s">
        <v>28</v>
      </c>
      <c r="L1467" s="26">
        <v>4.0</v>
      </c>
      <c r="M1467" s="26">
        <v>2.0</v>
      </c>
      <c r="N1467" s="26">
        <v>1.0</v>
      </c>
      <c r="O1467" s="26">
        <v>0.0</v>
      </c>
      <c r="P1467" s="26">
        <v>999.0</v>
      </c>
      <c r="Q1467" s="35">
        <v>120.0</v>
      </c>
      <c r="R1467" s="32">
        <v>45861.0</v>
      </c>
      <c r="S1467" s="32">
        <v>45743.0</v>
      </c>
      <c r="T1467" s="29"/>
      <c r="U1467" s="33"/>
      <c r="V1467" s="1"/>
    </row>
    <row r="1468" ht="24.0" customHeight="1">
      <c r="A1468" s="1"/>
      <c r="B1468" s="24" t="str">
        <f>HYPERLINK("https://www.compass.com/listing/68-20-burns-street-unit-e1-queens-ny-11375/1821111743825049369/view?agent_id=610d3f3370540700019b0833","68-20 Burns Street, Unit E1")</f>
        <v>68-20 Burns Street, Unit E1</v>
      </c>
      <c r="C1468" s="25" t="s">
        <v>22</v>
      </c>
      <c r="D1468" s="26" t="s">
        <v>23</v>
      </c>
      <c r="E1468" s="27" t="str">
        <f>HYPERLINK("https://www.compass.com/building/68-20-burns-st-queens-ny-11375/293532574616165157/","68-20 Burns St")</f>
        <v>68-20 Burns St</v>
      </c>
      <c r="F1468" s="25" t="s">
        <v>83</v>
      </c>
      <c r="G1468" s="28">
        <v>300000.0</v>
      </c>
      <c r="H1468" s="29"/>
      <c r="I1468" s="28">
        <v>1307.0</v>
      </c>
      <c r="J1468" s="29"/>
      <c r="K1468" s="25" t="s">
        <v>25</v>
      </c>
      <c r="L1468" s="26">
        <v>5.0</v>
      </c>
      <c r="M1468" s="26">
        <v>2.0</v>
      </c>
      <c r="N1468" s="26">
        <v>1.0</v>
      </c>
      <c r="O1468" s="30"/>
      <c r="P1468" s="30"/>
      <c r="Q1468" s="35">
        <v>69.0</v>
      </c>
      <c r="R1468" s="32">
        <v>45805.0</v>
      </c>
      <c r="S1468" s="32">
        <v>45764.0</v>
      </c>
      <c r="T1468" s="29"/>
      <c r="U1468" s="33"/>
      <c r="V1468" s="1"/>
    </row>
    <row r="1469" ht="24.0" customHeight="1">
      <c r="A1469" s="1"/>
      <c r="B1469" s="24" t="str">
        <f>HYPERLINK("https://www.compass.com/listing/83-75-118th-street-unit-4h-queens-ny-11415/1832140970756517929/view?agent_id=610d3f3370540700019b0833","83-75 118th Street, Unit 4H")</f>
        <v>83-75 118th Street, Unit 4H</v>
      </c>
      <c r="C1469" s="25" t="s">
        <v>22</v>
      </c>
      <c r="D1469" s="26" t="s">
        <v>23</v>
      </c>
      <c r="E1469" s="27" t="str">
        <f>HYPERLINK("https://www.compass.com/building/83-75-118th-st-queens-ny-11415/307438588287089653/","83-75 118th St")</f>
        <v>83-75 118th St</v>
      </c>
      <c r="F1469" s="25" t="s">
        <v>91</v>
      </c>
      <c r="G1469" s="28">
        <v>329000.0</v>
      </c>
      <c r="H1469" s="28">
        <v>329.0</v>
      </c>
      <c r="I1469" s="28">
        <v>1060.0</v>
      </c>
      <c r="J1469" s="29"/>
      <c r="K1469" s="25" t="s">
        <v>25</v>
      </c>
      <c r="L1469" s="26">
        <v>0.0</v>
      </c>
      <c r="M1469" s="26">
        <v>2.0</v>
      </c>
      <c r="N1469" s="26">
        <v>1.0</v>
      </c>
      <c r="O1469" s="30"/>
      <c r="P1469" s="34">
        <v>1000.0</v>
      </c>
      <c r="Q1469" s="35">
        <v>84.0</v>
      </c>
      <c r="R1469" s="32">
        <v>45857.0</v>
      </c>
      <c r="S1469" s="32">
        <v>45779.0</v>
      </c>
      <c r="T1469" s="29"/>
      <c r="U1469" s="33"/>
      <c r="V1469" s="1"/>
    </row>
    <row r="1470" ht="24.0" customHeight="1">
      <c r="A1470" s="1"/>
      <c r="B1470" s="24" t="str">
        <f>HYPERLINK("https://www.compass.com/listing/83-80-118th-street-unit-5s-queens-ny-11415/1799544364574178969/view?agent_id=610d3f3370540700019b0833","83-80 118th Street, Unit 5S")</f>
        <v>83-80 118th Street, Unit 5S</v>
      </c>
      <c r="C1470" s="25" t="s">
        <v>22</v>
      </c>
      <c r="D1470" s="26" t="s">
        <v>23</v>
      </c>
      <c r="E1470" s="27" t="str">
        <f>HYPERLINK("https://www.compass.com/building/83-80-118th-st-queens-ny-11415/293531540158159781/","83-80 118th St")</f>
        <v>83-80 118th St</v>
      </c>
      <c r="F1470" s="25" t="s">
        <v>91</v>
      </c>
      <c r="G1470" s="28">
        <v>368000.0</v>
      </c>
      <c r="H1470" s="28">
        <v>423.0</v>
      </c>
      <c r="I1470" s="28">
        <v>2426.0</v>
      </c>
      <c r="J1470" s="29"/>
      <c r="K1470" s="25" t="s">
        <v>25</v>
      </c>
      <c r="L1470" s="26">
        <v>5.0</v>
      </c>
      <c r="M1470" s="26">
        <v>2.0</v>
      </c>
      <c r="N1470" s="26">
        <v>1.0</v>
      </c>
      <c r="O1470" s="30"/>
      <c r="P1470" s="26">
        <v>869.0</v>
      </c>
      <c r="Q1470" s="35">
        <v>129.0</v>
      </c>
      <c r="R1470" s="32">
        <v>45863.0</v>
      </c>
      <c r="S1470" s="32">
        <v>45734.0</v>
      </c>
      <c r="T1470" s="29"/>
      <c r="U1470" s="33"/>
      <c r="V1470" s="1"/>
    </row>
    <row r="1471" ht="24.0" customHeight="1">
      <c r="A1471" s="1"/>
      <c r="B1471" s="24" t="str">
        <f>HYPERLINK("https://www.compass.com/listing/71-77-159th-street-unit-205-queens-ny-11365/1836403613483377073/view?agent_id=610d3f3370540700019b0833","71-77 159th Street, Unit 205")</f>
        <v>71-77 159th Street, Unit 205</v>
      </c>
      <c r="C1471" s="25" t="s">
        <v>22</v>
      </c>
      <c r="D1471" s="26" t="s">
        <v>23</v>
      </c>
      <c r="E1471" s="27" t="str">
        <f>HYPERLINK("https://www.compass.com/building/71-77-159th-st-queens-ny-11365/293528747447951013/","71-77 159th St")</f>
        <v>71-77 159th St</v>
      </c>
      <c r="F1471" s="25" t="s">
        <v>309</v>
      </c>
      <c r="G1471" s="28">
        <v>508000.0</v>
      </c>
      <c r="H1471" s="28">
        <v>651.0</v>
      </c>
      <c r="I1471" s="28">
        <v>510.0</v>
      </c>
      <c r="J1471" s="28">
        <v>1680.0</v>
      </c>
      <c r="K1471" s="25" t="s">
        <v>28</v>
      </c>
      <c r="L1471" s="26">
        <v>4.0</v>
      </c>
      <c r="M1471" s="26">
        <v>2.0</v>
      </c>
      <c r="N1471" s="26">
        <v>1.0</v>
      </c>
      <c r="O1471" s="30"/>
      <c r="P1471" s="26">
        <v>780.0</v>
      </c>
      <c r="Q1471" s="35">
        <v>78.0</v>
      </c>
      <c r="R1471" s="32">
        <v>45862.0</v>
      </c>
      <c r="S1471" s="32">
        <v>45785.0</v>
      </c>
      <c r="T1471" s="29"/>
      <c r="U1471" s="33"/>
      <c r="V1471" s="1"/>
    </row>
    <row r="1472" ht="24.0" customHeight="1">
      <c r="A1472" s="1"/>
      <c r="B1472" s="24" t="str">
        <f>HYPERLINK("https://www.compass.com/listing/73-26-260th-street-unit-b-queens-ny-11004/1839302120990278353/view?agent_id=610d3f3370540700019b0833","73-26 260th Street, Unit B")</f>
        <v>73-26 260th Street, Unit B</v>
      </c>
      <c r="C1472" s="25" t="s">
        <v>22</v>
      </c>
      <c r="D1472" s="26" t="s">
        <v>23</v>
      </c>
      <c r="E1472" s="27" t="str">
        <f>HYPERLINK("https://www.compass.com/building/73-26-260th-st-queens-ny-11004/307444168590727733/","73-26 260th St")</f>
        <v>73-26 260th St</v>
      </c>
      <c r="F1472" s="25" t="s">
        <v>92</v>
      </c>
      <c r="G1472" s="28">
        <v>374999.0</v>
      </c>
      <c r="H1472" s="28">
        <v>576.0</v>
      </c>
      <c r="I1472" s="28">
        <v>807.0</v>
      </c>
      <c r="J1472" s="29"/>
      <c r="K1472" s="25" t="s">
        <v>25</v>
      </c>
      <c r="L1472" s="26">
        <v>5.0</v>
      </c>
      <c r="M1472" s="26">
        <v>2.0</v>
      </c>
      <c r="N1472" s="26">
        <v>1.0</v>
      </c>
      <c r="O1472" s="30"/>
      <c r="P1472" s="26">
        <v>651.0</v>
      </c>
      <c r="Q1472" s="35">
        <v>74.0</v>
      </c>
      <c r="R1472" s="32">
        <v>45862.0</v>
      </c>
      <c r="S1472" s="32">
        <v>45789.0</v>
      </c>
      <c r="T1472" s="29"/>
      <c r="U1472" s="33"/>
      <c r="V1472" s="1"/>
    </row>
    <row r="1473" ht="24.0" customHeight="1">
      <c r="A1473" s="1"/>
      <c r="B1473" s="24" t="str">
        <f>HYPERLINK("https://www.compass.com/listing/5-bayview-avenue-queens-ny-11414/1814736492883899209/view?agent_id=610d3f3370540700019b0833","5 Bayview Avenue")</f>
        <v>5 Bayview Avenue</v>
      </c>
      <c r="C1473" s="25" t="s">
        <v>22</v>
      </c>
      <c r="D1473" s="26" t="s">
        <v>23</v>
      </c>
      <c r="E1473" s="27" t="str">
        <f>HYPERLINK("https://www.compass.com/building/5-bayview-ave-queens-ny-11414/293529951439686949/","5 Bayview Ave")</f>
        <v>5 Bayview Ave</v>
      </c>
      <c r="F1473" s="25" t="s">
        <v>220</v>
      </c>
      <c r="G1473" s="28">
        <v>499900.0</v>
      </c>
      <c r="H1473" s="28">
        <v>208.0</v>
      </c>
      <c r="I1473" s="28">
        <v>86.0</v>
      </c>
      <c r="J1473" s="28">
        <v>1036.0</v>
      </c>
      <c r="K1473" s="25" t="s">
        <v>97</v>
      </c>
      <c r="L1473" s="26">
        <v>5.0</v>
      </c>
      <c r="M1473" s="26">
        <v>2.0</v>
      </c>
      <c r="N1473" s="26">
        <v>1.0</v>
      </c>
      <c r="O1473" s="30"/>
      <c r="P1473" s="34">
        <v>2400.0</v>
      </c>
      <c r="Q1473" s="35">
        <v>108.0</v>
      </c>
      <c r="R1473" s="32">
        <v>45814.0</v>
      </c>
      <c r="S1473" s="32">
        <v>45755.0</v>
      </c>
      <c r="T1473" s="29"/>
      <c r="U1473" s="33"/>
      <c r="V1473" s="1"/>
    </row>
    <row r="1474" ht="24.0" customHeight="1">
      <c r="A1474" s="1"/>
      <c r="B1474" s="24" t="str">
        <f>HYPERLINK("https://www.compass.com/listing/2546-east-13th-street-unit-a11-brooklyn-ny-11235/1836307640619211905/view?agent_id=610d3f3370540700019b0833","2546 East 13th Street, Unit A11")</f>
        <v>2546 East 13th Street, Unit A11</v>
      </c>
      <c r="C1474" s="25" t="s">
        <v>22</v>
      </c>
      <c r="D1474" s="26" t="s">
        <v>23</v>
      </c>
      <c r="E1474" s="27" t="str">
        <f>HYPERLINK("https://www.compass.com/building/2546-e-13th-st-brooklyn-ny-11235/293532142896539381/","2546 E 13th St")</f>
        <v>2546 E 13th St</v>
      </c>
      <c r="F1474" s="25" t="s">
        <v>70</v>
      </c>
      <c r="G1474" s="28">
        <v>559000.0</v>
      </c>
      <c r="H1474" s="28">
        <v>466.0</v>
      </c>
      <c r="I1474" s="28">
        <v>1100.0</v>
      </c>
      <c r="J1474" s="29"/>
      <c r="K1474" s="25" t="s">
        <v>25</v>
      </c>
      <c r="L1474" s="26">
        <v>5.0</v>
      </c>
      <c r="M1474" s="26">
        <v>2.0</v>
      </c>
      <c r="N1474" s="26">
        <v>1.0</v>
      </c>
      <c r="O1474" s="30"/>
      <c r="P1474" s="34">
        <v>1200.0</v>
      </c>
      <c r="Q1474" s="35">
        <v>77.0</v>
      </c>
      <c r="R1474" s="32">
        <v>45840.0</v>
      </c>
      <c r="S1474" s="32">
        <v>45785.0</v>
      </c>
      <c r="T1474" s="29"/>
      <c r="U1474" s="33"/>
      <c r="V1474" s="1"/>
    </row>
    <row r="1475" ht="24.0" customHeight="1">
      <c r="A1475" s="1"/>
      <c r="B1475" s="24" t="str">
        <f>HYPERLINK("https://www.compass.com/listing/230-bedell-avenue-staten-island-ny-10307/1839922133126890081/view?agent_id=610d3f3370540700019b0833","230 Bedell Avenue")</f>
        <v>230 Bedell Avenue</v>
      </c>
      <c r="C1475" s="25" t="s">
        <v>22</v>
      </c>
      <c r="D1475" s="26" t="s">
        <v>23</v>
      </c>
      <c r="E1475" s="27" t="str">
        <f>HYPERLINK("https://www.compass.com/building/230-bedell-ave-staten-island-ny-10307/293533070517185845/","230 Bedell Ave")</f>
        <v>230 Bedell Ave</v>
      </c>
      <c r="F1475" s="25" t="s">
        <v>310</v>
      </c>
      <c r="G1475" s="28">
        <v>799000.0</v>
      </c>
      <c r="H1475" s="28">
        <v>1141.0</v>
      </c>
      <c r="I1475" s="28">
        <v>403.0</v>
      </c>
      <c r="J1475" s="28">
        <v>4835.0</v>
      </c>
      <c r="K1475" s="25" t="s">
        <v>159</v>
      </c>
      <c r="L1475" s="26">
        <v>4.0</v>
      </c>
      <c r="M1475" s="26">
        <v>2.0</v>
      </c>
      <c r="N1475" s="26">
        <v>1.0</v>
      </c>
      <c r="O1475" s="26">
        <v>0.0</v>
      </c>
      <c r="P1475" s="26">
        <v>700.0</v>
      </c>
      <c r="Q1475" s="35">
        <v>73.0</v>
      </c>
      <c r="R1475" s="32">
        <v>45827.0</v>
      </c>
      <c r="S1475" s="32">
        <v>45789.0</v>
      </c>
      <c r="T1475" s="29"/>
      <c r="U1475" s="33"/>
      <c r="V1475" s="1"/>
    </row>
    <row r="1476" ht="24.0" customHeight="1">
      <c r="A1476" s="1"/>
      <c r="B1476" s="24" t="str">
        <f>HYPERLINK("https://www.compass.com/listing/2630-cropsey-avenue-unit-9k-brooklyn-ny-11214/1617561685763825153/view?agent_id=610d3f3370540700019b0833","2630 Cropsey Avenue, Unit 9K")</f>
        <v>2630 Cropsey Avenue, Unit 9K</v>
      </c>
      <c r="C1476" s="25" t="s">
        <v>22</v>
      </c>
      <c r="D1476" s="26" t="s">
        <v>23</v>
      </c>
      <c r="E1476" s="27" t="str">
        <f>HYPERLINK("https://www.compass.com/building/waterview-towers-brooklyn-ny/293527901993740053/","Waterview Towers")</f>
        <v>Waterview Towers</v>
      </c>
      <c r="F1476" s="25" t="s">
        <v>173</v>
      </c>
      <c r="G1476" s="28">
        <v>360000.0</v>
      </c>
      <c r="H1476" s="28">
        <v>360.0</v>
      </c>
      <c r="I1476" s="28">
        <v>1058.0</v>
      </c>
      <c r="J1476" s="29"/>
      <c r="K1476" s="25" t="s">
        <v>25</v>
      </c>
      <c r="L1476" s="26">
        <v>5.0</v>
      </c>
      <c r="M1476" s="26">
        <v>2.0</v>
      </c>
      <c r="N1476" s="26">
        <v>1.0</v>
      </c>
      <c r="O1476" s="30"/>
      <c r="P1476" s="34">
        <v>1000.0</v>
      </c>
      <c r="Q1476" s="35">
        <v>380.0</v>
      </c>
      <c r="R1476" s="32">
        <v>45836.0</v>
      </c>
      <c r="S1476" s="32">
        <v>45483.0</v>
      </c>
      <c r="T1476" s="29"/>
      <c r="U1476" s="33"/>
      <c r="V1476" s="1"/>
    </row>
    <row r="1477" ht="24.0" customHeight="1">
      <c r="A1477" s="1"/>
      <c r="B1477" s="24" t="str">
        <f>HYPERLINK("https://www.compass.com/listing/173-61-105th-avenue-queens-ny-11433/1793547573561121041/view?agent_id=610d3f3370540700019b0833","173-61 105th Avenue")</f>
        <v>173-61 105th Avenue</v>
      </c>
      <c r="C1477" s="25" t="s">
        <v>22</v>
      </c>
      <c r="D1477" s="26" t="s">
        <v>23</v>
      </c>
      <c r="E1477" s="27" t="str">
        <f>HYPERLINK("https://www.compass.com/building/173-61-105th-ave-queens-ny-11433/293527703376721509/","173-61 105th Ave")</f>
        <v>173-61 105th Ave</v>
      </c>
      <c r="F1477" s="25" t="s">
        <v>200</v>
      </c>
      <c r="G1477" s="28">
        <v>625000.0</v>
      </c>
      <c r="H1477" s="28">
        <v>666.0</v>
      </c>
      <c r="I1477" s="28">
        <v>345.0</v>
      </c>
      <c r="J1477" s="28">
        <v>4145.0</v>
      </c>
      <c r="K1477" s="25" t="s">
        <v>97</v>
      </c>
      <c r="L1477" s="26">
        <v>6.0</v>
      </c>
      <c r="M1477" s="26">
        <v>2.0</v>
      </c>
      <c r="N1477" s="26">
        <v>1.0</v>
      </c>
      <c r="O1477" s="30"/>
      <c r="P1477" s="26">
        <v>938.0</v>
      </c>
      <c r="Q1477" s="35">
        <v>137.0</v>
      </c>
      <c r="R1477" s="32">
        <v>45862.0</v>
      </c>
      <c r="S1477" s="32">
        <v>45726.0</v>
      </c>
      <c r="T1477" s="29"/>
      <c r="U1477" s="33"/>
      <c r="V1477" s="1"/>
    </row>
    <row r="1478" ht="24.0" customHeight="1">
      <c r="A1478" s="1"/>
      <c r="B1478" s="24" t="str">
        <f>HYPERLINK("https://www.compass.com/listing/124-28-queens-boulevard-unit-13a-queens-ny-11415/1527062968376195953/view?agent_id=610d3f3370540700019b0833","124-28 Queens Boulevard, Unit 13A")</f>
        <v>124-28 Queens Boulevard, Unit 13A</v>
      </c>
      <c r="C1478" s="25" t="s">
        <v>22</v>
      </c>
      <c r="D1478" s="26" t="s">
        <v>23</v>
      </c>
      <c r="E1478" s="26" t="s">
        <v>311</v>
      </c>
      <c r="F1478" s="25" t="s">
        <v>91</v>
      </c>
      <c r="G1478" s="28">
        <v>738000.0</v>
      </c>
      <c r="H1478" s="28">
        <v>1048.0</v>
      </c>
      <c r="I1478" s="28">
        <v>1021.0</v>
      </c>
      <c r="J1478" s="28">
        <v>8484.0</v>
      </c>
      <c r="K1478" s="25" t="s">
        <v>28</v>
      </c>
      <c r="L1478" s="26">
        <v>4.0</v>
      </c>
      <c r="M1478" s="26">
        <v>2.0</v>
      </c>
      <c r="N1478" s="26">
        <v>1.0</v>
      </c>
      <c r="O1478" s="30"/>
      <c r="P1478" s="26">
        <v>704.0</v>
      </c>
      <c r="Q1478" s="35">
        <v>107.0</v>
      </c>
      <c r="R1478" s="32">
        <v>45756.0</v>
      </c>
      <c r="S1478" s="32">
        <v>45756.0</v>
      </c>
      <c r="T1478" s="29"/>
      <c r="U1478" s="33"/>
      <c r="V1478" s="1"/>
    </row>
    <row r="1479" ht="24.0" customHeight="1">
      <c r="A1479" s="1"/>
      <c r="B1479" s="24" t="str">
        <f>HYPERLINK("https://www.compass.com/listing/79-16-main-unit-3j-queens-ny-11367/1788817486926401169/view?agent_id=610d3f3370540700019b0833","79-16 Main, Unit 3J")</f>
        <v>79-16 Main, Unit 3J</v>
      </c>
      <c r="C1479" s="25" t="s">
        <v>22</v>
      </c>
      <c r="D1479" s="26" t="s">
        <v>23</v>
      </c>
      <c r="E1479" s="26" t="s">
        <v>312</v>
      </c>
      <c r="F1479" s="25" t="s">
        <v>142</v>
      </c>
      <c r="G1479" s="28">
        <v>375000.0</v>
      </c>
      <c r="H1479" s="28">
        <v>408.0</v>
      </c>
      <c r="I1479" s="28">
        <v>1008.0</v>
      </c>
      <c r="J1479" s="29"/>
      <c r="K1479" s="25" t="s">
        <v>25</v>
      </c>
      <c r="L1479" s="26">
        <v>5.0</v>
      </c>
      <c r="M1479" s="26">
        <v>2.0</v>
      </c>
      <c r="N1479" s="26">
        <v>1.0</v>
      </c>
      <c r="O1479" s="30"/>
      <c r="P1479" s="26">
        <v>920.0</v>
      </c>
      <c r="Q1479" s="35">
        <v>144.0</v>
      </c>
      <c r="R1479" s="32">
        <v>45862.0</v>
      </c>
      <c r="S1479" s="32">
        <v>45719.0</v>
      </c>
      <c r="T1479" s="29"/>
      <c r="U1479" s="33"/>
      <c r="V1479" s="1"/>
    </row>
    <row r="1480" ht="24.0" customHeight="1">
      <c r="A1480" s="1"/>
      <c r="B1480" s="24" t="str">
        <f>HYPERLINK("https://www.compass.com/listing/2680-east-19th-street-unit-3k-brooklyn-ny-11235/1820599767776630673/view?agent_id=610d3f3370540700019b0833","2680 East 19th Street, Unit 3K")</f>
        <v>2680 East 19th Street, Unit 3K</v>
      </c>
      <c r="C1480" s="25" t="s">
        <v>22</v>
      </c>
      <c r="D1480" s="26" t="s">
        <v>23</v>
      </c>
      <c r="E1480" s="27" t="str">
        <f>HYPERLINK("https://www.compass.com/building/2680-e-19th-st-brooklyn-ny-11235/293531311182748997/","2680 E 19th St")</f>
        <v>2680 E 19th St</v>
      </c>
      <c r="F1480" s="25" t="s">
        <v>70</v>
      </c>
      <c r="G1480" s="28">
        <v>525000.0</v>
      </c>
      <c r="H1480" s="28">
        <v>553.0</v>
      </c>
      <c r="I1480" s="28">
        <v>896.0</v>
      </c>
      <c r="J1480" s="29"/>
      <c r="K1480" s="25" t="s">
        <v>25</v>
      </c>
      <c r="L1480" s="26">
        <v>4.0</v>
      </c>
      <c r="M1480" s="26">
        <v>2.0</v>
      </c>
      <c r="N1480" s="26">
        <v>1.0</v>
      </c>
      <c r="O1480" s="30"/>
      <c r="P1480" s="26">
        <v>950.0</v>
      </c>
      <c r="Q1480" s="35">
        <v>100.0</v>
      </c>
      <c r="R1480" s="32">
        <v>45851.0</v>
      </c>
      <c r="S1480" s="32">
        <v>45763.0</v>
      </c>
      <c r="T1480" s="29"/>
      <c r="U1480" s="33"/>
      <c r="V1480" s="1"/>
    </row>
    <row r="1481" ht="24.0" customHeight="1">
      <c r="A1481" s="1"/>
      <c r="B1481" s="24" t="str">
        <f>HYPERLINK("https://www.compass.com/listing/268-03-83rd-avenue-unit-2-new-hyde-park-ny-11040/1831318531016748577/view?agent_id=610d3f3370540700019b0833","268-03 83rd Avenue, Unit 2")</f>
        <v>268-03 83rd Avenue, Unit 2</v>
      </c>
      <c r="C1481" s="25" t="s">
        <v>22</v>
      </c>
      <c r="D1481" s="26" t="s">
        <v>23</v>
      </c>
      <c r="E1481" s="26" t="s">
        <v>313</v>
      </c>
      <c r="F1481" s="25" t="s">
        <v>314</v>
      </c>
      <c r="G1481" s="28">
        <v>359000.0</v>
      </c>
      <c r="H1481" s="28">
        <v>479.0</v>
      </c>
      <c r="I1481" s="28">
        <v>967.0</v>
      </c>
      <c r="J1481" s="29"/>
      <c r="K1481" s="25" t="s">
        <v>25</v>
      </c>
      <c r="L1481" s="26">
        <v>4.0</v>
      </c>
      <c r="M1481" s="26">
        <v>2.0</v>
      </c>
      <c r="N1481" s="26">
        <v>1.0</v>
      </c>
      <c r="O1481" s="30"/>
      <c r="P1481" s="26">
        <v>750.0</v>
      </c>
      <c r="Q1481" s="35">
        <v>85.0</v>
      </c>
      <c r="R1481" s="32">
        <v>45857.0</v>
      </c>
      <c r="S1481" s="32">
        <v>45778.0</v>
      </c>
      <c r="T1481" s="29"/>
      <c r="U1481" s="33"/>
      <c r="V1481" s="1"/>
    </row>
    <row r="1482" ht="24.0" customHeight="1">
      <c r="A1482" s="1"/>
      <c r="B1482" s="24" t="str">
        <f>HYPERLINK("https://www.compass.com/listing/72-08-150th-street-unit-199a-queens-ny-11367/1808925293989833169/view?agent_id=610d3f3370540700019b0833","72-08 150th Street, Unit 199A")</f>
        <v>72-08 150th Street, Unit 199A</v>
      </c>
      <c r="C1482" s="25" t="s">
        <v>22</v>
      </c>
      <c r="D1482" s="26" t="s">
        <v>23</v>
      </c>
      <c r="E1482" s="26" t="s">
        <v>315</v>
      </c>
      <c r="F1482" s="25" t="s">
        <v>142</v>
      </c>
      <c r="G1482" s="28">
        <v>425000.0</v>
      </c>
      <c r="H1482" s="28">
        <v>472.0</v>
      </c>
      <c r="I1482" s="28">
        <v>2172.0</v>
      </c>
      <c r="J1482" s="29"/>
      <c r="K1482" s="25" t="s">
        <v>25</v>
      </c>
      <c r="L1482" s="26">
        <v>5.0</v>
      </c>
      <c r="M1482" s="26">
        <v>2.0</v>
      </c>
      <c r="N1482" s="26">
        <v>1.0</v>
      </c>
      <c r="O1482" s="30"/>
      <c r="P1482" s="26">
        <v>900.0</v>
      </c>
      <c r="Q1482" s="35">
        <v>116.0</v>
      </c>
      <c r="R1482" s="32">
        <v>45863.0</v>
      </c>
      <c r="S1482" s="32">
        <v>45747.0</v>
      </c>
      <c r="T1482" s="29"/>
      <c r="U1482" s="33"/>
      <c r="V1482" s="1"/>
    </row>
    <row r="1483" ht="24.0" customHeight="1">
      <c r="A1483" s="1"/>
      <c r="B1483" s="24" t="str">
        <f>HYPERLINK("https://www.compass.com/listing/88-08-151st-avenue-unit-3h-queens-ny-11414/1794392508300916257/view?agent_id=610d3f3370540700019b0833","88-08 151st Avenue, Unit 3H")</f>
        <v>88-08 151st Avenue, Unit 3H</v>
      </c>
      <c r="C1483" s="25" t="s">
        <v>22</v>
      </c>
      <c r="D1483" s="26" t="s">
        <v>23</v>
      </c>
      <c r="E1483" s="27" t="str">
        <f>HYPERLINK("https://www.compass.com/building/88-08-151st-ave-queens-ny-11414/293531537993899541/","88-08 151st Ave")</f>
        <v>88-08 151st Ave</v>
      </c>
      <c r="F1483" s="25" t="s">
        <v>212</v>
      </c>
      <c r="G1483" s="28">
        <v>219000.0</v>
      </c>
      <c r="H1483" s="28">
        <v>249.0</v>
      </c>
      <c r="I1483" s="28">
        <v>797.0</v>
      </c>
      <c r="J1483" s="29"/>
      <c r="K1483" s="25" t="s">
        <v>25</v>
      </c>
      <c r="L1483" s="26">
        <v>4.0</v>
      </c>
      <c r="M1483" s="26">
        <v>2.0</v>
      </c>
      <c r="N1483" s="26">
        <v>1.0</v>
      </c>
      <c r="O1483" s="30"/>
      <c r="P1483" s="26">
        <v>881.0</v>
      </c>
      <c r="Q1483" s="35">
        <v>136.0</v>
      </c>
      <c r="R1483" s="32">
        <v>45815.0</v>
      </c>
      <c r="S1483" s="32">
        <v>45727.0</v>
      </c>
      <c r="T1483" s="29"/>
      <c r="U1483" s="33"/>
      <c r="V1483" s="1"/>
    </row>
    <row r="1484" ht="24.0" customHeight="1">
      <c r="A1484" s="1"/>
      <c r="B1484" s="24" t="str">
        <f>HYPERLINK("https://www.compass.com/listing/1220-ave-y-unit-1a-brooklyn-ny-11235/1565043204894752153/view?agent_id=610d3f3370540700019b0833","1220 Ave Y, Unit 1A")</f>
        <v>1220 Ave Y, Unit 1A</v>
      </c>
      <c r="C1484" s="25" t="s">
        <v>22</v>
      </c>
      <c r="D1484" s="26" t="s">
        <v>23</v>
      </c>
      <c r="E1484" s="26" t="s">
        <v>316</v>
      </c>
      <c r="F1484" s="25" t="s">
        <v>70</v>
      </c>
      <c r="G1484" s="28">
        <v>699000.0</v>
      </c>
      <c r="H1484" s="28">
        <v>583.0</v>
      </c>
      <c r="I1484" s="28">
        <v>456.0</v>
      </c>
      <c r="J1484" s="28">
        <v>4272.0</v>
      </c>
      <c r="K1484" s="25" t="s">
        <v>28</v>
      </c>
      <c r="L1484" s="26">
        <v>5.0</v>
      </c>
      <c r="M1484" s="26">
        <v>2.0</v>
      </c>
      <c r="N1484" s="30"/>
      <c r="O1484" s="30"/>
      <c r="P1484" s="34">
        <v>1200.0</v>
      </c>
      <c r="Q1484" s="35">
        <v>453.0</v>
      </c>
      <c r="R1484" s="32">
        <v>45411.0</v>
      </c>
      <c r="S1484" s="32">
        <v>45410.0</v>
      </c>
      <c r="T1484" s="29"/>
      <c r="U1484" s="33"/>
      <c r="V1484" s="1"/>
    </row>
    <row r="1485" ht="24.0" customHeight="1">
      <c r="A1485" s="1"/>
      <c r="B1485" s="24" t="str">
        <f>HYPERLINK("https://www.compass.com/listing/1530-east-8th-street-unit-7a-brooklyn-ny-11230/1847178508072752305/view?agent_id=610d3f3370540700019b0833","1530 East 8th Street, Unit 7A")</f>
        <v>1530 East 8th Street, Unit 7A</v>
      </c>
      <c r="C1485" s="25" t="s">
        <v>22</v>
      </c>
      <c r="D1485" s="26" t="s">
        <v>23</v>
      </c>
      <c r="E1485" s="27" t="str">
        <f>HYPERLINK("https://www.compass.com/building/1530-e-8th-st-brooklyn-ny-11230/293529988114696325/","1530 E 8th St")</f>
        <v>1530 E 8th St</v>
      </c>
      <c r="F1485" s="25" t="s">
        <v>171</v>
      </c>
      <c r="G1485" s="28">
        <v>449000.0</v>
      </c>
      <c r="H1485" s="29"/>
      <c r="I1485" s="28">
        <v>880.0</v>
      </c>
      <c r="J1485" s="28">
        <v>0.0</v>
      </c>
      <c r="K1485" s="25" t="s">
        <v>25</v>
      </c>
      <c r="L1485" s="26">
        <v>4.0</v>
      </c>
      <c r="M1485" s="26">
        <v>2.0</v>
      </c>
      <c r="N1485" s="26">
        <v>1.0</v>
      </c>
      <c r="O1485" s="26">
        <v>0.0</v>
      </c>
      <c r="P1485" s="30"/>
      <c r="Q1485" s="35">
        <v>63.0</v>
      </c>
      <c r="R1485" s="32">
        <v>45861.0</v>
      </c>
      <c r="S1485" s="32">
        <v>45800.0</v>
      </c>
      <c r="T1485" s="29"/>
      <c r="U1485" s="33"/>
      <c r="V1485" s="1"/>
    </row>
    <row r="1486" ht="24.0" customHeight="1">
      <c r="A1486" s="1"/>
      <c r="B1486" s="24" t="str">
        <f>HYPERLINK("https://www.compass.com/listing/67-25-clyde-street-unit-1g-queens-ny-11375/1826429185116118121/view?agent_id=610d3f3370540700019b0833","67-25 Clyde Street, Unit 1G")</f>
        <v>67-25 Clyde Street, Unit 1G</v>
      </c>
      <c r="C1486" s="25" t="s">
        <v>22</v>
      </c>
      <c r="D1486" s="26" t="s">
        <v>23</v>
      </c>
      <c r="E1486" s="27" t="str">
        <f>HYPERLINK("https://www.compass.com/building/67-25-clyde-st-queens-ny-11375/293533605114745717/","67-25 Clyde St")</f>
        <v>67-25 Clyde St</v>
      </c>
      <c r="F1486" s="25" t="s">
        <v>166</v>
      </c>
      <c r="G1486" s="28">
        <v>335000.0</v>
      </c>
      <c r="H1486" s="28">
        <v>394.0</v>
      </c>
      <c r="I1486" s="28">
        <v>1188.0</v>
      </c>
      <c r="J1486" s="29"/>
      <c r="K1486" s="25" t="s">
        <v>25</v>
      </c>
      <c r="L1486" s="26">
        <v>5.0</v>
      </c>
      <c r="M1486" s="26">
        <v>2.0</v>
      </c>
      <c r="N1486" s="26">
        <v>1.0</v>
      </c>
      <c r="O1486" s="26">
        <v>0.0</v>
      </c>
      <c r="P1486" s="26">
        <v>850.0</v>
      </c>
      <c r="Q1486" s="35">
        <v>91.0</v>
      </c>
      <c r="R1486" s="32">
        <v>45832.0</v>
      </c>
      <c r="S1486" s="32">
        <v>45771.0</v>
      </c>
      <c r="T1486" s="29"/>
      <c r="U1486" s="33"/>
      <c r="V1486" s="1"/>
    </row>
    <row r="1487" ht="24.0" customHeight="1">
      <c r="A1487" s="1"/>
      <c r="B1487" s="24" t="str">
        <f>HYPERLINK("https://www.compass.com/listing/2652-cropsey-avenue-unit-15k-brooklyn-ny-11214/1801615890650437505/view?agent_id=610d3f3370540700019b0833","2652 Cropsey Avenue, Unit 15K")</f>
        <v>2652 Cropsey Avenue, Unit 15K</v>
      </c>
      <c r="C1487" s="25" t="s">
        <v>22</v>
      </c>
      <c r="D1487" s="26" t="s">
        <v>23</v>
      </c>
      <c r="E1487" s="27" t="str">
        <f>HYPERLINK("https://www.compass.com/building/2652-cropsey-ave-brooklyn-ny-11214/307458309459955621/","2652 Cropsey Ave")</f>
        <v>2652 Cropsey Ave</v>
      </c>
      <c r="F1487" s="25" t="s">
        <v>173</v>
      </c>
      <c r="G1487" s="28">
        <v>380000.0</v>
      </c>
      <c r="H1487" s="28">
        <v>380.0</v>
      </c>
      <c r="I1487" s="28">
        <v>1084.0</v>
      </c>
      <c r="J1487" s="29"/>
      <c r="K1487" s="25" t="s">
        <v>25</v>
      </c>
      <c r="L1487" s="26">
        <v>5.0</v>
      </c>
      <c r="M1487" s="26">
        <v>2.0</v>
      </c>
      <c r="N1487" s="26">
        <v>1.0</v>
      </c>
      <c r="O1487" s="30"/>
      <c r="P1487" s="34">
        <v>1000.0</v>
      </c>
      <c r="Q1487" s="35">
        <v>127.0</v>
      </c>
      <c r="R1487" s="32">
        <v>45862.0</v>
      </c>
      <c r="S1487" s="32">
        <v>45736.0</v>
      </c>
      <c r="T1487" s="29"/>
      <c r="U1487" s="33"/>
      <c r="V1487" s="1"/>
    </row>
    <row r="1488" ht="24.0" customHeight="1">
      <c r="A1488" s="1"/>
      <c r="B1488" s="24" t="str">
        <f>HYPERLINK("https://www.compass.com/listing/6-burns-street-unit-220-queens-ny-11375/1862428996502620209/view?agent_id=610d3f3370540700019b0833","6 Burns Street, Unit 220")</f>
        <v>6 Burns Street, Unit 220</v>
      </c>
      <c r="C1488" s="25" t="s">
        <v>22</v>
      </c>
      <c r="D1488" s="26" t="s">
        <v>23</v>
      </c>
      <c r="E1488" s="27" t="str">
        <f>HYPERLINK("https://www.compass.com/building/6-burns-st-queens-ny-11375/293526522193516325/","6 Burns St")</f>
        <v>6 Burns St</v>
      </c>
      <c r="F1488" s="25" t="s">
        <v>83</v>
      </c>
      <c r="G1488" s="28">
        <v>600000.0</v>
      </c>
      <c r="H1488" s="29"/>
      <c r="I1488" s="28">
        <v>1365.0</v>
      </c>
      <c r="J1488" s="28">
        <v>0.0</v>
      </c>
      <c r="K1488" s="25" t="s">
        <v>25</v>
      </c>
      <c r="L1488" s="26">
        <v>4.0</v>
      </c>
      <c r="M1488" s="26">
        <v>2.0</v>
      </c>
      <c r="N1488" s="26">
        <v>1.0</v>
      </c>
      <c r="O1488" s="26">
        <v>0.0</v>
      </c>
      <c r="P1488" s="30"/>
      <c r="Q1488" s="35">
        <v>42.0</v>
      </c>
      <c r="R1488" s="32">
        <v>45858.0</v>
      </c>
      <c r="S1488" s="32">
        <v>45821.0</v>
      </c>
      <c r="T1488" s="29"/>
      <c r="U1488" s="33"/>
      <c r="V1488" s="1"/>
    </row>
    <row r="1489" ht="24.0" customHeight="1">
      <c r="A1489" s="1"/>
      <c r="B1489" s="24" t="str">
        <f>HYPERLINK("https://www.compass.com/listing/601-brightwater-court-unit-3h-brooklyn-ny-11235/1867607735663176073/view?agent_id=610d3f3370540700019b0833","601 Brightwater Court, Unit 3H")</f>
        <v>601 Brightwater Court, Unit 3H</v>
      </c>
      <c r="C1489" s="25" t="s">
        <v>22</v>
      </c>
      <c r="D1489" s="26" t="s">
        <v>23</v>
      </c>
      <c r="E1489" s="27" t="str">
        <f>HYPERLINK("https://www.compass.com/building/601-brightwater-ct-brooklyn-ny-11235/293527045827293845/","601 Brightwater Ct")</f>
        <v>601 Brightwater Ct</v>
      </c>
      <c r="F1489" s="25" t="s">
        <v>74</v>
      </c>
      <c r="G1489" s="28">
        <v>355000.0</v>
      </c>
      <c r="H1489" s="28">
        <v>323.0</v>
      </c>
      <c r="I1489" s="28">
        <v>955.0</v>
      </c>
      <c r="J1489" s="29"/>
      <c r="K1489" s="25" t="s">
        <v>25</v>
      </c>
      <c r="L1489" s="26">
        <v>4.0</v>
      </c>
      <c r="M1489" s="26">
        <v>2.0</v>
      </c>
      <c r="N1489" s="26">
        <v>1.0</v>
      </c>
      <c r="O1489" s="30"/>
      <c r="P1489" s="34">
        <v>1100.0</v>
      </c>
      <c r="Q1489" s="35">
        <v>35.0</v>
      </c>
      <c r="R1489" s="32">
        <v>45828.0</v>
      </c>
      <c r="S1489" s="32">
        <v>45828.0</v>
      </c>
      <c r="T1489" s="29"/>
      <c r="U1489" s="33"/>
      <c r="V1489" s="1"/>
    </row>
    <row r="1490" ht="24.0" customHeight="1">
      <c r="A1490" s="1"/>
      <c r="B1490" s="24" t="str">
        <f>HYPERLINK("https://www.compass.com/listing/585-castleton-avenue-unit-1c-staten-island-ny-10301/1852367552495696921/view?agent_id=610d3f3370540700019b0833","585 Castleton Avenue, Unit 1C")</f>
        <v>585 Castleton Avenue, Unit 1C</v>
      </c>
      <c r="C1490" s="25" t="s">
        <v>22</v>
      </c>
      <c r="D1490" s="26" t="s">
        <v>23</v>
      </c>
      <c r="E1490" s="27" t="str">
        <f>HYPERLINK("https://www.compass.com/building/585-castleton-ave-staten-island-ny-10301/307432842635895605/","585 Castleton Ave")</f>
        <v>585 Castleton Ave</v>
      </c>
      <c r="F1490" s="25" t="s">
        <v>180</v>
      </c>
      <c r="G1490" s="28">
        <v>295000.0</v>
      </c>
      <c r="H1490" s="28">
        <v>27.0</v>
      </c>
      <c r="I1490" s="28">
        <v>878.0</v>
      </c>
      <c r="J1490" s="29"/>
      <c r="K1490" s="36"/>
      <c r="L1490" s="26">
        <v>4.0</v>
      </c>
      <c r="M1490" s="26">
        <v>2.0</v>
      </c>
      <c r="N1490" s="26">
        <v>1.0</v>
      </c>
      <c r="O1490" s="26">
        <v>0.0</v>
      </c>
      <c r="P1490" s="34">
        <v>10856.0</v>
      </c>
      <c r="Q1490" s="35">
        <v>57.0</v>
      </c>
      <c r="R1490" s="32">
        <v>45852.0</v>
      </c>
      <c r="S1490" s="32">
        <v>45806.0</v>
      </c>
      <c r="T1490" s="29"/>
      <c r="U1490" s="33"/>
      <c r="V1490" s="1"/>
    </row>
    <row r="1491" ht="24.0" customHeight="1">
      <c r="A1491" s="1"/>
      <c r="B1491" s="24" t="str">
        <f>HYPERLINK("https://www.compass.com/listing/2170-brigham-street-unit-4h-brooklyn-ny-11229/1834156041049230993/view?agent_id=610d3f3370540700019b0833","2170 Brigham Street, Unit 4H")</f>
        <v>2170 Brigham Street, Unit 4H</v>
      </c>
      <c r="C1491" s="25" t="s">
        <v>22</v>
      </c>
      <c r="D1491" s="26" t="s">
        <v>23</v>
      </c>
      <c r="E1491" s="27" t="str">
        <f>HYPERLINK("https://www.compass.com/building/2170-brigham-st-brooklyn-ny-11229/307438317737699317/","2170 Brigham St")</f>
        <v>2170 Brigham St</v>
      </c>
      <c r="F1491" s="25" t="s">
        <v>70</v>
      </c>
      <c r="G1491" s="28">
        <v>225000.0</v>
      </c>
      <c r="H1491" s="28">
        <v>250.0</v>
      </c>
      <c r="I1491" s="28">
        <v>1068.0</v>
      </c>
      <c r="J1491" s="29"/>
      <c r="K1491" s="25" t="s">
        <v>25</v>
      </c>
      <c r="L1491" s="26">
        <v>4.0</v>
      </c>
      <c r="M1491" s="26">
        <v>2.0</v>
      </c>
      <c r="N1491" s="26">
        <v>1.0</v>
      </c>
      <c r="O1491" s="30"/>
      <c r="P1491" s="26">
        <v>900.0</v>
      </c>
      <c r="Q1491" s="35">
        <v>81.0</v>
      </c>
      <c r="R1491" s="32">
        <v>45852.0</v>
      </c>
      <c r="S1491" s="32">
        <v>45782.0</v>
      </c>
      <c r="T1491" s="29"/>
      <c r="U1491" s="33"/>
      <c r="V1491" s="1"/>
    </row>
    <row r="1492" ht="24.0" customHeight="1">
      <c r="A1492" s="1"/>
      <c r="B1492" s="24" t="str">
        <f>HYPERLINK("https://www.compass.com/listing/1912-avenue-h-unit-2b-brooklyn-ny-11230/1773355146491998785/view?agent_id=610d3f3370540700019b0833","1912 Avenue H, Unit 2B")</f>
        <v>1912 Avenue H, Unit 2B</v>
      </c>
      <c r="C1492" s="25" t="s">
        <v>22</v>
      </c>
      <c r="D1492" s="26" t="s">
        <v>23</v>
      </c>
      <c r="E1492" s="27" t="str">
        <f>HYPERLINK("https://www.compass.com/building/1912-avenue-h-brooklyn-ny-11230/389280160170951189/","1912 Avenue H")</f>
        <v>1912 Avenue H</v>
      </c>
      <c r="F1492" s="25" t="s">
        <v>34</v>
      </c>
      <c r="G1492" s="28">
        <v>625000.0</v>
      </c>
      <c r="H1492" s="28">
        <v>697.0</v>
      </c>
      <c r="I1492" s="28">
        <v>777.0</v>
      </c>
      <c r="J1492" s="28">
        <v>4289.0</v>
      </c>
      <c r="K1492" s="25" t="s">
        <v>28</v>
      </c>
      <c r="L1492" s="26">
        <v>3.0</v>
      </c>
      <c r="M1492" s="26">
        <v>2.0</v>
      </c>
      <c r="N1492" s="26">
        <v>1.0</v>
      </c>
      <c r="O1492" s="30"/>
      <c r="P1492" s="26">
        <v>897.0</v>
      </c>
      <c r="Q1492" s="35">
        <v>165.0</v>
      </c>
      <c r="R1492" s="32">
        <v>45725.0</v>
      </c>
      <c r="S1492" s="32">
        <v>45698.0</v>
      </c>
      <c r="T1492" s="29"/>
      <c r="U1492" s="33"/>
      <c r="V1492" s="1"/>
    </row>
    <row r="1493" ht="24.0" customHeight="1">
      <c r="A1493" s="1"/>
      <c r="B1493" s="24" t="str">
        <f>HYPERLINK("https://www.compass.com/listing/94-31-59th-avenue-unit-4b-queens-ny-11373/1846684370902593785/view?agent_id=610d3f3370540700019b0833","94-31 59th Avenue, Unit 4B")</f>
        <v>94-31 59th Avenue, Unit 4B</v>
      </c>
      <c r="C1493" s="25" t="s">
        <v>22</v>
      </c>
      <c r="D1493" s="26" t="s">
        <v>23</v>
      </c>
      <c r="E1493" s="27" t="str">
        <f>HYPERLINK("https://www.compass.com/building/94-31-59th-ave-queens-ny-11373/307436764595287733/","94-31 59th Ave")</f>
        <v>94-31 59th Ave</v>
      </c>
      <c r="F1493" s="25" t="s">
        <v>151</v>
      </c>
      <c r="G1493" s="28">
        <v>399000.0</v>
      </c>
      <c r="H1493" s="28">
        <v>407.0</v>
      </c>
      <c r="I1493" s="28">
        <v>729.0</v>
      </c>
      <c r="J1493" s="29"/>
      <c r="K1493" s="25" t="s">
        <v>25</v>
      </c>
      <c r="L1493" s="26">
        <v>4.0</v>
      </c>
      <c r="M1493" s="26">
        <v>2.0</v>
      </c>
      <c r="N1493" s="26">
        <v>1.0</v>
      </c>
      <c r="O1493" s="30"/>
      <c r="P1493" s="26">
        <v>980.0</v>
      </c>
      <c r="Q1493" s="35">
        <v>64.0</v>
      </c>
      <c r="R1493" s="32">
        <v>45857.0</v>
      </c>
      <c r="S1493" s="32">
        <v>45799.0</v>
      </c>
      <c r="T1493" s="29"/>
      <c r="U1493" s="33"/>
      <c r="V1493" s="1"/>
    </row>
    <row r="1494" ht="24.0" customHeight="1">
      <c r="A1494" s="1"/>
      <c r="B1494" s="24" t="str">
        <f>HYPERLINK("https://www.compass.com/listing/83-06-vietor-unit-5f-queens-ny-11373/1779911921104462289/view?agent_id=610d3f3370540700019b0833","83-06 Vietor, Unit 5F")</f>
        <v>83-06 Vietor, Unit 5F</v>
      </c>
      <c r="C1494" s="25" t="s">
        <v>22</v>
      </c>
      <c r="D1494" s="26" t="s">
        <v>23</v>
      </c>
      <c r="E1494" s="26" t="s">
        <v>317</v>
      </c>
      <c r="F1494" s="25" t="s">
        <v>151</v>
      </c>
      <c r="G1494" s="28">
        <v>429000.0</v>
      </c>
      <c r="H1494" s="28">
        <v>358.0</v>
      </c>
      <c r="I1494" s="28">
        <v>1200.0</v>
      </c>
      <c r="J1494" s="29"/>
      <c r="K1494" s="25" t="s">
        <v>25</v>
      </c>
      <c r="L1494" s="26">
        <v>4.0</v>
      </c>
      <c r="M1494" s="26">
        <v>2.0</v>
      </c>
      <c r="N1494" s="26">
        <v>1.0</v>
      </c>
      <c r="O1494" s="30"/>
      <c r="P1494" s="34">
        <v>1200.0</v>
      </c>
      <c r="Q1494" s="35">
        <v>153.0</v>
      </c>
      <c r="R1494" s="32">
        <v>45784.0</v>
      </c>
      <c r="S1494" s="32">
        <v>45706.0</v>
      </c>
      <c r="T1494" s="29"/>
      <c r="U1494" s="33"/>
      <c r="V1494" s="1"/>
    </row>
    <row r="1495" ht="24.0" customHeight="1">
      <c r="A1495" s="1"/>
      <c r="B1495" s="24" t="str">
        <f>HYPERLINK("https://www.compass.com/listing/65-39-108th-street-unit-e6-queens-ny-11375/1860955482835039817/view?agent_id=610d3f3370540700019b0833","65-39 108th Street, Unit E6")</f>
        <v>65-39 108th Street, Unit E6</v>
      </c>
      <c r="C1495" s="25" t="s">
        <v>22</v>
      </c>
      <c r="D1495" s="26" t="s">
        <v>23</v>
      </c>
      <c r="E1495" s="27" t="str">
        <f>HYPERLINK("https://www.compass.com/building/65-39-108th-st-queens-ny-11375/307451427236245413/","65-39 108th St")</f>
        <v>65-39 108th St</v>
      </c>
      <c r="F1495" s="25" t="s">
        <v>83</v>
      </c>
      <c r="G1495" s="28">
        <v>449500.0</v>
      </c>
      <c r="H1495" s="28">
        <v>562.0</v>
      </c>
      <c r="I1495" s="28">
        <v>956.0</v>
      </c>
      <c r="J1495" s="29"/>
      <c r="K1495" s="25" t="s">
        <v>25</v>
      </c>
      <c r="L1495" s="26">
        <v>4.0</v>
      </c>
      <c r="M1495" s="26">
        <v>2.0</v>
      </c>
      <c r="N1495" s="26">
        <v>1.0</v>
      </c>
      <c r="O1495" s="30"/>
      <c r="P1495" s="26">
        <v>800.0</v>
      </c>
      <c r="Q1495" s="35">
        <v>44.0</v>
      </c>
      <c r="R1495" s="32">
        <v>45861.0</v>
      </c>
      <c r="S1495" s="32">
        <v>45819.0</v>
      </c>
      <c r="T1495" s="29"/>
      <c r="U1495" s="33"/>
      <c r="V1495" s="1"/>
    </row>
    <row r="1496" ht="24.0" customHeight="1">
      <c r="A1496" s="1"/>
      <c r="B1496" s="24" t="str">
        <f>HYPERLINK("https://www.compass.com/listing/915-east-17th-street-unit-220-brooklyn-ny-11230/1855940692710968225/view?agent_id=610d3f3370540700019b0833","915 East 17th Street, Unit 220")</f>
        <v>915 East 17th Street, Unit 220</v>
      </c>
      <c r="C1496" s="25" t="s">
        <v>22</v>
      </c>
      <c r="D1496" s="26" t="s">
        <v>23</v>
      </c>
      <c r="E1496" s="27" t="str">
        <f>HYPERLINK("https://www.compass.com/building/terrace-gardens-plaza-brooklyn-ny/293416540907350741/","Terrace Gardens Plaza")</f>
        <v>Terrace Gardens Plaza</v>
      </c>
      <c r="F1496" s="25" t="s">
        <v>34</v>
      </c>
      <c r="G1496" s="28">
        <v>319000.0</v>
      </c>
      <c r="H1496" s="28">
        <v>354.0</v>
      </c>
      <c r="I1496" s="28">
        <v>975.0</v>
      </c>
      <c r="J1496" s="29"/>
      <c r="K1496" s="25" t="s">
        <v>25</v>
      </c>
      <c r="L1496" s="26">
        <v>3.0</v>
      </c>
      <c r="M1496" s="26">
        <v>2.0</v>
      </c>
      <c r="N1496" s="26">
        <v>1.0</v>
      </c>
      <c r="O1496" s="30"/>
      <c r="P1496" s="26">
        <v>900.0</v>
      </c>
      <c r="Q1496" s="35">
        <v>51.0</v>
      </c>
      <c r="R1496" s="32">
        <v>45862.0</v>
      </c>
      <c r="S1496" s="32">
        <v>45812.0</v>
      </c>
      <c r="T1496" s="29"/>
      <c r="U1496" s="33"/>
      <c r="V1496" s="1"/>
    </row>
    <row r="1497" ht="24.0" customHeight="1">
      <c r="A1497" s="1"/>
      <c r="B1497" s="24" t="str">
        <f>HYPERLINK("https://www.compass.com/listing/18-38-120th-street-queens-ny-11356/1784258925747401257/view?agent_id=610d3f3370540700019b0833","18-38 120th Street")</f>
        <v>18-38 120th Street</v>
      </c>
      <c r="C1497" s="25" t="s">
        <v>22</v>
      </c>
      <c r="D1497" s="26" t="s">
        <v>23</v>
      </c>
      <c r="E1497" s="27" t="str">
        <f>HYPERLINK("https://www.compass.com/building/18-38-120th-st-queens-ny-11356/293417398457880229/","18-38 120th St")</f>
        <v>18-38 120th St</v>
      </c>
      <c r="F1497" s="25" t="s">
        <v>227</v>
      </c>
      <c r="G1497" s="28">
        <v>1250000.0</v>
      </c>
      <c r="H1497" s="28">
        <v>481.0</v>
      </c>
      <c r="I1497" s="28">
        <v>604.0</v>
      </c>
      <c r="J1497" s="28">
        <v>7254.0</v>
      </c>
      <c r="K1497" s="25" t="s">
        <v>149</v>
      </c>
      <c r="L1497" s="30"/>
      <c r="M1497" s="26">
        <v>2.0</v>
      </c>
      <c r="N1497" s="26">
        <v>1.0</v>
      </c>
      <c r="O1497" s="30"/>
      <c r="P1497" s="34">
        <v>2600.0</v>
      </c>
      <c r="Q1497" s="35">
        <v>150.0</v>
      </c>
      <c r="R1497" s="32">
        <v>45758.0</v>
      </c>
      <c r="S1497" s="32">
        <v>45713.0</v>
      </c>
      <c r="T1497" s="29"/>
      <c r="U1497" s="33"/>
      <c r="V1497" s="1"/>
    </row>
    <row r="1498" ht="24.0" customHeight="1">
      <c r="A1498" s="1"/>
      <c r="B1498" s="24" t="str">
        <f>HYPERLINK("https://www.compass.com/listing/102-23-russell-street-queens-ny-11414/1810601125867802825/view?agent_id=610d3f3370540700019b0833","102-23 Russell Street")</f>
        <v>102-23 Russell Street</v>
      </c>
      <c r="C1498" s="25" t="s">
        <v>22</v>
      </c>
      <c r="D1498" s="26" t="s">
        <v>23</v>
      </c>
      <c r="E1498" s="27" t="str">
        <f>HYPERLINK("https://www.compass.com/building/102-23-russell-st-queens-ny-11414/293531325611162245/","102-23 Russell St")</f>
        <v>102-23 Russell St</v>
      </c>
      <c r="F1498" s="25" t="s">
        <v>220</v>
      </c>
      <c r="G1498" s="28">
        <v>350000.0</v>
      </c>
      <c r="H1498" s="28">
        <v>799.0</v>
      </c>
      <c r="I1498" s="28">
        <v>96.0</v>
      </c>
      <c r="J1498" s="28">
        <v>1155.0</v>
      </c>
      <c r="K1498" s="25" t="s">
        <v>97</v>
      </c>
      <c r="L1498" s="26">
        <v>4.0</v>
      </c>
      <c r="M1498" s="26">
        <v>2.0</v>
      </c>
      <c r="N1498" s="26">
        <v>1.0</v>
      </c>
      <c r="O1498" s="30"/>
      <c r="P1498" s="26">
        <v>438.0</v>
      </c>
      <c r="Q1498" s="35">
        <v>114.0</v>
      </c>
      <c r="R1498" s="32">
        <v>45824.0</v>
      </c>
      <c r="S1498" s="32">
        <v>45749.0</v>
      </c>
      <c r="T1498" s="29"/>
      <c r="U1498" s="33"/>
      <c r="V1498" s="1"/>
    </row>
    <row r="1499" ht="24.0" customHeight="1">
      <c r="A1499" s="1"/>
      <c r="B1499" s="24" t="str">
        <f>HYPERLINK("https://www.compass.com/listing/104-20-68th-drive-unit-aa01-queens-ny-11375/1802348705914516377/view?agent_id=610d3f3370540700019b0833","104-20 68th Drive, Unit AA01")</f>
        <v>104-20 68th Drive, Unit AA01</v>
      </c>
      <c r="C1499" s="25" t="s">
        <v>22</v>
      </c>
      <c r="D1499" s="26" t="s">
        <v>23</v>
      </c>
      <c r="E1499" s="27" t="str">
        <f>HYPERLINK("https://www.compass.com/building/104-20-68th-dr-queens-ny-11375/293533905242354581/","104-20 68th Dr")</f>
        <v>104-20 68th Dr</v>
      </c>
      <c r="F1499" s="25" t="s">
        <v>166</v>
      </c>
      <c r="G1499" s="28">
        <v>398000.0</v>
      </c>
      <c r="H1499" s="28">
        <v>398.0</v>
      </c>
      <c r="I1499" s="28">
        <v>1600.0</v>
      </c>
      <c r="J1499" s="29"/>
      <c r="K1499" s="25" t="s">
        <v>25</v>
      </c>
      <c r="L1499" s="26">
        <v>5.0</v>
      </c>
      <c r="M1499" s="26">
        <v>2.0</v>
      </c>
      <c r="N1499" s="26">
        <v>1.0</v>
      </c>
      <c r="O1499" s="30"/>
      <c r="P1499" s="34">
        <v>1000.0</v>
      </c>
      <c r="Q1499" s="35">
        <v>125.0</v>
      </c>
      <c r="R1499" s="32">
        <v>45758.0</v>
      </c>
      <c r="S1499" s="32">
        <v>45738.0</v>
      </c>
      <c r="T1499" s="29"/>
      <c r="U1499" s="33"/>
      <c r="V1499" s="1"/>
    </row>
    <row r="1500" ht="24.0" customHeight="1">
      <c r="A1500" s="1"/>
      <c r="B1500" s="24" t="str">
        <f>HYPERLINK("https://www.compass.com/listing/84-16-elmhurst-avenue-unit-5e-queens-ny-11373/1805299869715210961/view?agent_id=610d3f3370540700019b0833","84-16 Elmhurst Avenue, Unit 5E")</f>
        <v>84-16 Elmhurst Avenue, Unit 5E</v>
      </c>
      <c r="C1500" s="25" t="s">
        <v>22</v>
      </c>
      <c r="D1500" s="26" t="s">
        <v>23</v>
      </c>
      <c r="E1500" s="27" t="str">
        <f>HYPERLINK("https://www.compass.com/building/84-16-elmhurst-ave-queens-ny-11373/307442516277893941/","84-16 Elmhurst Ave")</f>
        <v>84-16 Elmhurst Ave</v>
      </c>
      <c r="F1500" s="25" t="s">
        <v>151</v>
      </c>
      <c r="G1500" s="28">
        <v>399000.0</v>
      </c>
      <c r="H1500" s="28">
        <v>505.0</v>
      </c>
      <c r="I1500" s="28">
        <v>1027.0</v>
      </c>
      <c r="J1500" s="29"/>
      <c r="K1500" s="25" t="s">
        <v>25</v>
      </c>
      <c r="L1500" s="26">
        <v>4.0</v>
      </c>
      <c r="M1500" s="26">
        <v>2.0</v>
      </c>
      <c r="N1500" s="26">
        <v>1.0</v>
      </c>
      <c r="O1500" s="30"/>
      <c r="P1500" s="26">
        <v>790.0</v>
      </c>
      <c r="Q1500" s="35">
        <v>120.0</v>
      </c>
      <c r="R1500" s="32">
        <v>45772.0</v>
      </c>
      <c r="S1500" s="32">
        <v>45742.0</v>
      </c>
      <c r="T1500" s="29"/>
      <c r="U1500" s="33"/>
      <c r="V1500" s="1"/>
    </row>
    <row r="1501" ht="24.0" customHeight="1">
      <c r="A1501" s="1"/>
      <c r="B1501" s="24" t="str">
        <f>HYPERLINK("https://www.compass.com/listing/2427-east-29th-street-unit-4a-brooklyn-ny-11235/1746652575233894057/view?agent_id=610d3f3370540700019b0833","2427 East 29th Street, Unit 4A")</f>
        <v>2427 East 29th Street, Unit 4A</v>
      </c>
      <c r="C1501" s="25" t="s">
        <v>22</v>
      </c>
      <c r="D1501" s="26" t="s">
        <v>23</v>
      </c>
      <c r="E1501" s="27" t="str">
        <f>HYPERLINK("https://www.compass.com/building/2427-e-29th-st-brooklyn-ny-11235/293529431354418741/","2427 E 29th St")</f>
        <v>2427 E 29th St</v>
      </c>
      <c r="F1501" s="25" t="s">
        <v>70</v>
      </c>
      <c r="G1501" s="28">
        <v>275000.0</v>
      </c>
      <c r="H1501" s="28">
        <v>306.0</v>
      </c>
      <c r="I1501" s="28">
        <v>1008.0</v>
      </c>
      <c r="J1501" s="28">
        <v>0.0</v>
      </c>
      <c r="K1501" s="25" t="s">
        <v>25</v>
      </c>
      <c r="L1501" s="26">
        <v>4.0</v>
      </c>
      <c r="M1501" s="26">
        <v>2.0</v>
      </c>
      <c r="N1501" s="26">
        <v>1.0</v>
      </c>
      <c r="O1501" s="30"/>
      <c r="P1501" s="26">
        <v>900.0</v>
      </c>
      <c r="Q1501" s="35">
        <v>201.0</v>
      </c>
      <c r="R1501" s="32">
        <v>45661.0</v>
      </c>
      <c r="S1501" s="32">
        <v>45661.0</v>
      </c>
      <c r="T1501" s="29"/>
      <c r="U1501" s="33"/>
      <c r="V1501" s="1"/>
    </row>
    <row r="1502" ht="24.0" customHeight="1">
      <c r="A1502" s="1"/>
      <c r="B1502" s="24" t="str">
        <f>HYPERLINK("https://www.compass.com/listing/17-24-201st-street-unit-2120-queens-ny-11360/1845155832935972289/view?agent_id=610d3f3370540700019b0833","17-24 201st Street, Unit 2120")</f>
        <v>17-24 201st Street, Unit 2120</v>
      </c>
      <c r="C1502" s="25" t="s">
        <v>22</v>
      </c>
      <c r="D1502" s="26" t="s">
        <v>23</v>
      </c>
      <c r="E1502" s="27" t="str">
        <f>HYPERLINK("https://www.compass.com/building/17-24-201st-st-queens-ny-11360/381306453563697141/","17-24 201st St")</f>
        <v>17-24 201st St</v>
      </c>
      <c r="F1502" s="25" t="s">
        <v>164</v>
      </c>
      <c r="G1502" s="28">
        <v>328888.0</v>
      </c>
      <c r="H1502" s="28">
        <v>365.0</v>
      </c>
      <c r="I1502" s="28">
        <v>1247.0</v>
      </c>
      <c r="J1502" s="29"/>
      <c r="K1502" s="25" t="s">
        <v>25</v>
      </c>
      <c r="L1502" s="26">
        <v>5.0</v>
      </c>
      <c r="M1502" s="26">
        <v>2.0</v>
      </c>
      <c r="N1502" s="26">
        <v>1.0</v>
      </c>
      <c r="O1502" s="30"/>
      <c r="P1502" s="26">
        <v>900.0</v>
      </c>
      <c r="Q1502" s="35">
        <v>66.0</v>
      </c>
      <c r="R1502" s="32">
        <v>45857.0</v>
      </c>
      <c r="S1502" s="32">
        <v>45797.0</v>
      </c>
      <c r="T1502" s="29"/>
      <c r="U1502" s="33"/>
      <c r="V1502" s="1"/>
    </row>
    <row r="1503" ht="24.0" customHeight="1">
      <c r="A1503" s="1"/>
      <c r="B1503" s="24" t="str">
        <f>HYPERLINK("https://www.compass.com/listing/1683-west-7th-street-unit-2b-brooklyn-ny-11223/1288063831452962825/view?agent_id=610d3f3370540700019b0833","1683 West 7th Street, Unit 2B")</f>
        <v>1683 West 7th Street, Unit 2B</v>
      </c>
      <c r="C1503" s="25" t="s">
        <v>22</v>
      </c>
      <c r="D1503" s="26" t="s">
        <v>23</v>
      </c>
      <c r="E1503" s="27" t="str">
        <f t="shared" ref="E1503:E1506" si="10">HYPERLINK("https://www.compass.com/building/1683-w-7th-st-brooklyn-ny-11223/293534247816336613/","1683 W 7th St")</f>
        <v>1683 W 7th St</v>
      </c>
      <c r="F1503" s="25" t="s">
        <v>173</v>
      </c>
      <c r="G1503" s="28">
        <v>499000.0</v>
      </c>
      <c r="H1503" s="28">
        <v>822.0</v>
      </c>
      <c r="I1503" s="28">
        <v>901.0</v>
      </c>
      <c r="J1503" s="28">
        <v>6611.0</v>
      </c>
      <c r="K1503" s="25" t="s">
        <v>28</v>
      </c>
      <c r="L1503" s="26">
        <v>4.0</v>
      </c>
      <c r="M1503" s="26">
        <v>2.0</v>
      </c>
      <c r="N1503" s="26">
        <v>1.0</v>
      </c>
      <c r="O1503" s="30"/>
      <c r="P1503" s="26">
        <v>607.0</v>
      </c>
      <c r="Q1503" s="35">
        <v>669.0</v>
      </c>
      <c r="R1503" s="32">
        <v>45840.0</v>
      </c>
      <c r="S1503" s="32">
        <v>45194.0</v>
      </c>
      <c r="T1503" s="29"/>
      <c r="U1503" s="33"/>
      <c r="V1503" s="1"/>
    </row>
    <row r="1504" ht="24.0" customHeight="1">
      <c r="A1504" s="1"/>
      <c r="B1504" s="24" t="str">
        <f>HYPERLINK("https://www.compass.com/listing/1683-west-7th-street-unit-4b-brooklyn-ny-11223/1288063833515917209/view?agent_id=610d3f3370540700019b0833","1683 West 7th Street, Unit 4B")</f>
        <v>1683 West 7th Street, Unit 4B</v>
      </c>
      <c r="C1504" s="25" t="s">
        <v>22</v>
      </c>
      <c r="D1504" s="26" t="s">
        <v>23</v>
      </c>
      <c r="E1504" s="27" t="str">
        <f t="shared" si="10"/>
        <v>1683 W 7th St</v>
      </c>
      <c r="F1504" s="25" t="s">
        <v>173</v>
      </c>
      <c r="G1504" s="28">
        <v>499000.0</v>
      </c>
      <c r="H1504" s="28">
        <v>822.0</v>
      </c>
      <c r="I1504" s="28">
        <v>901.0</v>
      </c>
      <c r="J1504" s="28">
        <v>6611.0</v>
      </c>
      <c r="K1504" s="25" t="s">
        <v>28</v>
      </c>
      <c r="L1504" s="26">
        <v>4.0</v>
      </c>
      <c r="M1504" s="26">
        <v>2.0</v>
      </c>
      <c r="N1504" s="26">
        <v>1.0</v>
      </c>
      <c r="O1504" s="30"/>
      <c r="P1504" s="26">
        <v>607.0</v>
      </c>
      <c r="Q1504" s="35">
        <v>667.0</v>
      </c>
      <c r="R1504" s="32">
        <v>45840.0</v>
      </c>
      <c r="S1504" s="32">
        <v>45196.0</v>
      </c>
      <c r="T1504" s="29"/>
      <c r="U1504" s="33"/>
      <c r="V1504" s="1"/>
    </row>
    <row r="1505" ht="24.0" customHeight="1">
      <c r="A1505" s="1"/>
      <c r="B1505" s="24" t="str">
        <f>HYPERLINK("https://www.compass.com/listing/1683-west-7th-street-unit-5b-brooklyn-ny-11223/1313507523270827065/view?agent_id=610d3f3370540700019b0833","1683 West 7th Street, Unit 5B")</f>
        <v>1683 West 7th Street, Unit 5B</v>
      </c>
      <c r="C1505" s="25" t="s">
        <v>22</v>
      </c>
      <c r="D1505" s="26" t="s">
        <v>23</v>
      </c>
      <c r="E1505" s="27" t="str">
        <f t="shared" si="10"/>
        <v>1683 W 7th St</v>
      </c>
      <c r="F1505" s="25" t="s">
        <v>173</v>
      </c>
      <c r="G1505" s="28">
        <v>499000.0</v>
      </c>
      <c r="H1505" s="28">
        <v>822.0</v>
      </c>
      <c r="I1505" s="28">
        <v>916.0</v>
      </c>
      <c r="J1505" s="28">
        <v>6702.0</v>
      </c>
      <c r="K1505" s="25" t="s">
        <v>28</v>
      </c>
      <c r="L1505" s="26">
        <v>2.0</v>
      </c>
      <c r="M1505" s="26">
        <v>2.0</v>
      </c>
      <c r="N1505" s="26">
        <v>1.0</v>
      </c>
      <c r="O1505" s="30"/>
      <c r="P1505" s="26">
        <v>607.0</v>
      </c>
      <c r="Q1505" s="35">
        <v>693.0</v>
      </c>
      <c r="R1505" s="32">
        <v>45840.0</v>
      </c>
      <c r="S1505" s="32">
        <v>45170.0</v>
      </c>
      <c r="T1505" s="29"/>
      <c r="U1505" s="33"/>
      <c r="V1505" s="1"/>
    </row>
    <row r="1506" ht="24.0" customHeight="1">
      <c r="A1506" s="1"/>
      <c r="B1506" s="24" t="str">
        <f>HYPERLINK("https://www.compass.com/listing/1683-west-7th-street-unit-2a-brooklyn-ny-11223/1697459044173327265/view?agent_id=610d3f3370540700019b0833","1683 West 7th Street, Unit 2A")</f>
        <v>1683 West 7th Street, Unit 2A</v>
      </c>
      <c r="C1506" s="25" t="s">
        <v>22</v>
      </c>
      <c r="D1506" s="26" t="s">
        <v>23</v>
      </c>
      <c r="E1506" s="27" t="str">
        <f t="shared" si="10"/>
        <v>1683 W 7th St</v>
      </c>
      <c r="F1506" s="25" t="s">
        <v>173</v>
      </c>
      <c r="G1506" s="28">
        <v>470000.0</v>
      </c>
      <c r="H1506" s="28">
        <v>772.0</v>
      </c>
      <c r="I1506" s="28">
        <v>898.0</v>
      </c>
      <c r="J1506" s="28">
        <v>6483.0</v>
      </c>
      <c r="K1506" s="25" t="s">
        <v>28</v>
      </c>
      <c r="L1506" s="26">
        <v>4.0</v>
      </c>
      <c r="M1506" s="26">
        <v>2.0</v>
      </c>
      <c r="N1506" s="26">
        <v>1.0</v>
      </c>
      <c r="O1506" s="30"/>
      <c r="P1506" s="26">
        <v>609.0</v>
      </c>
      <c r="Q1506" s="35">
        <v>270.0</v>
      </c>
      <c r="R1506" s="32">
        <v>45741.0</v>
      </c>
      <c r="S1506" s="32">
        <v>45593.0</v>
      </c>
      <c r="T1506" s="29"/>
      <c r="U1506" s="33"/>
      <c r="V1506" s="1"/>
    </row>
    <row r="1507" ht="24.0" customHeight="1">
      <c r="A1507" s="1"/>
      <c r="B1507" s="24" t="str">
        <f>HYPERLINK("https://www.compass.com/listing/88-25-155th-avenue-unit-6l-queens-ny-11414/1800869305670877073/view?agent_id=610d3f3370540700019b0833","88-25 155th Avenue, Unit 6L")</f>
        <v>88-25 155th Avenue, Unit 6L</v>
      </c>
      <c r="C1507" s="25" t="s">
        <v>22</v>
      </c>
      <c r="D1507" s="26" t="s">
        <v>23</v>
      </c>
      <c r="E1507" s="27" t="str">
        <f>HYPERLINK("https://www.compass.com/building/88-25-155th-ave-queens-ny-11414/293532827499112805/","88-25 155th Ave")</f>
        <v>88-25 155th Ave</v>
      </c>
      <c r="F1507" s="25" t="s">
        <v>212</v>
      </c>
      <c r="G1507" s="28">
        <v>229000.0</v>
      </c>
      <c r="H1507" s="28">
        <v>250.0</v>
      </c>
      <c r="I1507" s="28">
        <v>1018.0</v>
      </c>
      <c r="J1507" s="29"/>
      <c r="K1507" s="25" t="s">
        <v>25</v>
      </c>
      <c r="L1507" s="26">
        <v>5.0</v>
      </c>
      <c r="M1507" s="26">
        <v>2.0</v>
      </c>
      <c r="N1507" s="26">
        <v>1.0</v>
      </c>
      <c r="O1507" s="30"/>
      <c r="P1507" s="26">
        <v>915.0</v>
      </c>
      <c r="Q1507" s="35">
        <v>19.0</v>
      </c>
      <c r="R1507" s="32">
        <v>45850.0</v>
      </c>
      <c r="S1507" s="32">
        <v>45736.0</v>
      </c>
      <c r="T1507" s="29"/>
      <c r="U1507" s="33"/>
      <c r="V1507" s="1"/>
    </row>
    <row r="1508" ht="24.0" customHeight="1">
      <c r="A1508" s="1"/>
      <c r="B1508" s="24" t="str">
        <f>HYPERLINK("https://www.compass.com/listing/65-50-wetherole-street-unit-1a-queens-ny-11374/1840325191958814809/view?agent_id=610d3f3370540700019b0833","65-50 Wetherole Street, Unit 1A")</f>
        <v>65-50 Wetherole Street, Unit 1A</v>
      </c>
      <c r="C1508" s="25" t="s">
        <v>22</v>
      </c>
      <c r="D1508" s="26" t="s">
        <v>23</v>
      </c>
      <c r="E1508" s="27" t="str">
        <f>HYPERLINK("https://www.compass.com/building/65-50-wetherole-st-queens-ny-11374/293532762923710789/","65-50 Wetherole St")</f>
        <v>65-50 Wetherole St</v>
      </c>
      <c r="F1508" s="25" t="s">
        <v>166</v>
      </c>
      <c r="G1508" s="28">
        <v>558000.0</v>
      </c>
      <c r="H1508" s="28">
        <v>538.0</v>
      </c>
      <c r="I1508" s="28">
        <v>1120.0</v>
      </c>
      <c r="J1508" s="28">
        <v>8197.0</v>
      </c>
      <c r="K1508" s="25" t="s">
        <v>28</v>
      </c>
      <c r="L1508" s="26">
        <v>5.0</v>
      </c>
      <c r="M1508" s="26">
        <v>2.0</v>
      </c>
      <c r="N1508" s="26">
        <v>1.0</v>
      </c>
      <c r="O1508" s="30"/>
      <c r="P1508" s="34">
        <v>1037.0</v>
      </c>
      <c r="Q1508" s="35">
        <v>72.0</v>
      </c>
      <c r="R1508" s="32">
        <v>45852.0</v>
      </c>
      <c r="S1508" s="32">
        <v>45790.0</v>
      </c>
      <c r="T1508" s="29"/>
      <c r="U1508" s="33"/>
      <c r="V1508" s="1"/>
    </row>
    <row r="1509" ht="24.0" customHeight="1">
      <c r="A1509" s="1"/>
      <c r="B1509" s="24" t="str">
        <f>HYPERLINK("https://www.compass.com/listing/2286-brigham-street-unit-6b-brooklyn-ny-11229/1799483764179285433/view?agent_id=610d3f3370540700019b0833","2286 Brigham Street, Unit 6B")</f>
        <v>2286 Brigham Street, Unit 6B</v>
      </c>
      <c r="C1509" s="25" t="s">
        <v>22</v>
      </c>
      <c r="D1509" s="26" t="s">
        <v>23</v>
      </c>
      <c r="E1509" s="27" t="str">
        <f>HYPERLINK("https://www.compass.com/building/2286-brigham-st-brooklyn-ny-11229/307444157844623509/","2286 Brigham St")</f>
        <v>2286 Brigham St</v>
      </c>
      <c r="F1509" s="25" t="s">
        <v>70</v>
      </c>
      <c r="G1509" s="28">
        <v>239000.0</v>
      </c>
      <c r="H1509" s="28">
        <v>252.0</v>
      </c>
      <c r="I1509" s="28">
        <v>1046.0</v>
      </c>
      <c r="J1509" s="29"/>
      <c r="K1509" s="25" t="s">
        <v>25</v>
      </c>
      <c r="L1509" s="26">
        <v>4.0</v>
      </c>
      <c r="M1509" s="26">
        <v>2.0</v>
      </c>
      <c r="N1509" s="26">
        <v>1.0</v>
      </c>
      <c r="O1509" s="30"/>
      <c r="P1509" s="26">
        <v>950.0</v>
      </c>
      <c r="Q1509" s="35">
        <v>130.0</v>
      </c>
      <c r="R1509" s="32">
        <v>45837.0</v>
      </c>
      <c r="S1509" s="32">
        <v>45733.0</v>
      </c>
      <c r="T1509" s="29"/>
      <c r="U1509" s="33"/>
      <c r="V1509" s="1"/>
    </row>
    <row r="1510" ht="24.0" customHeight="1">
      <c r="A1510" s="1"/>
      <c r="B1510" s="24" t="str">
        <f>HYPERLINK("https://www.compass.com/listing/104-20-68th-drive-unit-b19-queens-ny-11375/1826378701273514489/view?agent_id=610d3f3370540700019b0833","104-20 68th Drive, Unit B19")</f>
        <v>104-20 68th Drive, Unit B19</v>
      </c>
      <c r="C1510" s="25" t="s">
        <v>22</v>
      </c>
      <c r="D1510" s="26" t="s">
        <v>23</v>
      </c>
      <c r="E1510" s="27" t="str">
        <f>HYPERLINK("https://www.compass.com/building/104-20-68th-dr-queens-ny-11375/293533905242354581/","104-20 68th Dr")</f>
        <v>104-20 68th Dr</v>
      </c>
      <c r="F1510" s="25" t="s">
        <v>166</v>
      </c>
      <c r="G1510" s="28">
        <v>390000.0</v>
      </c>
      <c r="H1510" s="28">
        <v>433.0</v>
      </c>
      <c r="I1510" s="28">
        <v>1169.0</v>
      </c>
      <c r="J1510" s="29"/>
      <c r="K1510" s="25" t="s">
        <v>25</v>
      </c>
      <c r="L1510" s="26">
        <v>4.0</v>
      </c>
      <c r="M1510" s="26">
        <v>2.0</v>
      </c>
      <c r="N1510" s="26">
        <v>1.0</v>
      </c>
      <c r="O1510" s="30"/>
      <c r="P1510" s="26">
        <v>900.0</v>
      </c>
      <c r="Q1510" s="35">
        <v>85.0</v>
      </c>
      <c r="R1510" s="32">
        <v>45852.0</v>
      </c>
      <c r="S1510" s="32">
        <v>45771.0</v>
      </c>
      <c r="T1510" s="29"/>
      <c r="U1510" s="33"/>
      <c r="V1510" s="1"/>
    </row>
    <row r="1511" ht="24.0" customHeight="1">
      <c r="A1511" s="1"/>
      <c r="B1511" s="24" t="str">
        <f>HYPERLINK("https://www.compass.com/listing/1683-west-7th-street-unit-3a-brooklyn-ny-11223/1409451891902436681/view?agent_id=610d3f3370540700019b0833","1683 West 7th Street, Unit 3A")</f>
        <v>1683 West 7th Street, Unit 3A</v>
      </c>
      <c r="C1511" s="25" t="s">
        <v>22</v>
      </c>
      <c r="D1511" s="26" t="s">
        <v>23</v>
      </c>
      <c r="E1511" s="27" t="str">
        <f>HYPERLINK("https://www.compass.com/building/1683-w-7th-st-brooklyn-ny-11223/293534247816336613/","1683 W 7th St")</f>
        <v>1683 W 7th St</v>
      </c>
      <c r="F1511" s="25" t="s">
        <v>173</v>
      </c>
      <c r="G1511" s="28">
        <v>499000.0</v>
      </c>
      <c r="H1511" s="28">
        <v>833.0</v>
      </c>
      <c r="I1511" s="28">
        <v>905.0</v>
      </c>
      <c r="J1511" s="28">
        <v>6626.0</v>
      </c>
      <c r="K1511" s="25" t="s">
        <v>28</v>
      </c>
      <c r="L1511" s="26">
        <v>4.0</v>
      </c>
      <c r="M1511" s="26">
        <v>2.0</v>
      </c>
      <c r="N1511" s="26">
        <v>1.0</v>
      </c>
      <c r="O1511" s="30"/>
      <c r="P1511" s="26">
        <v>599.0</v>
      </c>
      <c r="Q1511" s="35">
        <v>667.0</v>
      </c>
      <c r="R1511" s="32">
        <v>45840.0</v>
      </c>
      <c r="S1511" s="32">
        <v>45196.0</v>
      </c>
      <c r="T1511" s="29"/>
      <c r="U1511" s="33"/>
      <c r="V1511" s="1"/>
    </row>
    <row r="1512" ht="24.0" customHeight="1">
      <c r="A1512" s="1"/>
      <c r="B1512" s="24" t="str">
        <f>HYPERLINK("https://www.compass.com/listing/144-34-37th-avenue-unit-4c-queens-ny-11354/1805820572592395945/view?agent_id=610d3f3370540700019b0833","144-34 37th Avenue, Unit 4C")</f>
        <v>144-34 37th Avenue, Unit 4C</v>
      </c>
      <c r="C1512" s="25" t="s">
        <v>22</v>
      </c>
      <c r="D1512" s="26" t="s">
        <v>23</v>
      </c>
      <c r="E1512" s="27" t="str">
        <f>HYPERLINK("https://www.compass.com/building/144-34-37th-ave-queens-ny-11354/293417729463950181/","144-34 37th Ave")</f>
        <v>144-34 37th Ave</v>
      </c>
      <c r="F1512" s="25" t="s">
        <v>160</v>
      </c>
      <c r="G1512" s="28">
        <v>480000.0</v>
      </c>
      <c r="H1512" s="28">
        <v>788.0</v>
      </c>
      <c r="I1512" s="28">
        <v>345.0</v>
      </c>
      <c r="J1512" s="28">
        <v>4143.0</v>
      </c>
      <c r="K1512" s="25" t="s">
        <v>28</v>
      </c>
      <c r="L1512" s="26">
        <v>4.0</v>
      </c>
      <c r="M1512" s="26">
        <v>2.0</v>
      </c>
      <c r="N1512" s="26">
        <v>1.0</v>
      </c>
      <c r="O1512" s="30"/>
      <c r="P1512" s="26">
        <v>609.0</v>
      </c>
      <c r="Q1512" s="35">
        <v>119.0</v>
      </c>
      <c r="R1512" s="32">
        <v>45862.0</v>
      </c>
      <c r="S1512" s="32">
        <v>45743.0</v>
      </c>
      <c r="T1512" s="29"/>
      <c r="U1512" s="33"/>
      <c r="V1512" s="1"/>
    </row>
    <row r="1513" ht="24.0" customHeight="1">
      <c r="A1513" s="1"/>
      <c r="B1513" s="24" t="str">
        <f>HYPERLINK("https://www.compass.com/listing/1877-east-12th-street-unit-1g-brooklyn-ny-11229/1713583812280551921/view?agent_id=610d3f3370540700019b0833","1877 East 12th Street, Unit 1G")</f>
        <v>1877 East 12th Street, Unit 1G</v>
      </c>
      <c r="C1513" s="25" t="s">
        <v>22</v>
      </c>
      <c r="D1513" s="26" t="s">
        <v>23</v>
      </c>
      <c r="E1513" s="27" t="str">
        <f>HYPERLINK("https://www.compass.com/building/1877-e-12th-st-brooklyn-ny-11229/293531882816031333/","1877 E 12th St")</f>
        <v>1877 E 12th St</v>
      </c>
      <c r="F1513" s="25" t="s">
        <v>318</v>
      </c>
      <c r="G1513" s="28">
        <v>380000.0</v>
      </c>
      <c r="H1513" s="28">
        <v>330.0</v>
      </c>
      <c r="I1513" s="28">
        <v>1118.0</v>
      </c>
      <c r="J1513" s="29"/>
      <c r="K1513" s="25" t="s">
        <v>25</v>
      </c>
      <c r="L1513" s="26">
        <v>4.0</v>
      </c>
      <c r="M1513" s="26">
        <v>2.0</v>
      </c>
      <c r="N1513" s="26">
        <v>1.0</v>
      </c>
      <c r="O1513" s="30"/>
      <c r="P1513" s="34">
        <v>1150.0</v>
      </c>
      <c r="Q1513" s="35">
        <v>246.0</v>
      </c>
      <c r="R1513" s="32">
        <v>45858.0</v>
      </c>
      <c r="S1513" s="32">
        <v>45617.0</v>
      </c>
      <c r="T1513" s="29"/>
      <c r="U1513" s="33"/>
      <c r="V1513" s="1"/>
    </row>
    <row r="1514" ht="24.0" customHeight="1">
      <c r="A1514" s="1"/>
      <c r="B1514" s="24" t="str">
        <f>HYPERLINK("https://www.compass.com/listing/99-72-66th-road-unit-7aa-queens-ny-11374/1844462931474043601/view?agent_id=610d3f3370540700019b0833","99-72 66th Road, Unit 7AA")</f>
        <v>99-72 66th Road, Unit 7AA</v>
      </c>
      <c r="C1514" s="25" t="s">
        <v>22</v>
      </c>
      <c r="D1514" s="26" t="s">
        <v>23</v>
      </c>
      <c r="E1514" s="27" t="str">
        <f>HYPERLINK("https://www.compass.com/building/99-72-66th-rd-queens-ny-11374/294845722683530805/","99-72 66th Rd")</f>
        <v>99-72 66th Rd</v>
      </c>
      <c r="F1514" s="25" t="s">
        <v>166</v>
      </c>
      <c r="G1514" s="28">
        <v>369000.0</v>
      </c>
      <c r="H1514" s="28">
        <v>369.0</v>
      </c>
      <c r="I1514" s="28">
        <v>1198.0</v>
      </c>
      <c r="J1514" s="29"/>
      <c r="K1514" s="25" t="s">
        <v>25</v>
      </c>
      <c r="L1514" s="26">
        <v>5.0</v>
      </c>
      <c r="M1514" s="26">
        <v>2.0</v>
      </c>
      <c r="N1514" s="26">
        <v>1.0</v>
      </c>
      <c r="O1514" s="30"/>
      <c r="P1514" s="34">
        <v>1000.0</v>
      </c>
      <c r="Q1514" s="35">
        <v>67.0</v>
      </c>
      <c r="R1514" s="32">
        <v>45851.0</v>
      </c>
      <c r="S1514" s="32">
        <v>45796.0</v>
      </c>
      <c r="T1514" s="29"/>
      <c r="U1514" s="33"/>
      <c r="V1514" s="1"/>
    </row>
    <row r="1515" ht="24.0" customHeight="1">
      <c r="A1515" s="1"/>
      <c r="B1515" s="24" t="str">
        <f>HYPERLINK("https://www.compass.com/listing/2285-bragg-street-unit-6b-brooklyn-ny-11229/1798987827450323137/view?agent_id=610d3f3370540700019b0833","2285 Bragg Street, Unit 6B")</f>
        <v>2285 Bragg Street, Unit 6B</v>
      </c>
      <c r="C1515" s="25" t="s">
        <v>22</v>
      </c>
      <c r="D1515" s="26" t="s">
        <v>23</v>
      </c>
      <c r="E1515" s="27" t="str">
        <f>HYPERLINK("https://www.compass.com/building/2285-bragg-st-brooklyn-ny-11229/307456256557956837/","2285 Bragg St")</f>
        <v>2285 Bragg St</v>
      </c>
      <c r="F1515" s="25" t="s">
        <v>70</v>
      </c>
      <c r="G1515" s="28">
        <v>208000.0</v>
      </c>
      <c r="H1515" s="28">
        <v>224.0</v>
      </c>
      <c r="I1515" s="28">
        <v>2092.0</v>
      </c>
      <c r="J1515" s="29"/>
      <c r="K1515" s="25" t="s">
        <v>25</v>
      </c>
      <c r="L1515" s="26">
        <v>4.0</v>
      </c>
      <c r="M1515" s="26">
        <v>2.0</v>
      </c>
      <c r="N1515" s="26">
        <v>1.0</v>
      </c>
      <c r="O1515" s="30"/>
      <c r="P1515" s="26">
        <v>927.0</v>
      </c>
      <c r="Q1515" s="35">
        <v>130.0</v>
      </c>
      <c r="R1515" s="32">
        <v>45857.0</v>
      </c>
      <c r="S1515" s="32">
        <v>45733.0</v>
      </c>
      <c r="T1515" s="29"/>
      <c r="U1515" s="33"/>
      <c r="V1515" s="1"/>
    </row>
    <row r="1516" ht="24.0" customHeight="1">
      <c r="A1516" s="1"/>
      <c r="B1516" s="24" t="str">
        <f>HYPERLINK("https://www.compass.com/listing/98-25-64th-road-unit-5f-queens-ny-11374/1839286859184810121/view?agent_id=610d3f3370540700019b0833","98-25 64th Road, Unit 5F")</f>
        <v>98-25 64th Road, Unit 5F</v>
      </c>
      <c r="C1516" s="25" t="s">
        <v>22</v>
      </c>
      <c r="D1516" s="26" t="s">
        <v>23</v>
      </c>
      <c r="E1516" s="27" t="str">
        <f>HYPERLINK("https://www.compass.com/building/98-25-64th-rd-queens-ny-11374/293417672346026389/","98-25 64th Rd")</f>
        <v>98-25 64th Rd</v>
      </c>
      <c r="F1516" s="25" t="s">
        <v>166</v>
      </c>
      <c r="G1516" s="28">
        <v>429000.0</v>
      </c>
      <c r="H1516" s="28">
        <v>390.0</v>
      </c>
      <c r="I1516" s="28">
        <v>1056.0</v>
      </c>
      <c r="J1516" s="29"/>
      <c r="K1516" s="25" t="s">
        <v>25</v>
      </c>
      <c r="L1516" s="26">
        <v>7.0</v>
      </c>
      <c r="M1516" s="26">
        <v>2.0</v>
      </c>
      <c r="N1516" s="26">
        <v>1.0</v>
      </c>
      <c r="O1516" s="30"/>
      <c r="P1516" s="34">
        <v>1100.0</v>
      </c>
      <c r="Q1516" s="35">
        <v>74.0</v>
      </c>
      <c r="R1516" s="32">
        <v>45838.0</v>
      </c>
      <c r="S1516" s="32">
        <v>45789.0</v>
      </c>
      <c r="T1516" s="29"/>
      <c r="U1516" s="33"/>
      <c r="V1516" s="1"/>
    </row>
    <row r="1517" ht="24.0" customHeight="1">
      <c r="A1517" s="1"/>
      <c r="B1517" s="24" t="str">
        <f>HYPERLINK("https://www.compass.com/listing/2232-brigham-street-unit-4e-brooklyn-ny-11229/1832370417925608913/view?agent_id=610d3f3370540700019b0833","2232 Brigham Street, Unit 4E")</f>
        <v>2232 Brigham Street, Unit 4E</v>
      </c>
      <c r="C1517" s="25" t="s">
        <v>22</v>
      </c>
      <c r="D1517" s="26" t="s">
        <v>23</v>
      </c>
      <c r="E1517" s="27" t="str">
        <f>HYPERLINK("https://www.compass.com/building/2232-brigham-st-brooklyn-ny-11229/307445825147689189/","2232 Brigham St")</f>
        <v>2232 Brigham St</v>
      </c>
      <c r="F1517" s="25" t="s">
        <v>70</v>
      </c>
      <c r="G1517" s="28">
        <v>219000.0</v>
      </c>
      <c r="H1517" s="28">
        <v>219.0</v>
      </c>
      <c r="I1517" s="28">
        <v>1027.0</v>
      </c>
      <c r="J1517" s="29"/>
      <c r="K1517" s="25" t="s">
        <v>25</v>
      </c>
      <c r="L1517" s="26">
        <v>4.0</v>
      </c>
      <c r="M1517" s="26">
        <v>2.0</v>
      </c>
      <c r="N1517" s="26">
        <v>1.0</v>
      </c>
      <c r="O1517" s="30"/>
      <c r="P1517" s="34">
        <v>1000.0</v>
      </c>
      <c r="Q1517" s="35">
        <v>79.0</v>
      </c>
      <c r="R1517" s="32">
        <v>45854.0</v>
      </c>
      <c r="S1517" s="32">
        <v>45783.0</v>
      </c>
      <c r="T1517" s="29"/>
      <c r="U1517" s="33"/>
      <c r="V1517" s="1"/>
    </row>
    <row r="1518" ht="24.0" customHeight="1">
      <c r="A1518" s="1"/>
      <c r="B1518" s="24" t="str">
        <f>HYPERLINK("https://www.compass.com/listing/16-bay-25th-street-unit-2a-brooklyn-ny-11214/1829216555423889217/view?agent_id=610d3f3370540700019b0833","16 Bay 25th Street, Unit 2A")</f>
        <v>16 Bay 25th Street, Unit 2A</v>
      </c>
      <c r="C1518" s="25" t="s">
        <v>22</v>
      </c>
      <c r="D1518" s="26" t="s">
        <v>23</v>
      </c>
      <c r="E1518" s="27" t="str">
        <f t="shared" ref="E1518:E1519" si="11">HYPERLINK("https://www.compass.com/building/16-bay-25th-condominium-brooklyn-ny/293535135691741877/","16 Bay 25th Condominium")</f>
        <v>16 Bay 25th Condominium</v>
      </c>
      <c r="F1518" s="25" t="s">
        <v>214</v>
      </c>
      <c r="G1518" s="28">
        <v>825000.0</v>
      </c>
      <c r="H1518" s="28">
        <v>852.0</v>
      </c>
      <c r="I1518" s="28">
        <v>1195.0</v>
      </c>
      <c r="J1518" s="28">
        <v>9640.0</v>
      </c>
      <c r="K1518" s="25" t="s">
        <v>28</v>
      </c>
      <c r="L1518" s="26">
        <v>5.0</v>
      </c>
      <c r="M1518" s="26">
        <v>2.0</v>
      </c>
      <c r="N1518" s="26">
        <v>1.0</v>
      </c>
      <c r="O1518" s="26">
        <v>0.0</v>
      </c>
      <c r="P1518" s="26">
        <v>968.0</v>
      </c>
      <c r="Q1518" s="35">
        <v>86.0</v>
      </c>
      <c r="R1518" s="32">
        <v>45840.0</v>
      </c>
      <c r="S1518" s="32">
        <v>45777.0</v>
      </c>
      <c r="T1518" s="29"/>
      <c r="U1518" s="33"/>
      <c r="V1518" s="1"/>
    </row>
    <row r="1519" ht="24.0" customHeight="1">
      <c r="A1519" s="1"/>
      <c r="B1519" s="24" t="str">
        <f>HYPERLINK("https://www.compass.com/listing/16-bay-25th-street-unit-2b-brooklyn-ny-11214/1829220598858535457/view?agent_id=610d3f3370540700019b0833","16 Bay 25th Street, Unit 2B")</f>
        <v>16 Bay 25th Street, Unit 2B</v>
      </c>
      <c r="C1519" s="25" t="s">
        <v>22</v>
      </c>
      <c r="D1519" s="26" t="s">
        <v>23</v>
      </c>
      <c r="E1519" s="27" t="str">
        <f t="shared" si="11"/>
        <v>16 Bay 25th Condominium</v>
      </c>
      <c r="F1519" s="25" t="s">
        <v>214</v>
      </c>
      <c r="G1519" s="28">
        <v>825000.0</v>
      </c>
      <c r="H1519" s="28">
        <v>826.0</v>
      </c>
      <c r="I1519" s="28">
        <v>1207.0</v>
      </c>
      <c r="J1519" s="28">
        <v>9640.0</v>
      </c>
      <c r="K1519" s="25" t="s">
        <v>28</v>
      </c>
      <c r="L1519" s="26">
        <v>5.0</v>
      </c>
      <c r="M1519" s="26">
        <v>2.0</v>
      </c>
      <c r="N1519" s="26">
        <v>1.0</v>
      </c>
      <c r="O1519" s="26">
        <v>0.0</v>
      </c>
      <c r="P1519" s="26">
        <v>999.0</v>
      </c>
      <c r="Q1519" s="35">
        <v>86.0</v>
      </c>
      <c r="R1519" s="32">
        <v>45840.0</v>
      </c>
      <c r="S1519" s="32">
        <v>45777.0</v>
      </c>
      <c r="T1519" s="29"/>
      <c r="U1519" s="33"/>
      <c r="V1519" s="1"/>
    </row>
    <row r="1520" ht="24.0" customHeight="1">
      <c r="A1520" s="1"/>
      <c r="B1520" s="24" t="str">
        <f>HYPERLINK("https://www.compass.com/listing/143-40-41st-avenue-unit-2g-queens-ny-11355/1854463285428548737/view?agent_id=610d3f3370540700019b0833","143-40 41st Avenue, Unit 2G")</f>
        <v>143-40 41st Avenue, Unit 2G</v>
      </c>
      <c r="C1520" s="25" t="s">
        <v>22</v>
      </c>
      <c r="D1520" s="26" t="s">
        <v>23</v>
      </c>
      <c r="E1520" s="27" t="str">
        <f>HYPERLINK("https://www.compass.com/building/143-40-41st-ave-queens-ny-11355/293526784144692613/","143-40 41st Ave")</f>
        <v>143-40 41st Ave</v>
      </c>
      <c r="F1520" s="25" t="s">
        <v>221</v>
      </c>
      <c r="G1520" s="28">
        <v>459000.0</v>
      </c>
      <c r="H1520" s="28">
        <v>459.0</v>
      </c>
      <c r="I1520" s="28">
        <v>800.0</v>
      </c>
      <c r="J1520" s="29"/>
      <c r="K1520" s="25" t="s">
        <v>25</v>
      </c>
      <c r="L1520" s="26">
        <v>5.0</v>
      </c>
      <c r="M1520" s="26">
        <v>2.0</v>
      </c>
      <c r="N1520" s="26">
        <v>1.0</v>
      </c>
      <c r="O1520" s="30"/>
      <c r="P1520" s="34">
        <v>1000.0</v>
      </c>
      <c r="Q1520" s="35">
        <v>53.0</v>
      </c>
      <c r="R1520" s="32">
        <v>45862.0</v>
      </c>
      <c r="S1520" s="32">
        <v>45810.0</v>
      </c>
      <c r="T1520" s="29"/>
      <c r="U1520" s="33"/>
      <c r="V1520" s="1"/>
    </row>
    <row r="1521" ht="24.0" customHeight="1">
      <c r="A1521" s="1"/>
      <c r="B1521" s="24" t="str">
        <f>HYPERLINK("https://www.compass.com/listing/144-63-37th-avenue-unit-4b-queens-ny-11354/1683395965495743505/view?agent_id=610d3f3370540700019b0833","144-63 37th Avenue, Unit 4B")</f>
        <v>144-63 37th Avenue, Unit 4B</v>
      </c>
      <c r="C1521" s="25" t="s">
        <v>22</v>
      </c>
      <c r="D1521" s="26" t="s">
        <v>23</v>
      </c>
      <c r="E1521" s="27" t="str">
        <f>HYPERLINK("https://www.compass.com/building/144-63-37th-ave-queens-ny-11354/293531969763988229/","144-63 37th Ave")</f>
        <v>144-63 37th Ave</v>
      </c>
      <c r="F1521" s="25" t="s">
        <v>160</v>
      </c>
      <c r="G1521" s="28">
        <v>578000.0</v>
      </c>
      <c r="H1521" s="29"/>
      <c r="I1521" s="28">
        <v>764.0</v>
      </c>
      <c r="J1521" s="28">
        <v>3655.0</v>
      </c>
      <c r="K1521" s="25" t="s">
        <v>28</v>
      </c>
      <c r="L1521" s="26">
        <v>4.0</v>
      </c>
      <c r="M1521" s="26">
        <v>2.0</v>
      </c>
      <c r="N1521" s="26">
        <v>1.0</v>
      </c>
      <c r="O1521" s="30"/>
      <c r="P1521" s="30"/>
      <c r="Q1521" s="35">
        <v>289.0</v>
      </c>
      <c r="R1521" s="32">
        <v>45799.0</v>
      </c>
      <c r="S1521" s="32">
        <v>45574.0</v>
      </c>
      <c r="T1521" s="29"/>
      <c r="U1521" s="33"/>
      <c r="V1521" s="1"/>
    </row>
    <row r="1522" ht="24.0" customHeight="1">
      <c r="A1522" s="1"/>
      <c r="B1522" s="24" t="str">
        <f>HYPERLINK("https://www.compass.com/listing/144-68-38th-avenue-unit-703-queens-ny-11354/1769724566847385905/view?agent_id=610d3f3370540700019b0833","144-68 38th Avenue, Unit 703")</f>
        <v>144-68 38th Avenue, Unit 703</v>
      </c>
      <c r="C1522" s="25" t="s">
        <v>22</v>
      </c>
      <c r="D1522" s="26" t="s">
        <v>23</v>
      </c>
      <c r="E1522" s="27" t="str">
        <f>HYPERLINK("https://www.compass.com/building/144-68-38th-ave-queens-ny-11354/293529632739690117/","144-68 38th Ave")</f>
        <v>144-68 38th Ave</v>
      </c>
      <c r="F1522" s="25" t="s">
        <v>160</v>
      </c>
      <c r="G1522" s="28">
        <v>638000.0</v>
      </c>
      <c r="H1522" s="28">
        <v>850.0</v>
      </c>
      <c r="I1522" s="28">
        <v>723.0</v>
      </c>
      <c r="J1522" s="28">
        <v>4261.0</v>
      </c>
      <c r="K1522" s="25" t="s">
        <v>28</v>
      </c>
      <c r="L1522" s="26">
        <v>4.0</v>
      </c>
      <c r="M1522" s="26">
        <v>2.0</v>
      </c>
      <c r="N1522" s="26">
        <v>1.0</v>
      </c>
      <c r="O1522" s="30"/>
      <c r="P1522" s="26">
        <v>751.0</v>
      </c>
      <c r="Q1522" s="35">
        <v>170.0</v>
      </c>
      <c r="R1522" s="32">
        <v>45850.0</v>
      </c>
      <c r="S1522" s="32">
        <v>45693.0</v>
      </c>
      <c r="T1522" s="29"/>
      <c r="U1522" s="33"/>
      <c r="V1522" s="1"/>
    </row>
    <row r="1523" ht="24.0" customHeight="1">
      <c r="A1523" s="1"/>
      <c r="B1523" s="24" t="str">
        <f>HYPERLINK("https://www.compass.com/listing/67-25-clyde-street-unit-2n-queens-ny-11375/1819717879960417105/view?agent_id=610d3f3370540700019b0833","67-25 Clyde Street, Unit 2N")</f>
        <v>67-25 Clyde Street, Unit 2N</v>
      </c>
      <c r="C1523" s="25" t="s">
        <v>22</v>
      </c>
      <c r="D1523" s="26" t="s">
        <v>23</v>
      </c>
      <c r="E1523" s="27" t="str">
        <f>HYPERLINK("https://www.compass.com/building/67-25-clyde-st-queens-ny-11375/293533605114745717/","67-25 Clyde St")</f>
        <v>67-25 Clyde St</v>
      </c>
      <c r="F1523" s="25" t="s">
        <v>166</v>
      </c>
      <c r="G1523" s="28">
        <v>399999.0</v>
      </c>
      <c r="H1523" s="28">
        <v>496.0</v>
      </c>
      <c r="I1523" s="28">
        <v>1126.0</v>
      </c>
      <c r="J1523" s="29"/>
      <c r="K1523" s="25" t="s">
        <v>25</v>
      </c>
      <c r="L1523" s="26">
        <v>5.0</v>
      </c>
      <c r="M1523" s="26">
        <v>2.0</v>
      </c>
      <c r="N1523" s="26">
        <v>1.0</v>
      </c>
      <c r="O1523" s="30"/>
      <c r="P1523" s="26">
        <v>806.0</v>
      </c>
      <c r="Q1523" s="35">
        <v>101.0</v>
      </c>
      <c r="R1523" s="32">
        <v>45846.0</v>
      </c>
      <c r="S1523" s="32">
        <v>45762.0</v>
      </c>
      <c r="T1523" s="29"/>
      <c r="U1523" s="33"/>
      <c r="V1523" s="1"/>
    </row>
    <row r="1524" ht="24.0" customHeight="1">
      <c r="A1524" s="1"/>
      <c r="B1524" s="24" t="str">
        <f>HYPERLINK("https://www.compass.com/listing/103-25-68th-avenue-unit-5g-queens-ny-11375/1788701240944254265/view?agent_id=610d3f3370540700019b0833","103-25 68th Avenue, Unit 5G")</f>
        <v>103-25 68th Avenue, Unit 5G</v>
      </c>
      <c r="C1524" s="25" t="s">
        <v>22</v>
      </c>
      <c r="D1524" s="26" t="s">
        <v>23</v>
      </c>
      <c r="E1524" s="27" t="str">
        <f>HYPERLINK("https://www.compass.com/building/the-new-yorker-queens-ny/293532795328918821/","The New Yorker")</f>
        <v>The New Yorker</v>
      </c>
      <c r="F1524" s="25" t="s">
        <v>165</v>
      </c>
      <c r="G1524" s="28">
        <v>449888.0</v>
      </c>
      <c r="H1524" s="28">
        <v>450.0</v>
      </c>
      <c r="I1524" s="28">
        <v>1236.0</v>
      </c>
      <c r="J1524" s="29"/>
      <c r="K1524" s="25" t="s">
        <v>25</v>
      </c>
      <c r="L1524" s="26">
        <v>4.0</v>
      </c>
      <c r="M1524" s="26">
        <v>2.0</v>
      </c>
      <c r="N1524" s="26">
        <v>1.0</v>
      </c>
      <c r="O1524" s="26">
        <v>0.0</v>
      </c>
      <c r="P1524" s="34">
        <v>1000.0</v>
      </c>
      <c r="Q1524" s="35">
        <v>140.0</v>
      </c>
      <c r="R1524" s="32">
        <v>45836.0</v>
      </c>
      <c r="S1524" s="32">
        <v>45723.0</v>
      </c>
      <c r="T1524" s="29"/>
      <c r="U1524" s="33"/>
      <c r="V1524" s="1"/>
    </row>
    <row r="1525" ht="24.0" customHeight="1">
      <c r="A1525" s="1"/>
      <c r="B1525" s="24" t="str">
        <f>HYPERLINK("https://www.compass.com/listing/2461-east-29th-street-unit-4n-brooklyn-ny-11235/1829126840368050465/view?agent_id=610d3f3370540700019b0833","2461 East 29th Street, Unit 4N")</f>
        <v>2461 East 29th Street, Unit 4N</v>
      </c>
      <c r="C1525" s="25" t="s">
        <v>22</v>
      </c>
      <c r="D1525" s="26" t="s">
        <v>23</v>
      </c>
      <c r="E1525" s="27" t="str">
        <f>HYPERLINK("https://www.compass.com/building/2461-e-29th-st-brooklyn-ny-11235/294845675480831701/","2461 E 29th St")</f>
        <v>2461 E 29th St</v>
      </c>
      <c r="F1525" s="25" t="s">
        <v>70</v>
      </c>
      <c r="G1525" s="28">
        <v>269000.0</v>
      </c>
      <c r="H1525" s="28">
        <v>299.0</v>
      </c>
      <c r="I1525" s="28">
        <v>1007.0</v>
      </c>
      <c r="J1525" s="29"/>
      <c r="K1525" s="25" t="s">
        <v>25</v>
      </c>
      <c r="L1525" s="26">
        <v>4.0</v>
      </c>
      <c r="M1525" s="26">
        <v>2.0</v>
      </c>
      <c r="N1525" s="26">
        <v>1.0</v>
      </c>
      <c r="O1525" s="30"/>
      <c r="P1525" s="26">
        <v>900.0</v>
      </c>
      <c r="Q1525" s="35">
        <v>88.0</v>
      </c>
      <c r="R1525" s="32">
        <v>45845.0</v>
      </c>
      <c r="S1525" s="32">
        <v>45775.0</v>
      </c>
      <c r="T1525" s="29"/>
      <c r="U1525" s="33"/>
      <c r="V1525" s="1"/>
    </row>
    <row r="1526" ht="24.0" customHeight="1">
      <c r="A1526" s="1"/>
      <c r="B1526" s="24" t="str">
        <f>HYPERLINK("https://www.compass.com/listing/307-beach-66th-street-queens-ny-11692/1638522032005451641/view?agent_id=610d3f3370540700019b0833","307 Beach 66th Street")</f>
        <v>307 Beach 66th Street</v>
      </c>
      <c r="C1526" s="25" t="s">
        <v>22</v>
      </c>
      <c r="D1526" s="26" t="s">
        <v>23</v>
      </c>
      <c r="E1526" s="27" t="str">
        <f>HYPERLINK("https://www.compass.com/building/307-beach-66th-st-queens-ny-11692/293418281560267157/","307 Beach 66th St")</f>
        <v>307 Beach 66th St</v>
      </c>
      <c r="F1526" s="25" t="s">
        <v>306</v>
      </c>
      <c r="G1526" s="28">
        <v>749999.0</v>
      </c>
      <c r="H1526" s="28">
        <v>237.0</v>
      </c>
      <c r="I1526" s="28">
        <v>409.0</v>
      </c>
      <c r="J1526" s="28">
        <v>4913.0</v>
      </c>
      <c r="K1526" s="25" t="s">
        <v>149</v>
      </c>
      <c r="L1526" s="26">
        <v>9.0</v>
      </c>
      <c r="M1526" s="26">
        <v>2.0</v>
      </c>
      <c r="N1526" s="26">
        <v>1.0</v>
      </c>
      <c r="O1526" s="30"/>
      <c r="P1526" s="34">
        <v>3171.0</v>
      </c>
      <c r="Q1526" s="35">
        <v>350.0</v>
      </c>
      <c r="R1526" s="32">
        <v>45630.0</v>
      </c>
      <c r="S1526" s="32">
        <v>45512.0</v>
      </c>
      <c r="T1526" s="29"/>
      <c r="U1526" s="33"/>
      <c r="V1526" s="1"/>
    </row>
    <row r="1527" ht="24.0" customHeight="1">
      <c r="A1527" s="1"/>
      <c r="B1527" s="24" t="str">
        <f>HYPERLINK("https://www.compass.com/listing/40-brighton-1st-road-unit-12h-brooklyn-ny-11235/1360531459106967433/view?agent_id=610d3f3370540700019b0833","40 Brighton 1st Road, Unit 12H")</f>
        <v>40 Brighton 1st Road, Unit 12H</v>
      </c>
      <c r="C1527" s="25" t="s">
        <v>22</v>
      </c>
      <c r="D1527" s="26" t="s">
        <v>23</v>
      </c>
      <c r="E1527" s="27" t="str">
        <f>HYPERLINK("https://www.compass.com/building/brighton-towers-brooklyn-ny/294837595162623125/","Brighton Towers")</f>
        <v>Brighton Towers</v>
      </c>
      <c r="F1527" s="25" t="s">
        <v>74</v>
      </c>
      <c r="G1527" s="28">
        <v>499000.0</v>
      </c>
      <c r="H1527" s="28">
        <v>454.0</v>
      </c>
      <c r="I1527" s="28">
        <v>1241.0</v>
      </c>
      <c r="J1527" s="29"/>
      <c r="K1527" s="25" t="s">
        <v>25</v>
      </c>
      <c r="L1527" s="26">
        <v>3.0</v>
      </c>
      <c r="M1527" s="26">
        <v>2.0</v>
      </c>
      <c r="N1527" s="26">
        <v>1.0</v>
      </c>
      <c r="O1527" s="26">
        <v>0.0</v>
      </c>
      <c r="P1527" s="34">
        <v>1100.0</v>
      </c>
      <c r="Q1527" s="35">
        <v>52.0</v>
      </c>
      <c r="R1527" s="32">
        <v>45833.0</v>
      </c>
      <c r="S1527" s="32">
        <v>45811.0</v>
      </c>
      <c r="T1527" s="29"/>
      <c r="U1527" s="33"/>
      <c r="V1527" s="1"/>
    </row>
    <row r="1528" ht="24.0" customHeight="1">
      <c r="A1528" s="1"/>
      <c r="B1528" s="24" t="str">
        <f>HYPERLINK("https://www.compass.com/listing/59-30-108th-street-unit-6d-queens-ny-11368/1812266064353047617/view?agent_id=610d3f3370540700019b0833","59-30 108th Street, Unit 6D")</f>
        <v>59-30 108th Street, Unit 6D</v>
      </c>
      <c r="C1528" s="25" t="s">
        <v>22</v>
      </c>
      <c r="D1528" s="26" t="s">
        <v>23</v>
      </c>
      <c r="E1528" s="27" t="str">
        <f>HYPERLINK("https://www.compass.com/building/59-30-108th-st-queens-ny-11368/293531482679528613/","59-30 108th St")</f>
        <v>59-30 108th St</v>
      </c>
      <c r="F1528" s="25" t="s">
        <v>153</v>
      </c>
      <c r="G1528" s="28">
        <v>398888.0</v>
      </c>
      <c r="H1528" s="28">
        <v>456.0</v>
      </c>
      <c r="I1528" s="28">
        <v>821.0</v>
      </c>
      <c r="J1528" s="29"/>
      <c r="K1528" s="25" t="s">
        <v>25</v>
      </c>
      <c r="L1528" s="26">
        <v>6.0</v>
      </c>
      <c r="M1528" s="26">
        <v>2.0</v>
      </c>
      <c r="N1528" s="26">
        <v>1.0</v>
      </c>
      <c r="O1528" s="30"/>
      <c r="P1528" s="26">
        <v>875.0</v>
      </c>
      <c r="Q1528" s="35">
        <v>46.0</v>
      </c>
      <c r="R1528" s="32">
        <v>45861.0</v>
      </c>
      <c r="S1528" s="32">
        <v>45756.0</v>
      </c>
      <c r="T1528" s="29"/>
      <c r="U1528" s="33"/>
      <c r="V1528" s="1"/>
    </row>
    <row r="1529" ht="24.0" customHeight="1">
      <c r="A1529" s="1"/>
      <c r="B1529" s="24" t="str">
        <f>HYPERLINK("https://www.compass.com/listing/74-27-220th-street-unit-121a1-queens-ny-11364/1800147062813995385/view?agent_id=610d3f3370540700019b0833","74-27 220th Street, Unit 121A1")</f>
        <v>74-27 220th Street, Unit 121A1</v>
      </c>
      <c r="C1529" s="25" t="s">
        <v>22</v>
      </c>
      <c r="D1529" s="26" t="s">
        <v>23</v>
      </c>
      <c r="E1529" s="27" t="str">
        <f>HYPERLINK("https://www.compass.com/building/74-27-220th-st-queens-ny-11364/307432481984630965/","74-27 220th St")</f>
        <v>74-27 220th St</v>
      </c>
      <c r="F1529" s="25" t="s">
        <v>37</v>
      </c>
      <c r="G1529" s="28">
        <v>349900.0</v>
      </c>
      <c r="H1529" s="28">
        <v>596.0</v>
      </c>
      <c r="I1529" s="28">
        <v>1216.0</v>
      </c>
      <c r="J1529" s="29"/>
      <c r="K1529" s="25" t="s">
        <v>25</v>
      </c>
      <c r="L1529" s="26">
        <v>3.0</v>
      </c>
      <c r="M1529" s="26">
        <v>2.0</v>
      </c>
      <c r="N1529" s="26">
        <v>1.0</v>
      </c>
      <c r="O1529" s="30"/>
      <c r="P1529" s="26">
        <v>587.0</v>
      </c>
      <c r="Q1529" s="35">
        <v>128.0</v>
      </c>
      <c r="R1529" s="32">
        <v>45758.0</v>
      </c>
      <c r="S1529" s="32">
        <v>45735.0</v>
      </c>
      <c r="T1529" s="29"/>
      <c r="U1529" s="33"/>
      <c r="V1529" s="1"/>
    </row>
    <row r="1530" ht="24.0" customHeight="1">
      <c r="A1530" s="1"/>
      <c r="B1530" s="24" t="str">
        <f>HYPERLINK("https://www.compass.com/listing/72-35-metropolitan-avenue-unit-bd-queens-ny-11379/1819196200632192273/view?agent_id=610d3f3370540700019b0833","72-35 Metropolitan Avenue, Unit BD")</f>
        <v>72-35 Metropolitan Avenue, Unit BD</v>
      </c>
      <c r="C1530" s="25" t="s">
        <v>22</v>
      </c>
      <c r="D1530" s="26" t="s">
        <v>23</v>
      </c>
      <c r="E1530" s="27" t="str">
        <f>HYPERLINK("https://www.compass.com/building/72-35-metropolitan-ave-queens-ny-11379/293531853061629221/","72-35 Metropolitan Ave")</f>
        <v>72-35 Metropolitan Ave</v>
      </c>
      <c r="F1530" s="25" t="s">
        <v>269</v>
      </c>
      <c r="G1530" s="28">
        <v>495000.0</v>
      </c>
      <c r="H1530" s="28">
        <v>693.0</v>
      </c>
      <c r="I1530" s="28">
        <v>879.0</v>
      </c>
      <c r="J1530" s="28">
        <v>5408.0</v>
      </c>
      <c r="K1530" s="25" t="s">
        <v>28</v>
      </c>
      <c r="L1530" s="26">
        <v>4.0</v>
      </c>
      <c r="M1530" s="26">
        <v>2.0</v>
      </c>
      <c r="N1530" s="26">
        <v>1.0</v>
      </c>
      <c r="O1530" s="30"/>
      <c r="P1530" s="26">
        <v>714.0</v>
      </c>
      <c r="Q1530" s="35">
        <v>99.0</v>
      </c>
      <c r="R1530" s="32">
        <v>45862.0</v>
      </c>
      <c r="S1530" s="32">
        <v>45764.0</v>
      </c>
      <c r="T1530" s="29"/>
      <c r="U1530" s="33"/>
      <c r="V1530" s="1"/>
    </row>
    <row r="1531" ht="24.0" customHeight="1">
      <c r="A1531" s="1"/>
      <c r="B1531" s="24" t="str">
        <f>HYPERLINK("https://www.compass.com/listing/928-57th-street-unit-4f-brooklyn-ny-11219/1717535555796163121/view?agent_id=610d3f3370540700019b0833","928 57th Street, Unit 4F")</f>
        <v>928 57th Street, Unit 4F</v>
      </c>
      <c r="C1531" s="25" t="s">
        <v>22</v>
      </c>
      <c r="D1531" s="26" t="s">
        <v>23</v>
      </c>
      <c r="E1531" s="27" t="str">
        <f>HYPERLINK("https://www.compass.com/building/928-57th-st-brooklyn-ny-11219/293533861344753205/","928 57th St")</f>
        <v>928 57th St</v>
      </c>
      <c r="F1531" s="25" t="s">
        <v>319</v>
      </c>
      <c r="G1531" s="28">
        <v>699000.0</v>
      </c>
      <c r="H1531" s="28">
        <v>1122.0</v>
      </c>
      <c r="I1531" s="28">
        <v>719.0</v>
      </c>
      <c r="J1531" s="28">
        <v>2935.0</v>
      </c>
      <c r="K1531" s="25" t="s">
        <v>28</v>
      </c>
      <c r="L1531" s="26">
        <v>4.0</v>
      </c>
      <c r="M1531" s="26">
        <v>2.0</v>
      </c>
      <c r="N1531" s="26">
        <v>1.0</v>
      </c>
      <c r="O1531" s="30"/>
      <c r="P1531" s="26">
        <v>623.0</v>
      </c>
      <c r="Q1531" s="35">
        <v>241.0</v>
      </c>
      <c r="R1531" s="32">
        <v>45862.0</v>
      </c>
      <c r="S1531" s="32">
        <v>45621.0</v>
      </c>
      <c r="T1531" s="29"/>
      <c r="U1531" s="33"/>
      <c r="V1531" s="1"/>
    </row>
    <row r="1532" ht="24.0" customHeight="1">
      <c r="A1532" s="1"/>
      <c r="B1532" s="24" t="str">
        <f>HYPERLINK("https://www.compass.com/listing/168-150-goethals-avenue-unit-44c-queens-ny-11432/1505572912344342985/view?agent_id=610d3f3370540700019b0833","168-150 Goethals Avenue, Unit 44C")</f>
        <v>168-150 Goethals Avenue, Unit 44C</v>
      </c>
      <c r="C1532" s="25" t="s">
        <v>22</v>
      </c>
      <c r="D1532" s="26" t="s">
        <v>23</v>
      </c>
      <c r="E1532" s="26" t="s">
        <v>320</v>
      </c>
      <c r="F1532" s="25" t="s">
        <v>321</v>
      </c>
      <c r="G1532" s="28">
        <v>315000.0</v>
      </c>
      <c r="H1532" s="28">
        <v>300.0</v>
      </c>
      <c r="I1532" s="28">
        <v>1381.0</v>
      </c>
      <c r="J1532" s="28">
        <v>0.0</v>
      </c>
      <c r="K1532" s="25" t="s">
        <v>25</v>
      </c>
      <c r="L1532" s="26">
        <v>6.0</v>
      </c>
      <c r="M1532" s="26">
        <v>2.0</v>
      </c>
      <c r="N1532" s="26">
        <v>1.0</v>
      </c>
      <c r="O1532" s="30"/>
      <c r="P1532" s="34">
        <v>1050.0</v>
      </c>
      <c r="Q1532" s="35">
        <v>535.0</v>
      </c>
      <c r="R1532" s="32">
        <v>45329.0</v>
      </c>
      <c r="S1532" s="32">
        <v>45328.0</v>
      </c>
      <c r="T1532" s="29"/>
      <c r="U1532" s="33"/>
      <c r="V1532" s="1"/>
    </row>
    <row r="1533" ht="24.0" customHeight="1">
      <c r="A1533" s="1"/>
      <c r="B1533" s="24" t="str">
        <f>HYPERLINK("https://www.compass.com/listing/35-31-205th-street-unit-302-queens-ny-11361/1810267817694362321/view?agent_id=610d3f3370540700019b0833","35-31 205th Street, Unit 302")</f>
        <v>35-31 205th Street, Unit 302</v>
      </c>
      <c r="C1533" s="25" t="s">
        <v>22</v>
      </c>
      <c r="D1533" s="26" t="s">
        <v>23</v>
      </c>
      <c r="E1533" s="27" t="str">
        <f>HYPERLINK("https://www.compass.com/building/35-31-205th-st-queens-ny-11361/307433285076342853/","35-31 205th St")</f>
        <v>35-31 205th St</v>
      </c>
      <c r="F1533" s="25" t="s">
        <v>175</v>
      </c>
      <c r="G1533" s="28">
        <v>319000.0</v>
      </c>
      <c r="H1533" s="28">
        <v>365.0</v>
      </c>
      <c r="I1533" s="28">
        <v>1174.0</v>
      </c>
      <c r="J1533" s="29"/>
      <c r="K1533" s="25" t="s">
        <v>25</v>
      </c>
      <c r="L1533" s="26">
        <v>5.0</v>
      </c>
      <c r="M1533" s="26">
        <v>2.0</v>
      </c>
      <c r="N1533" s="26">
        <v>1.0</v>
      </c>
      <c r="O1533" s="30"/>
      <c r="P1533" s="26">
        <v>875.0</v>
      </c>
      <c r="Q1533" s="35">
        <v>114.0</v>
      </c>
      <c r="R1533" s="32">
        <v>45863.0</v>
      </c>
      <c r="S1533" s="32">
        <v>45749.0</v>
      </c>
      <c r="T1533" s="29"/>
      <c r="U1533" s="33"/>
      <c r="V1533" s="1"/>
    </row>
    <row r="1534" ht="24.0" customHeight="1">
      <c r="A1534" s="1"/>
      <c r="B1534" s="24" t="str">
        <f>HYPERLINK("https://www.compass.com/listing/2250-brigham-street-unit-1d-brooklyn-ny-11229/1618283751269423233/view?agent_id=610d3f3370540700019b0833","2250 Brigham Street, Unit 1D")</f>
        <v>2250 Brigham Street, Unit 1D</v>
      </c>
      <c r="C1534" s="25" t="s">
        <v>22</v>
      </c>
      <c r="D1534" s="26" t="s">
        <v>23</v>
      </c>
      <c r="E1534" s="27" t="str">
        <f>HYPERLINK("https://www.compass.com/building/2250-brigham-st-brooklyn-ny-11229/307453849262380965/","2250 Brigham St")</f>
        <v>2250 Brigham St</v>
      </c>
      <c r="F1534" s="25" t="s">
        <v>70</v>
      </c>
      <c r="G1534" s="28">
        <v>189000.0</v>
      </c>
      <c r="H1534" s="28">
        <v>199.0</v>
      </c>
      <c r="I1534" s="28">
        <v>1200.0</v>
      </c>
      <c r="J1534" s="29"/>
      <c r="K1534" s="25" t="s">
        <v>25</v>
      </c>
      <c r="L1534" s="26">
        <v>5.0</v>
      </c>
      <c r="M1534" s="26">
        <v>2.0</v>
      </c>
      <c r="N1534" s="26">
        <v>1.0</v>
      </c>
      <c r="O1534" s="30"/>
      <c r="P1534" s="26">
        <v>950.0</v>
      </c>
      <c r="Q1534" s="35">
        <v>379.0</v>
      </c>
      <c r="R1534" s="32">
        <v>45839.0</v>
      </c>
      <c r="S1534" s="32">
        <v>45484.0</v>
      </c>
      <c r="T1534" s="29"/>
      <c r="U1534" s="33"/>
      <c r="V1534" s="1"/>
    </row>
    <row r="1535" ht="24.0" customHeight="1">
      <c r="A1535" s="1"/>
      <c r="B1535" s="24" t="str">
        <f>HYPERLINK("https://www.compass.com/listing/38-25-parsons-boulevard-unit-1j-queens-ny-11354/1652963368689865769/view?agent_id=610d3f3370540700019b0833","38-25 Parsons Boulevard, Unit 1J")</f>
        <v>38-25 Parsons Boulevard, Unit 1J</v>
      </c>
      <c r="C1535" s="25" t="s">
        <v>22</v>
      </c>
      <c r="D1535" s="26" t="s">
        <v>23</v>
      </c>
      <c r="E1535" s="27" t="str">
        <f>HYPERLINK("https://www.compass.com/building/38-25-parsons-blvd-queens-ny-11354/293534123329345221/","38-25 Parsons Blvd")</f>
        <v>38-25 Parsons Blvd</v>
      </c>
      <c r="F1535" s="25" t="s">
        <v>160</v>
      </c>
      <c r="G1535" s="28">
        <v>438000.0</v>
      </c>
      <c r="H1535" s="29"/>
      <c r="I1535" s="28">
        <v>68.0</v>
      </c>
      <c r="J1535" s="28">
        <v>814.0</v>
      </c>
      <c r="K1535" s="25" t="s">
        <v>25</v>
      </c>
      <c r="L1535" s="26">
        <v>4.0</v>
      </c>
      <c r="M1535" s="26">
        <v>2.0</v>
      </c>
      <c r="N1535" s="26">
        <v>1.0</v>
      </c>
      <c r="O1535" s="30"/>
      <c r="P1535" s="30"/>
      <c r="Q1535" s="35">
        <v>234.0</v>
      </c>
      <c r="R1535" s="32">
        <v>45628.0</v>
      </c>
      <c r="S1535" s="32">
        <v>45532.0</v>
      </c>
      <c r="T1535" s="29"/>
      <c r="U1535" s="33"/>
      <c r="V1535" s="1"/>
    </row>
    <row r="1536" ht="24.0" customHeight="1">
      <c r="A1536" s="1"/>
      <c r="B1536" s="24" t="str">
        <f>HYPERLINK("https://www.compass.com/listing/601-surf-avenue-unit-18e-brooklyn-ny-11224/1773493236359369201/view?agent_id=610d3f3370540700019b0833","601 Surf Avenue, Unit 18E")</f>
        <v>601 Surf Avenue, Unit 18E</v>
      </c>
      <c r="C1536" s="25" t="s">
        <v>22</v>
      </c>
      <c r="D1536" s="26" t="s">
        <v>23</v>
      </c>
      <c r="E1536" s="27" t="str">
        <f>HYPERLINK("https://www.compass.com/building/601-surf-ave-brooklyn-ny-11224/293526639835407061/","601 Surf Ave")</f>
        <v>601 Surf Ave</v>
      </c>
      <c r="F1536" s="25" t="s">
        <v>183</v>
      </c>
      <c r="G1536" s="28">
        <v>789999.0</v>
      </c>
      <c r="H1536" s="28">
        <v>858.0</v>
      </c>
      <c r="I1536" s="28">
        <v>948.0</v>
      </c>
      <c r="J1536" s="28">
        <v>196.0</v>
      </c>
      <c r="K1536" s="25" t="s">
        <v>28</v>
      </c>
      <c r="L1536" s="26">
        <v>4.0</v>
      </c>
      <c r="M1536" s="26">
        <v>2.0</v>
      </c>
      <c r="N1536" s="26">
        <v>1.0</v>
      </c>
      <c r="O1536" s="30"/>
      <c r="P1536" s="26">
        <v>921.0</v>
      </c>
      <c r="Q1536" s="35">
        <v>165.0</v>
      </c>
      <c r="R1536" s="32">
        <v>45700.0</v>
      </c>
      <c r="S1536" s="32">
        <v>45698.0</v>
      </c>
      <c r="T1536" s="29"/>
      <c r="U1536" s="33"/>
      <c r="V1536" s="1"/>
    </row>
    <row r="1537" ht="24.0" customHeight="1">
      <c r="A1537" s="1"/>
      <c r="B1537" s="24" t="str">
        <f>HYPERLINK("https://www.compass.com/listing/3045-ocean-parkway-unit-3g-brooklyn-ny-11235/1859540196605171289/view?agent_id=610d3f3370540700019b0833","3045 Ocean Parkway, Unit 3G")</f>
        <v>3045 Ocean Parkway, Unit 3G</v>
      </c>
      <c r="C1537" s="25" t="s">
        <v>22</v>
      </c>
      <c r="D1537" s="26" t="s">
        <v>23</v>
      </c>
      <c r="E1537" s="27" t="str">
        <f>HYPERLINK("https://www.compass.com/building/3045-ocean-pkwy-brooklyn-ny-11235/293530625908951653/","3045 Ocean Pkwy")</f>
        <v>3045 Ocean Pkwy</v>
      </c>
      <c r="F1537" s="25" t="s">
        <v>74</v>
      </c>
      <c r="G1537" s="28">
        <v>379000.0</v>
      </c>
      <c r="H1537" s="28">
        <v>379.0</v>
      </c>
      <c r="I1537" s="28">
        <v>856.0</v>
      </c>
      <c r="J1537" s="29"/>
      <c r="K1537" s="25" t="s">
        <v>25</v>
      </c>
      <c r="L1537" s="26">
        <v>4.0</v>
      </c>
      <c r="M1537" s="26">
        <v>2.0</v>
      </c>
      <c r="N1537" s="26">
        <v>1.0</v>
      </c>
      <c r="O1537" s="30"/>
      <c r="P1537" s="34">
        <v>1000.0</v>
      </c>
      <c r="Q1537" s="35">
        <v>46.0</v>
      </c>
      <c r="R1537" s="32">
        <v>45817.0</v>
      </c>
      <c r="S1537" s="32">
        <v>45817.0</v>
      </c>
      <c r="T1537" s="29"/>
      <c r="U1537" s="33"/>
      <c r="V1537" s="1"/>
    </row>
    <row r="1538" ht="24.0" customHeight="1">
      <c r="A1538" s="1"/>
      <c r="B1538" s="24" t="str">
        <f>HYPERLINK("https://www.compass.com/listing/143-51-barclay-avenue-unit-a8-queens-ny-11355/1808852502196461865/view?agent_id=610d3f3370540700019b0833","143-51 Barclay Avenue, Unit A8")</f>
        <v>143-51 Barclay Avenue, Unit A8</v>
      </c>
      <c r="C1538" s="25" t="s">
        <v>22</v>
      </c>
      <c r="D1538" s="26" t="s">
        <v>23</v>
      </c>
      <c r="E1538" s="27" t="str">
        <f>HYPERLINK("https://www.compass.com/building/143-51-barclay-ave-queens-ny-11355/307453674728999781/","143-51 Barclay Ave")</f>
        <v>143-51 Barclay Ave</v>
      </c>
      <c r="F1538" s="25" t="s">
        <v>221</v>
      </c>
      <c r="G1538" s="28">
        <v>490000.0</v>
      </c>
      <c r="H1538" s="28">
        <v>556.0</v>
      </c>
      <c r="I1538" s="28">
        <v>522.0</v>
      </c>
      <c r="J1538" s="28">
        <v>3983.0</v>
      </c>
      <c r="K1538" s="25" t="s">
        <v>28</v>
      </c>
      <c r="L1538" s="26">
        <v>4.0</v>
      </c>
      <c r="M1538" s="26">
        <v>2.0</v>
      </c>
      <c r="N1538" s="26">
        <v>1.0</v>
      </c>
      <c r="O1538" s="30"/>
      <c r="P1538" s="26">
        <v>881.0</v>
      </c>
      <c r="Q1538" s="35">
        <v>116.0</v>
      </c>
      <c r="R1538" s="32">
        <v>45758.0</v>
      </c>
      <c r="S1538" s="32">
        <v>45747.0</v>
      </c>
      <c r="T1538" s="29"/>
      <c r="U1538" s="33"/>
      <c r="V1538" s="1"/>
    </row>
    <row r="1539" ht="24.0" customHeight="1">
      <c r="A1539" s="1"/>
      <c r="B1539" s="24" t="str">
        <f>HYPERLINK("https://www.compass.com/listing/1807-66th-street-unit-5c-brooklyn-ny-11204/1723451913361494465/view?agent_id=610d3f3370540700019b0833","1807 66th Street, Unit 5C")</f>
        <v>1807 66th Street, Unit 5C</v>
      </c>
      <c r="C1539" s="25" t="s">
        <v>22</v>
      </c>
      <c r="D1539" s="26" t="s">
        <v>23</v>
      </c>
      <c r="E1539" s="26" t="s">
        <v>322</v>
      </c>
      <c r="F1539" s="25" t="s">
        <v>236</v>
      </c>
      <c r="G1539" s="28">
        <v>993000.0</v>
      </c>
      <c r="H1539" s="28">
        <v>1201.0</v>
      </c>
      <c r="I1539" s="28">
        <v>1317.0</v>
      </c>
      <c r="J1539" s="28">
        <v>10080.0</v>
      </c>
      <c r="K1539" s="25" t="s">
        <v>28</v>
      </c>
      <c r="L1539" s="26">
        <v>4.0</v>
      </c>
      <c r="M1539" s="26">
        <v>2.0</v>
      </c>
      <c r="N1539" s="26">
        <v>1.0</v>
      </c>
      <c r="O1539" s="26">
        <v>0.0</v>
      </c>
      <c r="P1539" s="26">
        <v>827.0</v>
      </c>
      <c r="Q1539" s="35">
        <v>234.0</v>
      </c>
      <c r="R1539" s="32">
        <v>45853.0</v>
      </c>
      <c r="S1539" s="32">
        <v>45629.0</v>
      </c>
      <c r="T1539" s="29"/>
      <c r="U1539" s="33"/>
      <c r="V1539" s="1"/>
    </row>
    <row r="1540" ht="24.0" customHeight="1">
      <c r="A1540" s="1"/>
      <c r="B1540" s="24" t="str">
        <f>HYPERLINK("https://www.compass.com/listing/35-91-161-street-unit-6j-queens-ny-11358/1809656934831868329/view?agent_id=610d3f3370540700019b0833","35-91 161 Street, Unit 6J")</f>
        <v>35-91 161 Street, Unit 6J</v>
      </c>
      <c r="C1540" s="25" t="s">
        <v>22</v>
      </c>
      <c r="D1540" s="26" t="s">
        <v>23</v>
      </c>
      <c r="E1540" s="26" t="s">
        <v>300</v>
      </c>
      <c r="F1540" s="25" t="s">
        <v>160</v>
      </c>
      <c r="G1540" s="28">
        <v>650000.0</v>
      </c>
      <c r="H1540" s="28">
        <v>619.0</v>
      </c>
      <c r="I1540" s="28">
        <v>926.0</v>
      </c>
      <c r="J1540" s="28">
        <v>5754.0</v>
      </c>
      <c r="K1540" s="25" t="s">
        <v>28</v>
      </c>
      <c r="L1540" s="26">
        <v>5.0</v>
      </c>
      <c r="M1540" s="26">
        <v>2.0</v>
      </c>
      <c r="N1540" s="26">
        <v>1.0</v>
      </c>
      <c r="O1540" s="30"/>
      <c r="P1540" s="34">
        <v>1050.0</v>
      </c>
      <c r="Q1540" s="35">
        <v>115.0</v>
      </c>
      <c r="R1540" s="32">
        <v>45792.0</v>
      </c>
      <c r="S1540" s="32">
        <v>45748.0</v>
      </c>
      <c r="T1540" s="29"/>
      <c r="U1540" s="33"/>
      <c r="V1540" s="1"/>
    </row>
    <row r="1541" ht="24.0" customHeight="1">
      <c r="A1541" s="1"/>
      <c r="B1541" s="24" t="str">
        <f>HYPERLINK("https://www.compass.com/listing/1610-avenue-p-unit-4t-brooklyn-ny-11229/1815707307561599801/view?agent_id=610d3f3370540700019b0833","1610 Avenue P, Unit 4T")</f>
        <v>1610 Avenue P, Unit 4T</v>
      </c>
      <c r="C1541" s="25" t="s">
        <v>22</v>
      </c>
      <c r="D1541" s="26" t="s">
        <v>23</v>
      </c>
      <c r="E1541" s="27" t="str">
        <f>HYPERLINK("https://www.compass.com/building/1610-avenue-p-brooklyn-ny-11229/389270280984605205/","1610 Avenue P")</f>
        <v>1610 Avenue P</v>
      </c>
      <c r="F1541" s="25" t="s">
        <v>34</v>
      </c>
      <c r="G1541" s="28">
        <v>478000.0</v>
      </c>
      <c r="H1541" s="28">
        <v>382.0</v>
      </c>
      <c r="I1541" s="28">
        <v>791.0</v>
      </c>
      <c r="J1541" s="29"/>
      <c r="K1541" s="25" t="s">
        <v>25</v>
      </c>
      <c r="L1541" s="26">
        <v>4.0</v>
      </c>
      <c r="M1541" s="26">
        <v>2.0</v>
      </c>
      <c r="N1541" s="26">
        <v>1.0</v>
      </c>
      <c r="O1541" s="30"/>
      <c r="P1541" s="34">
        <v>1250.0</v>
      </c>
      <c r="Q1541" s="35">
        <v>105.0</v>
      </c>
      <c r="R1541" s="32">
        <v>45862.0</v>
      </c>
      <c r="S1541" s="32">
        <v>45757.0</v>
      </c>
      <c r="T1541" s="29"/>
      <c r="U1541" s="33"/>
      <c r="V1541" s="1"/>
    </row>
    <row r="1542" ht="24.0" customHeight="1">
      <c r="A1542" s="1"/>
      <c r="B1542" s="24" t="str">
        <f>HYPERLINK("https://www.compass.com/listing/1213-avenue-z-unit-b19-brooklyn-ny-11235/1808612564632058425/view?agent_id=610d3f3370540700019b0833","1213 Avenue Z, Unit B19")</f>
        <v>1213 Avenue Z, Unit B19</v>
      </c>
      <c r="C1542" s="25" t="s">
        <v>22</v>
      </c>
      <c r="D1542" s="26" t="s">
        <v>23</v>
      </c>
      <c r="E1542" s="27" t="str">
        <f>HYPERLINK("https://www.compass.com/building/1213-avenue-z-brooklyn-ny-11235/389270714105351685/","1213 Avenue Z")</f>
        <v>1213 Avenue Z</v>
      </c>
      <c r="F1542" s="25" t="s">
        <v>70</v>
      </c>
      <c r="G1542" s="28">
        <v>498000.0</v>
      </c>
      <c r="H1542" s="28">
        <v>453.0</v>
      </c>
      <c r="I1542" s="28">
        <v>1009.0</v>
      </c>
      <c r="J1542" s="29"/>
      <c r="K1542" s="25" t="s">
        <v>25</v>
      </c>
      <c r="L1542" s="26">
        <v>4.0</v>
      </c>
      <c r="M1542" s="26">
        <v>2.0</v>
      </c>
      <c r="N1542" s="26">
        <v>1.0</v>
      </c>
      <c r="O1542" s="30"/>
      <c r="P1542" s="34">
        <v>1100.0</v>
      </c>
      <c r="Q1542" s="35">
        <v>114.0</v>
      </c>
      <c r="R1542" s="32">
        <v>45861.0</v>
      </c>
      <c r="S1542" s="32">
        <v>45748.0</v>
      </c>
      <c r="T1542" s="29"/>
      <c r="U1542" s="33"/>
      <c r="V1542" s="1"/>
    </row>
    <row r="1543" ht="24.0" customHeight="1">
      <c r="A1543" s="1"/>
      <c r="B1543" s="24" t="str">
        <f>HYPERLINK("https://www.compass.com/listing/83-75-118th-street-unit-3j-queens-ny-11415/1766410540075834505/view?agent_id=610d3f3370540700019b0833","83-75 118th Street, Unit 3J")</f>
        <v>83-75 118th Street, Unit 3J</v>
      </c>
      <c r="C1543" s="25" t="s">
        <v>22</v>
      </c>
      <c r="D1543" s="26" t="s">
        <v>23</v>
      </c>
      <c r="E1543" s="27" t="str">
        <f>HYPERLINK("https://www.compass.com/building/83-75-118th-st-queens-ny-11415/307438588287089653/","83-75 118th St")</f>
        <v>83-75 118th St</v>
      </c>
      <c r="F1543" s="25" t="s">
        <v>91</v>
      </c>
      <c r="G1543" s="28">
        <v>325000.0</v>
      </c>
      <c r="H1543" s="29"/>
      <c r="I1543" s="28">
        <v>1051.0</v>
      </c>
      <c r="J1543" s="28">
        <v>0.0</v>
      </c>
      <c r="K1543" s="25" t="s">
        <v>25</v>
      </c>
      <c r="L1543" s="26">
        <v>4.0</v>
      </c>
      <c r="M1543" s="26">
        <v>2.0</v>
      </c>
      <c r="N1543" s="26">
        <v>1.0</v>
      </c>
      <c r="O1543" s="26">
        <v>0.0</v>
      </c>
      <c r="P1543" s="30"/>
      <c r="Q1543" s="35">
        <v>72.0</v>
      </c>
      <c r="R1543" s="32">
        <v>45861.0</v>
      </c>
      <c r="S1543" s="32">
        <v>45688.0</v>
      </c>
      <c r="T1543" s="29"/>
      <c r="U1543" s="33"/>
      <c r="V1543" s="1"/>
    </row>
    <row r="1544" ht="24.0" customHeight="1">
      <c r="A1544" s="1"/>
      <c r="B1544" s="24" t="str">
        <f>HYPERLINK("https://www.compass.com/listing/8800-bay-parkway-unit-2g-brooklyn-ny-11214/1714730887466339073/view?agent_id=610d3f3370540700019b0833","8800 Bay Parkway, Unit 2G")</f>
        <v>8800 Bay Parkway, Unit 2G</v>
      </c>
      <c r="C1544" s="25" t="s">
        <v>22</v>
      </c>
      <c r="D1544" s="26" t="s">
        <v>23</v>
      </c>
      <c r="E1544" s="27" t="str">
        <f>HYPERLINK("https://www.compass.com/building/8800-bay-pkwy-brooklyn-ny-11214/293527698209337477/","8800 Bay Pkwy")</f>
        <v>8800 Bay Pkwy</v>
      </c>
      <c r="F1544" s="25" t="s">
        <v>214</v>
      </c>
      <c r="G1544" s="28">
        <v>708825.0</v>
      </c>
      <c r="H1544" s="28">
        <v>975.0</v>
      </c>
      <c r="I1544" s="28">
        <v>1003.0</v>
      </c>
      <c r="J1544" s="28">
        <v>8364.0</v>
      </c>
      <c r="K1544" s="25" t="s">
        <v>28</v>
      </c>
      <c r="L1544" s="26">
        <v>4.0</v>
      </c>
      <c r="M1544" s="26">
        <v>2.0</v>
      </c>
      <c r="N1544" s="26">
        <v>1.0</v>
      </c>
      <c r="O1544" s="30"/>
      <c r="P1544" s="26">
        <v>727.0</v>
      </c>
      <c r="Q1544" s="35">
        <v>246.0</v>
      </c>
      <c r="R1544" s="32">
        <v>45863.0</v>
      </c>
      <c r="S1544" s="32">
        <v>45617.0</v>
      </c>
      <c r="T1544" s="29"/>
      <c r="U1544" s="33"/>
      <c r="V1544" s="1"/>
    </row>
    <row r="1545" ht="24.0" customHeight="1">
      <c r="A1545" s="1"/>
      <c r="B1545" s="24" t="str">
        <f>HYPERLINK("https://www.compass.com/listing/2209-knapp-street-unit-3g-brooklyn-ny-11229/1637893663625832529/view?agent_id=610d3f3370540700019b0833","2209 Knapp Street, Unit 3G")</f>
        <v>2209 Knapp Street, Unit 3G</v>
      </c>
      <c r="C1545" s="25" t="s">
        <v>22</v>
      </c>
      <c r="D1545" s="26" t="s">
        <v>23</v>
      </c>
      <c r="E1545" s="27" t="str">
        <f>HYPERLINK("https://www.compass.com/building/2209-knapp-st-brooklyn-ny-11229/293532871522547605/","2209 Knapp St")</f>
        <v>2209 Knapp St</v>
      </c>
      <c r="F1545" s="25" t="s">
        <v>70</v>
      </c>
      <c r="G1545" s="28">
        <v>295888.0</v>
      </c>
      <c r="H1545" s="28">
        <v>311.0</v>
      </c>
      <c r="I1545" s="28">
        <v>1384.0</v>
      </c>
      <c r="J1545" s="29"/>
      <c r="K1545" s="25" t="s">
        <v>25</v>
      </c>
      <c r="L1545" s="26">
        <v>5.0</v>
      </c>
      <c r="M1545" s="26">
        <v>2.0</v>
      </c>
      <c r="N1545" s="26">
        <v>1.0</v>
      </c>
      <c r="O1545" s="30"/>
      <c r="P1545" s="26">
        <v>950.0</v>
      </c>
      <c r="Q1545" s="35">
        <v>352.0</v>
      </c>
      <c r="R1545" s="32">
        <v>45858.0</v>
      </c>
      <c r="S1545" s="32">
        <v>45511.0</v>
      </c>
      <c r="T1545" s="29"/>
      <c r="U1545" s="33"/>
      <c r="V1545" s="1"/>
    </row>
    <row r="1546" ht="24.0" customHeight="1">
      <c r="A1546" s="1"/>
      <c r="B1546" s="24" t="str">
        <f>HYPERLINK("https://www.compass.com/listing/2229-knapp-street-unit-4e-brooklyn-ny-11229/1552262285110248177/view?agent_id=610d3f3370540700019b0833","2229 Knapp Street, Unit 4E")</f>
        <v>2229 Knapp Street, Unit 4E</v>
      </c>
      <c r="C1546" s="25" t="s">
        <v>22</v>
      </c>
      <c r="D1546" s="26" t="s">
        <v>23</v>
      </c>
      <c r="E1546" s="27" t="str">
        <f>HYPERLINK("https://www.compass.com/building/2229-knapp-st-brooklyn-ny-11229/307443037638279317/","2229 Knapp St")</f>
        <v>2229 Knapp St</v>
      </c>
      <c r="F1546" s="25" t="s">
        <v>70</v>
      </c>
      <c r="G1546" s="28">
        <v>249888.0</v>
      </c>
      <c r="H1546" s="28">
        <v>263.0</v>
      </c>
      <c r="I1546" s="28">
        <v>1384.0</v>
      </c>
      <c r="J1546" s="29"/>
      <c r="K1546" s="25" t="s">
        <v>25</v>
      </c>
      <c r="L1546" s="26">
        <v>4.0</v>
      </c>
      <c r="M1546" s="26">
        <v>2.0</v>
      </c>
      <c r="N1546" s="26">
        <v>1.0</v>
      </c>
      <c r="O1546" s="30"/>
      <c r="P1546" s="26">
        <v>950.0</v>
      </c>
      <c r="Q1546" s="35">
        <v>470.0</v>
      </c>
      <c r="R1546" s="32">
        <v>45858.0</v>
      </c>
      <c r="S1546" s="32">
        <v>45393.0</v>
      </c>
      <c r="T1546" s="29"/>
      <c r="U1546" s="33"/>
      <c r="V1546" s="1"/>
    </row>
    <row r="1547" ht="24.0" customHeight="1">
      <c r="A1547" s="1"/>
      <c r="B1547" s="24" t="str">
        <f>HYPERLINK("https://www.compass.com/listing/99-48-1st-street-queens-ny-11414/1765329737417604025/view?agent_id=610d3f3370540700019b0833","99-48 1st Street")</f>
        <v>99-48 1st Street</v>
      </c>
      <c r="C1547" s="25" t="s">
        <v>22</v>
      </c>
      <c r="D1547" s="26" t="s">
        <v>23</v>
      </c>
      <c r="E1547" s="27" t="str">
        <f>HYPERLINK("https://www.compass.com/building/99-48-1st-st-queens-ny-11414/293532466310929845/","99-48 1st St")</f>
        <v>99-48 1st St</v>
      </c>
      <c r="F1547" s="25" t="s">
        <v>220</v>
      </c>
      <c r="G1547" s="28">
        <v>449990.0</v>
      </c>
      <c r="H1547" s="28">
        <v>567.0</v>
      </c>
      <c r="I1547" s="28">
        <v>173.0</v>
      </c>
      <c r="J1547" s="28">
        <v>2072.0</v>
      </c>
      <c r="K1547" s="25" t="s">
        <v>97</v>
      </c>
      <c r="L1547" s="26">
        <v>5.0</v>
      </c>
      <c r="M1547" s="26">
        <v>2.0</v>
      </c>
      <c r="N1547" s="26">
        <v>1.0</v>
      </c>
      <c r="O1547" s="30"/>
      <c r="P1547" s="26">
        <v>794.0</v>
      </c>
      <c r="Q1547" s="35">
        <v>176.0</v>
      </c>
      <c r="R1547" s="32">
        <v>45829.0</v>
      </c>
      <c r="S1547" s="32">
        <v>45687.0</v>
      </c>
      <c r="T1547" s="29"/>
      <c r="U1547" s="33"/>
      <c r="V1547" s="1"/>
    </row>
    <row r="1548" ht="24.0" customHeight="1">
      <c r="A1548" s="1"/>
      <c r="B1548" s="24" t="str">
        <f>HYPERLINK("https://www.compass.com/listing/3025-ocean-avenue-unit-6e-brooklyn-ny-11235/1687144577134556873/view?agent_id=610d3f3370540700019b0833","3025 Ocean Avenue, Unit 6E")</f>
        <v>3025 Ocean Avenue, Unit 6E</v>
      </c>
      <c r="C1548" s="25" t="s">
        <v>22</v>
      </c>
      <c r="D1548" s="26" t="s">
        <v>23</v>
      </c>
      <c r="E1548" s="27" t="str">
        <f>HYPERLINK("https://www.compass.com/building/3025-ocean-ave-brooklyn-ny-11235/293532086340520789/","3025 Ocean Ave")</f>
        <v>3025 Ocean Ave</v>
      </c>
      <c r="F1548" s="25" t="s">
        <v>70</v>
      </c>
      <c r="G1548" s="28">
        <v>450000.0</v>
      </c>
      <c r="H1548" s="28">
        <v>529.0</v>
      </c>
      <c r="I1548" s="28">
        <v>798.0</v>
      </c>
      <c r="J1548" s="29"/>
      <c r="K1548" s="25" t="s">
        <v>25</v>
      </c>
      <c r="L1548" s="26">
        <v>4.0</v>
      </c>
      <c r="M1548" s="26">
        <v>2.0</v>
      </c>
      <c r="N1548" s="26">
        <v>1.0</v>
      </c>
      <c r="O1548" s="26">
        <v>0.0</v>
      </c>
      <c r="P1548" s="26">
        <v>850.0</v>
      </c>
      <c r="Q1548" s="35">
        <v>284.0</v>
      </c>
      <c r="R1548" s="32">
        <v>45760.0</v>
      </c>
      <c r="S1548" s="32">
        <v>45579.0</v>
      </c>
      <c r="T1548" s="29"/>
      <c r="U1548" s="33"/>
      <c r="V1548" s="1"/>
    </row>
    <row r="1549" ht="24.0" customHeight="1">
      <c r="A1549" s="1"/>
      <c r="B1549" s="24" t="str">
        <f>HYPERLINK("https://www.compass.com/listing/97-52-75th-street-queens-ny-11416/1815169217709692209/view?agent_id=610d3f3370540700019b0833","97-52 75th Street")</f>
        <v>97-52 75th Street</v>
      </c>
      <c r="C1549" s="25" t="s">
        <v>22</v>
      </c>
      <c r="D1549" s="26" t="s">
        <v>23</v>
      </c>
      <c r="E1549" s="27" t="str">
        <f>HYPERLINK("https://www.compass.com/building/97-52-75th-st-queens-ny-11416/293532884399064757/","97-52 75th St")</f>
        <v>97-52 75th St</v>
      </c>
      <c r="F1549" s="25" t="s">
        <v>323</v>
      </c>
      <c r="G1549" s="28">
        <v>349000.0</v>
      </c>
      <c r="H1549" s="28">
        <v>471.0</v>
      </c>
      <c r="I1549" s="28">
        <v>467.0</v>
      </c>
      <c r="J1549" s="28">
        <v>5609.0</v>
      </c>
      <c r="K1549" s="25" t="s">
        <v>28</v>
      </c>
      <c r="L1549" s="26">
        <v>5.0</v>
      </c>
      <c r="M1549" s="26">
        <v>2.0</v>
      </c>
      <c r="N1549" s="26">
        <v>1.0</v>
      </c>
      <c r="O1549" s="30"/>
      <c r="P1549" s="26">
        <v>741.0</v>
      </c>
      <c r="Q1549" s="35">
        <v>107.0</v>
      </c>
      <c r="R1549" s="32">
        <v>45759.0</v>
      </c>
      <c r="S1549" s="32">
        <v>45756.0</v>
      </c>
      <c r="T1549" s="29"/>
      <c r="U1549" s="33"/>
      <c r="V1549" s="1"/>
    </row>
    <row r="1550" ht="24.0" customHeight="1">
      <c r="A1550" s="1"/>
      <c r="B1550" s="24" t="str">
        <f>HYPERLINK("https://www.compass.com/listing/99-65-lockwood-court-queens-ny-11414/1672476250540886321/view?agent_id=610d3f3370540700019b0833","99-65 Lockwood Court")</f>
        <v>99-65 Lockwood Court</v>
      </c>
      <c r="C1550" s="25" t="s">
        <v>22</v>
      </c>
      <c r="D1550" s="26" t="s">
        <v>23</v>
      </c>
      <c r="E1550" s="27" t="str">
        <f>HYPERLINK("https://www.compass.com/building/99-65-lockwood-ct-queens-ny-11414/293529405458773573/","99-65 Lockwood Ct")</f>
        <v>99-65 Lockwood Ct</v>
      </c>
      <c r="F1550" s="25" t="s">
        <v>220</v>
      </c>
      <c r="G1550" s="28">
        <v>629000.0</v>
      </c>
      <c r="H1550" s="28">
        <v>1156.0</v>
      </c>
      <c r="I1550" s="28">
        <v>170.0</v>
      </c>
      <c r="J1550" s="28">
        <v>2035.0</v>
      </c>
      <c r="K1550" s="25" t="s">
        <v>97</v>
      </c>
      <c r="L1550" s="26">
        <v>5.0</v>
      </c>
      <c r="M1550" s="26">
        <v>2.0</v>
      </c>
      <c r="N1550" s="26">
        <v>1.0</v>
      </c>
      <c r="O1550" s="30"/>
      <c r="P1550" s="26">
        <v>544.0</v>
      </c>
      <c r="Q1550" s="35">
        <v>304.0</v>
      </c>
      <c r="R1550" s="32">
        <v>45795.0</v>
      </c>
      <c r="S1550" s="32">
        <v>45559.0</v>
      </c>
      <c r="T1550" s="29"/>
      <c r="U1550" s="33"/>
      <c r="V1550" s="1"/>
    </row>
    <row r="1551" ht="24.0" customHeight="1">
      <c r="A1551" s="1"/>
      <c r="B1551" s="24" t="str">
        <f>HYPERLINK("https://www.compass.com/listing/2630-cropsey-avenue-unit-13k-brooklyn-ny-11214/1172099785521625361/view?agent_id=610d3f3370540700019b0833","2630 Cropsey Avenue, Unit 13K")</f>
        <v>2630 Cropsey Avenue, Unit 13K</v>
      </c>
      <c r="C1551" s="25" t="s">
        <v>22</v>
      </c>
      <c r="D1551" s="26" t="s">
        <v>23</v>
      </c>
      <c r="E1551" s="27" t="str">
        <f>HYPERLINK("https://www.compass.com/building/waterview-towers-brooklyn-ny/293527901993740053/","Waterview Towers")</f>
        <v>Waterview Towers</v>
      </c>
      <c r="F1551" s="25" t="s">
        <v>173</v>
      </c>
      <c r="G1551" s="28">
        <v>449000.0</v>
      </c>
      <c r="H1551" s="28">
        <v>449.0</v>
      </c>
      <c r="I1551" s="28">
        <v>1035.0</v>
      </c>
      <c r="J1551" s="29"/>
      <c r="K1551" s="25" t="s">
        <v>25</v>
      </c>
      <c r="L1551" s="26">
        <v>4.0</v>
      </c>
      <c r="M1551" s="26">
        <v>2.0</v>
      </c>
      <c r="N1551" s="30"/>
      <c r="O1551" s="30"/>
      <c r="P1551" s="34">
        <v>1000.0</v>
      </c>
      <c r="Q1551" s="35">
        <v>898.0</v>
      </c>
      <c r="R1551" s="32">
        <v>45861.0</v>
      </c>
      <c r="S1551" s="32">
        <v>44965.0</v>
      </c>
      <c r="T1551" s="29"/>
      <c r="U1551" s="33"/>
      <c r="V1551" s="1"/>
    </row>
    <row r="1552" ht="24.0" customHeight="1">
      <c r="A1552" s="1"/>
      <c r="B1552" s="24" t="str">
        <f>HYPERLINK("https://www.compass.com/listing/86-70-francis-lewis-boulevard-unit-a44-queens-ny-11423/1787103975716605321/view?agent_id=610d3f3370540700019b0833","86-70 Francis Lewis Boulevard, Unit A44")</f>
        <v>86-70 Francis Lewis Boulevard, Unit A44</v>
      </c>
      <c r="C1552" s="25" t="s">
        <v>22</v>
      </c>
      <c r="D1552" s="26" t="s">
        <v>23</v>
      </c>
      <c r="E1552" s="27" t="str">
        <f>HYPERLINK("https://www.compass.com/building/86-70-francis-lewis-blvd-queens-ny-11423/307445462071951253/","86-70 Francis Lewis Blvd")</f>
        <v>86-70 Francis Lewis Blvd</v>
      </c>
      <c r="F1552" s="25" t="s">
        <v>99</v>
      </c>
      <c r="G1552" s="28">
        <v>290000.0</v>
      </c>
      <c r="H1552" s="28">
        <v>322.0</v>
      </c>
      <c r="I1552" s="28">
        <v>981.0</v>
      </c>
      <c r="J1552" s="29"/>
      <c r="K1552" s="25" t="s">
        <v>25</v>
      </c>
      <c r="L1552" s="26">
        <v>4.0</v>
      </c>
      <c r="M1552" s="26">
        <v>2.0</v>
      </c>
      <c r="N1552" s="26">
        <v>1.0</v>
      </c>
      <c r="O1552" s="30"/>
      <c r="P1552" s="26">
        <v>900.0</v>
      </c>
      <c r="Q1552" s="35">
        <v>146.0</v>
      </c>
      <c r="R1552" s="32">
        <v>45770.0</v>
      </c>
      <c r="S1552" s="32">
        <v>45717.0</v>
      </c>
      <c r="T1552" s="29"/>
      <c r="U1552" s="33"/>
      <c r="V1552" s="1"/>
    </row>
    <row r="1553" ht="24.0" customHeight="1">
      <c r="A1553" s="1"/>
      <c r="B1553" s="24" t="str">
        <f>HYPERLINK("https://www.compass.com/listing/52-24-65th-place-unit-3k-queens-ny-11378/1722719485138855625/view?agent_id=610d3f3370540700019b0833","52-24 65th Place, Unit 3K")</f>
        <v>52-24 65th Place, Unit 3K</v>
      </c>
      <c r="C1553" s="25" t="s">
        <v>22</v>
      </c>
      <c r="D1553" s="26" t="s">
        <v>23</v>
      </c>
      <c r="E1553" s="27" t="str">
        <f>HYPERLINK("https://www.compass.com/building/52-24-65th-pl-queens-ny-11378/293531425930569461/","52-24 65th Pl")</f>
        <v>52-24 65th Pl</v>
      </c>
      <c r="F1553" s="25" t="s">
        <v>242</v>
      </c>
      <c r="G1553" s="28">
        <v>370000.0</v>
      </c>
      <c r="H1553" s="28">
        <v>435.0</v>
      </c>
      <c r="I1553" s="28">
        <v>844.0</v>
      </c>
      <c r="J1553" s="28">
        <v>0.0</v>
      </c>
      <c r="K1553" s="25" t="s">
        <v>25</v>
      </c>
      <c r="L1553" s="26">
        <v>5.0</v>
      </c>
      <c r="M1553" s="26">
        <v>2.0</v>
      </c>
      <c r="N1553" s="26">
        <v>1.0</v>
      </c>
      <c r="O1553" s="30"/>
      <c r="P1553" s="26">
        <v>850.0</v>
      </c>
      <c r="Q1553" s="35">
        <v>222.0</v>
      </c>
      <c r="R1553" s="32">
        <v>45821.0</v>
      </c>
      <c r="S1553" s="32">
        <v>45628.0</v>
      </c>
      <c r="T1553" s="29"/>
      <c r="U1553" s="33"/>
      <c r="V1553" s="1"/>
    </row>
    <row r="1554" ht="24.0" customHeight="1">
      <c r="A1554" s="1"/>
      <c r="B1554" s="24" t="str">
        <f>HYPERLINK("https://www.compass.com/listing/83-05-98th-street-unit-4g-queens-ny-11421/1706018072763352953/view?agent_id=610d3f3370540700019b0833","83-05 98th Street, Unit 4G")</f>
        <v>83-05 98th Street, Unit 4G</v>
      </c>
      <c r="C1554" s="25" t="s">
        <v>22</v>
      </c>
      <c r="D1554" s="26" t="s">
        <v>23</v>
      </c>
      <c r="E1554" s="27" t="str">
        <f>HYPERLINK("https://www.compass.com/building/83-05-98th-st-queens-ny-11421/437106068339346349/","83-05 98th St")</f>
        <v>83-05 98th St</v>
      </c>
      <c r="F1554" s="25" t="s">
        <v>324</v>
      </c>
      <c r="G1554" s="28">
        <v>344900.0</v>
      </c>
      <c r="H1554" s="29"/>
      <c r="I1554" s="28">
        <v>679.0</v>
      </c>
      <c r="J1554" s="28">
        <v>0.0</v>
      </c>
      <c r="K1554" s="25" t="s">
        <v>25</v>
      </c>
      <c r="L1554" s="26">
        <v>5.0</v>
      </c>
      <c r="M1554" s="26">
        <v>2.0</v>
      </c>
      <c r="N1554" s="26">
        <v>1.0</v>
      </c>
      <c r="O1554" s="30"/>
      <c r="P1554" s="30"/>
      <c r="Q1554" s="35">
        <v>161.0</v>
      </c>
      <c r="R1554" s="32">
        <v>45861.0</v>
      </c>
      <c r="S1554" s="32">
        <v>45608.0</v>
      </c>
      <c r="T1554" s="29"/>
      <c r="U1554" s="33"/>
      <c r="V1554" s="1"/>
    </row>
    <row r="1555" ht="24.0" customHeight="1">
      <c r="A1555" s="1"/>
      <c r="B1555" s="24" t="str">
        <f>HYPERLINK("https://www.compass.com/listing/1845-83rd-street-unit-2-brooklyn-ny-11214/1813843194312813305/view?agent_id=610d3f3370540700019b0833","1845 83rd Street, Unit 2")</f>
        <v>1845 83rd Street, Unit 2</v>
      </c>
      <c r="C1555" s="25" t="s">
        <v>22</v>
      </c>
      <c r="D1555" s="26" t="s">
        <v>23</v>
      </c>
      <c r="E1555" s="27" t="str">
        <f>HYPERLINK("https://www.compass.com/building/1845-83rd-st-brooklyn-ny-11214/293532224878305493/","1845 83rd St")</f>
        <v>1845 83rd St</v>
      </c>
      <c r="F1555" s="25" t="s">
        <v>325</v>
      </c>
      <c r="G1555" s="28">
        <v>839000.0</v>
      </c>
      <c r="H1555" s="28">
        <v>775.0</v>
      </c>
      <c r="I1555" s="28">
        <v>605.0</v>
      </c>
      <c r="J1555" s="28">
        <v>4857.0</v>
      </c>
      <c r="K1555" s="25" t="s">
        <v>28</v>
      </c>
      <c r="L1555" s="26">
        <v>5.0</v>
      </c>
      <c r="M1555" s="26">
        <v>2.0</v>
      </c>
      <c r="N1555" s="26">
        <v>1.0</v>
      </c>
      <c r="O1555" s="30"/>
      <c r="P1555" s="34">
        <v>1082.0</v>
      </c>
      <c r="Q1555" s="35">
        <v>110.0</v>
      </c>
      <c r="R1555" s="32">
        <v>45859.0</v>
      </c>
      <c r="S1555" s="32">
        <v>45752.0</v>
      </c>
      <c r="T1555" s="29"/>
      <c r="U1555" s="33"/>
      <c r="V1555" s="1"/>
    </row>
    <row r="1556" ht="24.0" customHeight="1">
      <c r="A1556" s="1"/>
      <c r="B1556" s="24" t="str">
        <f>HYPERLINK("https://www.compass.com/listing/102-29-nicolls-avenue-unit-2a-queens-ny-11368/1585695163414228921/view?agent_id=610d3f3370540700019b0833","102-29 Nicolls Avenue, Unit 2A")</f>
        <v>102-29 Nicolls Avenue, Unit 2A</v>
      </c>
      <c r="C1556" s="25" t="s">
        <v>22</v>
      </c>
      <c r="D1556" s="26" t="s">
        <v>23</v>
      </c>
      <c r="E1556" s="27" t="str">
        <f>HYPERLINK("https://www.compass.com/building/102-29-nicolls-ave-queens-ny-11368/293532178438952021/","102-29 Nicolls Ave")</f>
        <v>102-29 Nicolls Ave</v>
      </c>
      <c r="F1556" s="25" t="s">
        <v>153</v>
      </c>
      <c r="G1556" s="28">
        <v>428888.0</v>
      </c>
      <c r="H1556" s="29"/>
      <c r="I1556" s="28">
        <v>750.0</v>
      </c>
      <c r="J1556" s="28">
        <v>4200.0</v>
      </c>
      <c r="K1556" s="25" t="s">
        <v>28</v>
      </c>
      <c r="L1556" s="26">
        <v>4.0</v>
      </c>
      <c r="M1556" s="26">
        <v>2.0</v>
      </c>
      <c r="N1556" s="26">
        <v>1.0</v>
      </c>
      <c r="O1556" s="30"/>
      <c r="P1556" s="30"/>
      <c r="Q1556" s="35">
        <v>174.0</v>
      </c>
      <c r="R1556" s="32">
        <v>45815.0</v>
      </c>
      <c r="S1556" s="32">
        <v>45439.0</v>
      </c>
      <c r="T1556" s="29"/>
      <c r="U1556" s="33"/>
      <c r="V1556" s="1"/>
    </row>
    <row r="1557" ht="24.0" customHeight="1">
      <c r="A1557" s="1"/>
      <c r="B1557" s="24" t="str">
        <f>HYPERLINK("https://www.compass.com/listing/118-18-union-turnpike-unit-9b-queens-ny-11415/1789398580415566161/view?agent_id=610d3f3370540700019b0833","118-18 Union Turnpike, Unit 9B")</f>
        <v>118-18 Union Turnpike, Unit 9B</v>
      </c>
      <c r="C1557" s="25" t="s">
        <v>22</v>
      </c>
      <c r="D1557" s="26" t="s">
        <v>23</v>
      </c>
      <c r="E1557" s="27" t="str">
        <f>HYPERLINK("https://www.compass.com/building/118-18-union-tpke-queens-ny-11415/293528009544126645/","118-18 Union Tpke")</f>
        <v>118-18 Union Tpke</v>
      </c>
      <c r="F1557" s="25" t="s">
        <v>91</v>
      </c>
      <c r="G1557" s="28">
        <v>319000.0</v>
      </c>
      <c r="H1557" s="28">
        <v>364.0</v>
      </c>
      <c r="I1557" s="28">
        <v>1536.0</v>
      </c>
      <c r="J1557" s="28">
        <v>0.0</v>
      </c>
      <c r="K1557" s="25" t="s">
        <v>25</v>
      </c>
      <c r="L1557" s="26">
        <v>4.0</v>
      </c>
      <c r="M1557" s="26">
        <v>2.0</v>
      </c>
      <c r="N1557" s="26">
        <v>1.0</v>
      </c>
      <c r="O1557" s="26">
        <v>0.0</v>
      </c>
      <c r="P1557" s="26">
        <v>877.0</v>
      </c>
      <c r="Q1557" s="35">
        <v>143.0</v>
      </c>
      <c r="R1557" s="32">
        <v>45862.0</v>
      </c>
      <c r="S1557" s="32">
        <v>45720.0</v>
      </c>
      <c r="T1557" s="29"/>
      <c r="U1557" s="33"/>
      <c r="V1557" s="1"/>
    </row>
    <row r="1558" ht="24.0" customHeight="1">
      <c r="A1558" s="1"/>
      <c r="B1558" s="24" t="str">
        <f>HYPERLINK("https://www.compass.com/listing/99-45-67th-road-unit-411-queens-ny-11375/1792073932197209865/view?agent_id=610d3f3370540700019b0833","99-45 67th Road, Unit 411")</f>
        <v>99-45 67th Road, Unit 411</v>
      </c>
      <c r="C1558" s="25" t="s">
        <v>22</v>
      </c>
      <c r="D1558" s="26" t="s">
        <v>23</v>
      </c>
      <c r="E1558" s="27" t="str">
        <f>HYPERLINK("https://www.compass.com/building/99-45-67th-rd-queens-ny-11375/293526263782470853/","99-45 67th Rd")</f>
        <v>99-45 67th Rd</v>
      </c>
      <c r="F1558" s="25" t="s">
        <v>166</v>
      </c>
      <c r="G1558" s="28">
        <v>425000.0</v>
      </c>
      <c r="H1558" s="28">
        <v>438.0</v>
      </c>
      <c r="I1558" s="28">
        <v>1287.0</v>
      </c>
      <c r="J1558" s="29"/>
      <c r="K1558" s="25" t="s">
        <v>25</v>
      </c>
      <c r="L1558" s="26">
        <v>5.0</v>
      </c>
      <c r="M1558" s="26">
        <v>2.0</v>
      </c>
      <c r="N1558" s="26">
        <v>1.0</v>
      </c>
      <c r="O1558" s="30"/>
      <c r="P1558" s="26">
        <v>970.0</v>
      </c>
      <c r="Q1558" s="35">
        <v>139.0</v>
      </c>
      <c r="R1558" s="32">
        <v>45846.0</v>
      </c>
      <c r="S1558" s="32">
        <v>45724.0</v>
      </c>
      <c r="T1558" s="29"/>
      <c r="U1558" s="33"/>
      <c r="V1558" s="1"/>
    </row>
    <row r="1559" ht="24.0" customHeight="1">
      <c r="A1559" s="1"/>
      <c r="B1559" s="24" t="str">
        <f>HYPERLINK("https://www.compass.com/listing/104-20-68th-drive-unit-a31-queens-ny-11375/1795758499908955041/view?agent_id=610d3f3370540700019b0833","104-20 68th Drive, Unit A31")</f>
        <v>104-20 68th Drive, Unit A31</v>
      </c>
      <c r="C1559" s="25" t="s">
        <v>22</v>
      </c>
      <c r="D1559" s="26" t="s">
        <v>23</v>
      </c>
      <c r="E1559" s="27" t="str">
        <f>HYPERLINK("https://www.compass.com/building/104-20-68th-dr-queens-ny-11375/293533905242354581/","104-20 68th Dr")</f>
        <v>104-20 68th Dr</v>
      </c>
      <c r="F1559" s="25" t="s">
        <v>166</v>
      </c>
      <c r="G1559" s="28">
        <v>489000.0</v>
      </c>
      <c r="H1559" s="29"/>
      <c r="I1559" s="28">
        <v>1253.0</v>
      </c>
      <c r="J1559" s="28">
        <v>0.0</v>
      </c>
      <c r="K1559" s="25" t="s">
        <v>25</v>
      </c>
      <c r="L1559" s="26">
        <v>4.0</v>
      </c>
      <c r="M1559" s="26">
        <v>2.0</v>
      </c>
      <c r="N1559" s="26">
        <v>1.0</v>
      </c>
      <c r="O1559" s="26">
        <v>0.0</v>
      </c>
      <c r="P1559" s="30"/>
      <c r="Q1559" s="35">
        <v>139.0</v>
      </c>
      <c r="R1559" s="32">
        <v>45830.0</v>
      </c>
      <c r="S1559" s="32">
        <v>45722.0</v>
      </c>
      <c r="T1559" s="29"/>
      <c r="U1559" s="33"/>
      <c r="V1559" s="1"/>
    </row>
    <row r="1560" ht="24.0" customHeight="1">
      <c r="A1560" s="1"/>
      <c r="B1560" s="24" t="str">
        <f>HYPERLINK("https://www.compass.com/listing/61-20-grand-central-parkway-unit-b-508-queens-ny-11375/1845771685763990825/view?agent_id=610d3f3370540700019b0833","61-20 Grand Central Parkway, Unit B 508")</f>
        <v>61-20 Grand Central Parkway, Unit B 508</v>
      </c>
      <c r="C1560" s="25" t="s">
        <v>22</v>
      </c>
      <c r="D1560" s="26" t="s">
        <v>23</v>
      </c>
      <c r="E1560" s="27" t="str">
        <f>HYPERLINK("https://www.compass.com/building/61-20-grand-central-pkwy-queens-ny-11375/294847679905375861/","61-20 Grand Central Pkwy")</f>
        <v>61-20 Grand Central Pkwy</v>
      </c>
      <c r="F1560" s="25" t="s">
        <v>83</v>
      </c>
      <c r="G1560" s="28">
        <v>359000.0</v>
      </c>
      <c r="H1560" s="28">
        <v>287.0</v>
      </c>
      <c r="I1560" s="28">
        <v>3736.0</v>
      </c>
      <c r="J1560" s="29"/>
      <c r="K1560" s="25" t="s">
        <v>25</v>
      </c>
      <c r="L1560" s="26">
        <v>5.0</v>
      </c>
      <c r="M1560" s="26">
        <v>2.0</v>
      </c>
      <c r="N1560" s="26">
        <v>1.0</v>
      </c>
      <c r="O1560" s="30"/>
      <c r="P1560" s="34">
        <v>1250.0</v>
      </c>
      <c r="Q1560" s="35">
        <v>65.0</v>
      </c>
      <c r="R1560" s="32">
        <v>45858.0</v>
      </c>
      <c r="S1560" s="32">
        <v>45798.0</v>
      </c>
      <c r="T1560" s="29"/>
      <c r="U1560" s="33"/>
      <c r="V1560" s="1"/>
    </row>
    <row r="1561" ht="24.0" customHeight="1">
      <c r="A1561" s="1"/>
      <c r="B1561" s="24" t="str">
        <f>HYPERLINK("https://www.compass.com/listing/155-40-84th-street-unit-1-queens-ny-11414/1699377333334966785/view?agent_id=610d3f3370540700019b0833","155-40 84th Street, Unit 1")</f>
        <v>155-40 84th Street, Unit 1</v>
      </c>
      <c r="C1561" s="25" t="s">
        <v>22</v>
      </c>
      <c r="D1561" s="26" t="s">
        <v>23</v>
      </c>
      <c r="E1561" s="26" t="s">
        <v>326</v>
      </c>
      <c r="F1561" s="25" t="s">
        <v>212</v>
      </c>
      <c r="G1561" s="28">
        <v>230000.0</v>
      </c>
      <c r="H1561" s="28">
        <v>353.0</v>
      </c>
      <c r="I1561" s="28">
        <v>779.0</v>
      </c>
      <c r="J1561" s="28">
        <v>0.0</v>
      </c>
      <c r="K1561" s="25" t="s">
        <v>25</v>
      </c>
      <c r="L1561" s="26">
        <v>5.0</v>
      </c>
      <c r="M1561" s="26">
        <v>2.0</v>
      </c>
      <c r="N1561" s="26">
        <v>1.0</v>
      </c>
      <c r="O1561" s="30"/>
      <c r="P1561" s="26">
        <v>651.0</v>
      </c>
      <c r="Q1561" s="35">
        <v>40.0</v>
      </c>
      <c r="R1561" s="32">
        <v>45859.0</v>
      </c>
      <c r="S1561" s="32">
        <v>45596.0</v>
      </c>
      <c r="T1561" s="29"/>
      <c r="U1561" s="33"/>
      <c r="V1561" s="1"/>
    </row>
    <row r="1562" ht="24.0" customHeight="1">
      <c r="A1562" s="1"/>
      <c r="B1562" s="24" t="str">
        <f>HYPERLINK("https://www.compass.com/listing/8371-116th-street-unit-7e-queens-ny-11418/1813401430946890137/view?agent_id=610d3f3370540700019b0833","8371 116th Street, Unit 7E")</f>
        <v>8371 116th Street, Unit 7E</v>
      </c>
      <c r="C1562" s="25" t="s">
        <v>22</v>
      </c>
      <c r="D1562" s="26" t="s">
        <v>23</v>
      </c>
      <c r="E1562" s="26" t="s">
        <v>327</v>
      </c>
      <c r="F1562" s="25" t="s">
        <v>91</v>
      </c>
      <c r="G1562" s="28">
        <v>374900.0</v>
      </c>
      <c r="H1562" s="28">
        <v>469.0</v>
      </c>
      <c r="I1562" s="28">
        <v>2469.0</v>
      </c>
      <c r="J1562" s="28">
        <v>20693.0</v>
      </c>
      <c r="K1562" s="25" t="s">
        <v>28</v>
      </c>
      <c r="L1562" s="26">
        <v>4.0</v>
      </c>
      <c r="M1562" s="26">
        <v>2.0</v>
      </c>
      <c r="N1562" s="26">
        <v>1.0</v>
      </c>
      <c r="O1562" s="30"/>
      <c r="P1562" s="26">
        <v>800.0</v>
      </c>
      <c r="Q1562" s="35">
        <v>110.0</v>
      </c>
      <c r="R1562" s="32">
        <v>45824.0</v>
      </c>
      <c r="S1562" s="32">
        <v>45753.0</v>
      </c>
      <c r="T1562" s="29"/>
      <c r="U1562" s="33"/>
      <c r="V1562" s="1"/>
    </row>
    <row r="1563" ht="24.0" customHeight="1">
      <c r="A1563" s="1"/>
      <c r="B1563" s="24" t="str">
        <f>HYPERLINK("https://www.compass.com/listing/2195-east-22nd-street-unit-4c-brooklyn-ny-11229/1517998013664145617/view?agent_id=610d3f3370540700019b0833","2195 East 22nd Street, Unit 4C")</f>
        <v>2195 East 22nd Street, Unit 4C</v>
      </c>
      <c r="C1563" s="25" t="s">
        <v>22</v>
      </c>
      <c r="D1563" s="26" t="s">
        <v>23</v>
      </c>
      <c r="E1563" s="27" t="str">
        <f>HYPERLINK("https://www.compass.com/building/2195-e-22nd-st-brooklyn-ny-11229/293416630623513349/","2195 E 22nd St")</f>
        <v>2195 E 22nd St</v>
      </c>
      <c r="F1563" s="25" t="s">
        <v>70</v>
      </c>
      <c r="G1563" s="28">
        <v>338000.0</v>
      </c>
      <c r="H1563" s="28">
        <v>307.0</v>
      </c>
      <c r="I1563" s="28">
        <v>800.0</v>
      </c>
      <c r="J1563" s="28">
        <v>9600.0</v>
      </c>
      <c r="K1563" s="25" t="s">
        <v>25</v>
      </c>
      <c r="L1563" s="26">
        <v>5.0</v>
      </c>
      <c r="M1563" s="26">
        <v>2.0</v>
      </c>
      <c r="N1563" s="26">
        <v>1.0</v>
      </c>
      <c r="O1563" s="30"/>
      <c r="P1563" s="34">
        <v>1100.0</v>
      </c>
      <c r="Q1563" s="35">
        <v>518.0</v>
      </c>
      <c r="R1563" s="32">
        <v>45682.0</v>
      </c>
      <c r="S1563" s="32">
        <v>45345.0</v>
      </c>
      <c r="T1563" s="29"/>
      <c r="U1563" s="33"/>
      <c r="V1563" s="1"/>
    </row>
    <row r="1564" ht="24.0" customHeight="1">
      <c r="A1564" s="1"/>
      <c r="B1564" s="24" t="str">
        <f>HYPERLINK("https://www.compass.com/listing/175-06-devonshire-road-unit-4c-queens-ny-11432/1722949799690453297/view?agent_id=610d3f3370540700019b0833","175-06 Devonshire Road, Unit 4C")</f>
        <v>175-06 Devonshire Road, Unit 4C</v>
      </c>
      <c r="C1564" s="25" t="s">
        <v>22</v>
      </c>
      <c r="D1564" s="26" t="s">
        <v>23</v>
      </c>
      <c r="E1564" s="27" t="str">
        <f>HYPERLINK("https://www.compass.com/building/175-06-devonshire-rd-queens-ny-11432/293418110977860389/","175-06 Devonshire Rd")</f>
        <v>175-06 Devonshire Rd</v>
      </c>
      <c r="F1564" s="25" t="s">
        <v>328</v>
      </c>
      <c r="G1564" s="28">
        <v>179900.0</v>
      </c>
      <c r="H1564" s="28">
        <v>189.0</v>
      </c>
      <c r="I1564" s="28">
        <v>2270.0</v>
      </c>
      <c r="J1564" s="29"/>
      <c r="K1564" s="25" t="s">
        <v>25</v>
      </c>
      <c r="L1564" s="26">
        <v>4.0</v>
      </c>
      <c r="M1564" s="26">
        <v>2.0</v>
      </c>
      <c r="N1564" s="26">
        <v>1.0</v>
      </c>
      <c r="O1564" s="30"/>
      <c r="P1564" s="26">
        <v>950.0</v>
      </c>
      <c r="Q1564" s="35">
        <v>143.0</v>
      </c>
      <c r="R1564" s="32">
        <v>45837.0</v>
      </c>
      <c r="S1564" s="32">
        <v>45621.0</v>
      </c>
      <c r="T1564" s="29"/>
      <c r="U1564" s="33"/>
      <c r="V1564" s="1"/>
    </row>
    <row r="1565" ht="24.0" customHeight="1">
      <c r="A1565" s="1"/>
      <c r="B1565" s="24" t="str">
        <f>HYPERLINK("https://www.compass.com/listing/478-midland-avenue-staten-island-ny-10306/1807443076021019265/view?agent_id=610d3f3370540700019b0833","478 Midland Avenue")</f>
        <v>478 Midland Avenue</v>
      </c>
      <c r="C1565" s="25" t="s">
        <v>22</v>
      </c>
      <c r="D1565" s="26" t="s">
        <v>23</v>
      </c>
      <c r="E1565" s="27" t="str">
        <f>HYPERLINK("https://www.compass.com/building/478-midland-ave-staten-island-ny-10306/293531918887063237/","478 Midland Ave")</f>
        <v>478 Midland Ave</v>
      </c>
      <c r="F1565" s="25" t="s">
        <v>234</v>
      </c>
      <c r="G1565" s="28">
        <v>325000.0</v>
      </c>
      <c r="H1565" s="28">
        <v>415.0</v>
      </c>
      <c r="I1565" s="28">
        <v>202.0</v>
      </c>
      <c r="J1565" s="28">
        <v>2424.0</v>
      </c>
      <c r="K1565" s="25" t="s">
        <v>159</v>
      </c>
      <c r="L1565" s="26">
        <v>4.0</v>
      </c>
      <c r="M1565" s="26">
        <v>2.0</v>
      </c>
      <c r="N1565" s="26">
        <v>1.0</v>
      </c>
      <c r="O1565" s="30"/>
      <c r="P1565" s="26">
        <v>784.0</v>
      </c>
      <c r="Q1565" s="35">
        <v>116.0</v>
      </c>
      <c r="R1565" s="32">
        <v>45863.0</v>
      </c>
      <c r="S1565" s="32">
        <v>45747.0</v>
      </c>
      <c r="T1565" s="29"/>
      <c r="U1565" s="33"/>
      <c r="V1565" s="1"/>
    </row>
    <row r="1566" ht="24.0" customHeight="1">
      <c r="A1566" s="1"/>
      <c r="B1566" s="24" t="str">
        <f>HYPERLINK("https://www.compass.com/listing/1543-west-1st-street-unit-e8-brooklyn-ny-11204/1755983340229186609/view?agent_id=610d3f3370540700019b0833","1543 West 1st Street, Unit E8")</f>
        <v>1543 West 1st Street, Unit E8</v>
      </c>
      <c r="C1566" s="25" t="s">
        <v>22</v>
      </c>
      <c r="D1566" s="26" t="s">
        <v>23</v>
      </c>
      <c r="E1566" s="27" t="str">
        <f>HYPERLINK("https://www.compass.com/building/1543-w-1st-st-brooklyn-ny-11204/293531222481569061/","1543 W 1st St")</f>
        <v>1543 W 1st St</v>
      </c>
      <c r="F1566" s="25" t="s">
        <v>236</v>
      </c>
      <c r="G1566" s="28">
        <v>549000.0</v>
      </c>
      <c r="H1566" s="28">
        <v>472.0</v>
      </c>
      <c r="I1566" s="28">
        <v>1097.0</v>
      </c>
      <c r="J1566" s="28">
        <v>7461.0</v>
      </c>
      <c r="K1566" s="25" t="s">
        <v>28</v>
      </c>
      <c r="L1566" s="26">
        <v>4.0</v>
      </c>
      <c r="M1566" s="26">
        <v>2.0</v>
      </c>
      <c r="N1566" s="26">
        <v>1.0</v>
      </c>
      <c r="O1566" s="30"/>
      <c r="P1566" s="34">
        <v>1164.0</v>
      </c>
      <c r="Q1566" s="35">
        <v>189.0</v>
      </c>
      <c r="R1566" s="32">
        <v>45861.0</v>
      </c>
      <c r="S1566" s="32">
        <v>45674.0</v>
      </c>
      <c r="T1566" s="29"/>
      <c r="U1566" s="33"/>
      <c r="V1566" s="1"/>
    </row>
    <row r="1567" ht="24.0" customHeight="1">
      <c r="A1567" s="1"/>
      <c r="B1567" s="24" t="str">
        <f>HYPERLINK("https://www.compass.com/listing/8800-bay-parkway-unit-2f-brooklyn-ny-11214/1728680361970362057/view?agent_id=610d3f3370540700019b0833","8800 Bay Parkway, Unit 2F")</f>
        <v>8800 Bay Parkway, Unit 2F</v>
      </c>
      <c r="C1567" s="25" t="s">
        <v>22</v>
      </c>
      <c r="D1567" s="26" t="s">
        <v>23</v>
      </c>
      <c r="E1567" s="27" t="str">
        <f t="shared" ref="E1567:E1569" si="12">HYPERLINK("https://www.compass.com/building/8800-bay-pkwy-brooklyn-ny-11214/293527698209337477/","8800 Bay Pkwy")</f>
        <v>8800 Bay Pkwy</v>
      </c>
      <c r="F1567" s="25" t="s">
        <v>214</v>
      </c>
      <c r="G1567" s="28">
        <v>818805.0</v>
      </c>
      <c r="H1567" s="28">
        <v>1105.0</v>
      </c>
      <c r="I1567" s="28">
        <v>370.0</v>
      </c>
      <c r="J1567" s="28">
        <v>709.0</v>
      </c>
      <c r="K1567" s="25" t="s">
        <v>28</v>
      </c>
      <c r="L1567" s="26">
        <v>4.0</v>
      </c>
      <c r="M1567" s="26">
        <v>2.0</v>
      </c>
      <c r="N1567" s="26">
        <v>1.0</v>
      </c>
      <c r="O1567" s="30"/>
      <c r="P1567" s="26">
        <v>741.0</v>
      </c>
      <c r="Q1567" s="35">
        <v>227.0</v>
      </c>
      <c r="R1567" s="32">
        <v>45863.0</v>
      </c>
      <c r="S1567" s="32">
        <v>45636.0</v>
      </c>
      <c r="T1567" s="29"/>
      <c r="U1567" s="33"/>
      <c r="V1567" s="1"/>
    </row>
    <row r="1568" ht="24.0" customHeight="1">
      <c r="A1568" s="1"/>
      <c r="B1568" s="24" t="str">
        <f>HYPERLINK("https://www.compass.com/listing/8800-bay-parkway-unit-4b-brooklyn-ny-11214/1728686402061685857/view?agent_id=610d3f3370540700019b0833","8800 Bay Parkway, Unit 4B")</f>
        <v>8800 Bay Parkway, Unit 4B</v>
      </c>
      <c r="C1568" s="25" t="s">
        <v>22</v>
      </c>
      <c r="D1568" s="26" t="s">
        <v>23</v>
      </c>
      <c r="E1568" s="27" t="str">
        <f t="shared" si="12"/>
        <v>8800 Bay Pkwy</v>
      </c>
      <c r="F1568" s="25" t="s">
        <v>214</v>
      </c>
      <c r="G1568" s="28">
        <v>790730.0</v>
      </c>
      <c r="H1568" s="28">
        <v>1070.0</v>
      </c>
      <c r="I1568" s="28">
        <v>370.0</v>
      </c>
      <c r="J1568" s="28">
        <v>709.0</v>
      </c>
      <c r="K1568" s="25" t="s">
        <v>28</v>
      </c>
      <c r="L1568" s="26">
        <v>4.0</v>
      </c>
      <c r="M1568" s="26">
        <v>2.0</v>
      </c>
      <c r="N1568" s="26">
        <v>1.0</v>
      </c>
      <c r="O1568" s="30"/>
      <c r="P1568" s="26">
        <v>739.0</v>
      </c>
      <c r="Q1568" s="35">
        <v>227.0</v>
      </c>
      <c r="R1568" s="32">
        <v>45863.0</v>
      </c>
      <c r="S1568" s="32">
        <v>45636.0</v>
      </c>
      <c r="T1568" s="29"/>
      <c r="U1568" s="33"/>
      <c r="V1568" s="1"/>
    </row>
    <row r="1569" ht="24.0" customHeight="1">
      <c r="A1569" s="1"/>
      <c r="B1569" s="24" t="str">
        <f>HYPERLINK("https://www.compass.com/listing/8800-bay-parkway-unit-4c-brooklyn-ny-11214/1728694477733004089/view?agent_id=610d3f3370540700019b0833","8800 Bay Parkway, Unit 4C")</f>
        <v>8800 Bay Parkway, Unit 4C</v>
      </c>
      <c r="C1569" s="25" t="s">
        <v>22</v>
      </c>
      <c r="D1569" s="26" t="s">
        <v>23</v>
      </c>
      <c r="E1569" s="27" t="str">
        <f t="shared" si="12"/>
        <v>8800 Bay Pkwy</v>
      </c>
      <c r="F1569" s="25" t="s">
        <v>214</v>
      </c>
      <c r="G1569" s="28">
        <v>805710.0</v>
      </c>
      <c r="H1569" s="28">
        <v>1070.0</v>
      </c>
      <c r="I1569" s="28">
        <v>376.0</v>
      </c>
      <c r="J1569" s="28">
        <v>721.0</v>
      </c>
      <c r="K1569" s="25" t="s">
        <v>28</v>
      </c>
      <c r="L1569" s="26">
        <v>4.0</v>
      </c>
      <c r="M1569" s="26">
        <v>2.0</v>
      </c>
      <c r="N1569" s="26">
        <v>1.0</v>
      </c>
      <c r="O1569" s="30"/>
      <c r="P1569" s="26">
        <v>753.0</v>
      </c>
      <c r="Q1569" s="35">
        <v>227.0</v>
      </c>
      <c r="R1569" s="32">
        <v>45863.0</v>
      </c>
      <c r="S1569" s="32">
        <v>45636.0</v>
      </c>
      <c r="T1569" s="29"/>
      <c r="U1569" s="33"/>
      <c r="V1569" s="1"/>
    </row>
    <row r="1570" ht="24.0" customHeight="1">
      <c r="A1570" s="1"/>
      <c r="B1570" s="24" t="str">
        <f>HYPERLINK("https://www.compass.com/listing/209-20-18th-avenue-unit-6c-queens-ny-11360/1779231615044848833/view?agent_id=610d3f3370540700019b0833","209-20 18th Avenue, Unit 6C")</f>
        <v>209-20 18th Avenue, Unit 6C</v>
      </c>
      <c r="C1570" s="25" t="s">
        <v>22</v>
      </c>
      <c r="D1570" s="26" t="s">
        <v>23</v>
      </c>
      <c r="E1570" s="27" t="str">
        <f>HYPERLINK("https://www.compass.com/building/209-20-18th-ave-queens-ny-11360/293532420978877957/","209-20 18th Ave")</f>
        <v>209-20 18th Ave</v>
      </c>
      <c r="F1570" s="25" t="s">
        <v>79</v>
      </c>
      <c r="G1570" s="28">
        <v>345000.0</v>
      </c>
      <c r="H1570" s="28">
        <v>314.0</v>
      </c>
      <c r="I1570" s="28">
        <v>1713.0</v>
      </c>
      <c r="J1570" s="29"/>
      <c r="K1570" s="25" t="s">
        <v>25</v>
      </c>
      <c r="L1570" s="26">
        <v>5.0</v>
      </c>
      <c r="M1570" s="26">
        <v>2.0</v>
      </c>
      <c r="N1570" s="26">
        <v>1.0</v>
      </c>
      <c r="O1570" s="30"/>
      <c r="P1570" s="34">
        <v>1100.0</v>
      </c>
      <c r="Q1570" s="35">
        <v>162.0</v>
      </c>
      <c r="R1570" s="32">
        <v>45814.0</v>
      </c>
      <c r="S1570" s="32">
        <v>45701.0</v>
      </c>
      <c r="T1570" s="29"/>
      <c r="U1570" s="33"/>
      <c r="V1570" s="1"/>
    </row>
    <row r="1571" ht="24.0" customHeight="1">
      <c r="A1571" s="1"/>
      <c r="B1571" s="24" t="str">
        <f>HYPERLINK("https://www.compass.com/listing/87-46-chelsea-street-unit-4c-queens-ny-11432/1731197531847325081/view?agent_id=610d3f3370540700019b0833","87-46 Chelsea Street, Unit 4C")</f>
        <v>87-46 Chelsea Street, Unit 4C</v>
      </c>
      <c r="C1571" s="25" t="s">
        <v>22</v>
      </c>
      <c r="D1571" s="26" t="s">
        <v>23</v>
      </c>
      <c r="E1571" s="27" t="str">
        <f>HYPERLINK("https://www.compass.com/building/87-46-chelsea-st-queens-ny-11432/293532491409526101/","87-46 Chelsea St")</f>
        <v>87-46 Chelsea St</v>
      </c>
      <c r="F1571" s="25" t="s">
        <v>328</v>
      </c>
      <c r="G1571" s="28">
        <v>289000.0</v>
      </c>
      <c r="H1571" s="28">
        <v>340.0</v>
      </c>
      <c r="I1571" s="28">
        <v>1150.0</v>
      </c>
      <c r="J1571" s="29"/>
      <c r="K1571" s="25" t="s">
        <v>25</v>
      </c>
      <c r="L1571" s="26">
        <v>5.0</v>
      </c>
      <c r="M1571" s="26">
        <v>2.0</v>
      </c>
      <c r="N1571" s="26">
        <v>1.0</v>
      </c>
      <c r="O1571" s="30"/>
      <c r="P1571" s="26">
        <v>850.0</v>
      </c>
      <c r="Q1571" s="35">
        <v>209.0</v>
      </c>
      <c r="R1571" s="32">
        <v>45807.0</v>
      </c>
      <c r="S1571" s="32">
        <v>45642.0</v>
      </c>
      <c r="T1571" s="29"/>
      <c r="U1571" s="33"/>
      <c r="V1571" s="1"/>
    </row>
    <row r="1572" ht="24.0" customHeight="1">
      <c r="A1572" s="1"/>
      <c r="B1572" s="24" t="str">
        <f>HYPERLINK("https://www.compass.com/listing/102-30-66th-road-unit-11h-queens-ny-11375/1723224035180790593/view?agent_id=610d3f3370540700019b0833","102-30 66th Road, Unit 11H")</f>
        <v>102-30 66th Road, Unit 11H</v>
      </c>
      <c r="C1572" s="25" t="s">
        <v>22</v>
      </c>
      <c r="D1572" s="26" t="s">
        <v>23</v>
      </c>
      <c r="E1572" s="27" t="str">
        <f>HYPERLINK("https://www.compass.com/building/birchwood-towers-queens-ny/307447536440610389/","Birchwood Towers")</f>
        <v>Birchwood Towers</v>
      </c>
      <c r="F1572" s="25" t="s">
        <v>229</v>
      </c>
      <c r="G1572" s="28">
        <v>499000.0</v>
      </c>
      <c r="H1572" s="29"/>
      <c r="I1572" s="28">
        <v>1360.0</v>
      </c>
      <c r="J1572" s="29"/>
      <c r="K1572" s="25" t="s">
        <v>25</v>
      </c>
      <c r="L1572" s="26">
        <v>5.0</v>
      </c>
      <c r="M1572" s="26">
        <v>2.0</v>
      </c>
      <c r="N1572" s="26">
        <v>1.0</v>
      </c>
      <c r="O1572" s="30"/>
      <c r="P1572" s="30"/>
      <c r="Q1572" s="35">
        <v>234.0</v>
      </c>
      <c r="R1572" s="32">
        <v>45849.0</v>
      </c>
      <c r="S1572" s="32">
        <v>45629.0</v>
      </c>
      <c r="T1572" s="29"/>
      <c r="U1572" s="33"/>
      <c r="V1572" s="1"/>
    </row>
    <row r="1573" ht="24.0" customHeight="1">
      <c r="A1573" s="1"/>
      <c r="B1573" s="24" t="str">
        <f>HYPERLINK("https://www.compass.com/listing/46-12-161-street-unit-3b-queens-ny-11358/1851443268570846849/view?agent_id=610d3f3370540700019b0833","46-12 161 Street, Unit 3B")</f>
        <v>46-12 161 Street, Unit 3B</v>
      </c>
      <c r="C1573" s="25" t="s">
        <v>22</v>
      </c>
      <c r="D1573" s="26" t="s">
        <v>23</v>
      </c>
      <c r="E1573" s="27" t="str">
        <f>HYPERLINK("https://www.compass.com/building/46-12-161-st-queens-ny-11358/293528040347108245/","46-12 161 St")</f>
        <v>46-12 161 St</v>
      </c>
      <c r="F1573" s="25" t="s">
        <v>185</v>
      </c>
      <c r="G1573" s="28">
        <v>595000.0</v>
      </c>
      <c r="H1573" s="28">
        <v>915.0</v>
      </c>
      <c r="I1573" s="28">
        <v>596.0</v>
      </c>
      <c r="J1573" s="28">
        <v>3300.0</v>
      </c>
      <c r="K1573" s="25" t="s">
        <v>28</v>
      </c>
      <c r="L1573" s="26">
        <v>4.0</v>
      </c>
      <c r="M1573" s="26">
        <v>2.0</v>
      </c>
      <c r="N1573" s="26">
        <v>1.0</v>
      </c>
      <c r="O1573" s="26">
        <v>0.0</v>
      </c>
      <c r="P1573" s="26">
        <v>650.0</v>
      </c>
      <c r="Q1573" s="35">
        <v>57.0</v>
      </c>
      <c r="R1573" s="32">
        <v>45858.0</v>
      </c>
      <c r="S1573" s="32">
        <v>45806.0</v>
      </c>
      <c r="T1573" s="29"/>
      <c r="U1573" s="33"/>
      <c r="V1573" s="1"/>
    </row>
    <row r="1574" ht="24.0" customHeight="1">
      <c r="A1574" s="1"/>
      <c r="B1574" s="24" t="str">
        <f>HYPERLINK("https://www.compass.com/listing/141-15-28th-avenue-unit-5e-queens-ny-11354/1793188345432556641/view?agent_id=610d3f3370540700019b0833","141-15 28th Avenue, Unit 5E")</f>
        <v>141-15 28th Avenue, Unit 5E</v>
      </c>
      <c r="C1574" s="25" t="s">
        <v>22</v>
      </c>
      <c r="D1574" s="26" t="s">
        <v>23</v>
      </c>
      <c r="E1574" s="27" t="str">
        <f>HYPERLINK("https://www.compass.com/building/141-15-28th-ave-queens-ny-11354/307434173538997557/","141-15 28th Ave")</f>
        <v>141-15 28th Ave</v>
      </c>
      <c r="F1574" s="25" t="s">
        <v>185</v>
      </c>
      <c r="G1574" s="28">
        <v>398000.0</v>
      </c>
      <c r="H1574" s="28">
        <v>398.0</v>
      </c>
      <c r="I1574" s="28">
        <v>1244.0</v>
      </c>
      <c r="J1574" s="29"/>
      <c r="K1574" s="25" t="s">
        <v>25</v>
      </c>
      <c r="L1574" s="26">
        <v>5.0</v>
      </c>
      <c r="M1574" s="26">
        <v>2.0</v>
      </c>
      <c r="N1574" s="26">
        <v>1.0</v>
      </c>
      <c r="O1574" s="30"/>
      <c r="P1574" s="34">
        <v>1000.0</v>
      </c>
      <c r="Q1574" s="35">
        <v>138.0</v>
      </c>
      <c r="R1574" s="32">
        <v>45758.0</v>
      </c>
      <c r="S1574" s="32">
        <v>45725.0</v>
      </c>
      <c r="T1574" s="29"/>
      <c r="U1574" s="33"/>
      <c r="V1574" s="1"/>
    </row>
    <row r="1575" ht="24.0" customHeight="1">
      <c r="A1575" s="1"/>
      <c r="B1575" s="24" t="str">
        <f>HYPERLINK("https://www.compass.com/listing/2271-knapp-street-unit-2e-brooklyn-ny-11229/1600923426083663897/view?agent_id=610d3f3370540700019b0833","2271 Knapp Street, Unit 2E")</f>
        <v>2271 Knapp Street, Unit 2E</v>
      </c>
      <c r="C1575" s="25" t="s">
        <v>22</v>
      </c>
      <c r="D1575" s="26" t="s">
        <v>23</v>
      </c>
      <c r="E1575" s="27" t="str">
        <f>HYPERLINK("https://www.compass.com/building/2271-knapp-st-brooklyn-ny-11229/307447691470180373/","2271 Knapp St")</f>
        <v>2271 Knapp St</v>
      </c>
      <c r="F1575" s="25" t="s">
        <v>70</v>
      </c>
      <c r="G1575" s="28">
        <v>229000.0</v>
      </c>
      <c r="H1575" s="28">
        <v>258.0</v>
      </c>
      <c r="I1575" s="28">
        <v>1139.0</v>
      </c>
      <c r="J1575" s="29"/>
      <c r="K1575" s="25" t="s">
        <v>25</v>
      </c>
      <c r="L1575" s="26">
        <v>4.0</v>
      </c>
      <c r="M1575" s="26">
        <v>2.0</v>
      </c>
      <c r="N1575" s="26">
        <v>1.0</v>
      </c>
      <c r="O1575" s="30"/>
      <c r="P1575" s="26">
        <v>886.0</v>
      </c>
      <c r="Q1575" s="35">
        <v>403.0</v>
      </c>
      <c r="R1575" s="32">
        <v>45830.0</v>
      </c>
      <c r="S1575" s="32">
        <v>45460.0</v>
      </c>
      <c r="T1575" s="29"/>
      <c r="U1575" s="33"/>
      <c r="V1575" s="1"/>
    </row>
    <row r="1576" ht="24.0" customHeight="1">
      <c r="A1576" s="1"/>
      <c r="B1576" s="24" t="str">
        <f>HYPERLINK("https://www.compass.com/listing/38-20-parsons-boulevard-unit-225-queens-ny-11354/1840642193017511425/view?agent_id=610d3f3370540700019b0833","38-20 Parsons Boulevard, Unit 225")</f>
        <v>38-20 Parsons Boulevard, Unit 225</v>
      </c>
      <c r="C1576" s="25" t="s">
        <v>22</v>
      </c>
      <c r="D1576" s="26" t="s">
        <v>23</v>
      </c>
      <c r="E1576" s="27" t="str">
        <f>HYPERLINK("https://www.compass.com/building/38-20-parsons-blvd-queens-ny-11354/293535411710478709/","38-20 Parsons Blvd")</f>
        <v>38-20 Parsons Blvd</v>
      </c>
      <c r="F1576" s="25" t="s">
        <v>221</v>
      </c>
      <c r="G1576" s="28">
        <v>946350.0</v>
      </c>
      <c r="H1576" s="28">
        <v>1277.0</v>
      </c>
      <c r="I1576" s="28">
        <v>966.0</v>
      </c>
      <c r="J1576" s="28">
        <v>7726.0</v>
      </c>
      <c r="K1576" s="25" t="s">
        <v>28</v>
      </c>
      <c r="L1576" s="26">
        <v>4.0</v>
      </c>
      <c r="M1576" s="26">
        <v>2.0</v>
      </c>
      <c r="N1576" s="26">
        <v>1.0</v>
      </c>
      <c r="O1576" s="30"/>
      <c r="P1576" s="26">
        <v>741.0</v>
      </c>
      <c r="Q1576" s="35">
        <v>71.0</v>
      </c>
      <c r="R1576" s="32">
        <v>45862.0</v>
      </c>
      <c r="S1576" s="32">
        <v>45791.0</v>
      </c>
      <c r="T1576" s="29"/>
      <c r="U1576" s="33"/>
      <c r="V1576" s="1"/>
    </row>
    <row r="1577" ht="24.0" customHeight="1">
      <c r="A1577" s="1"/>
      <c r="B1577" s="24" t="str">
        <f>HYPERLINK("https://www.compass.com/listing/87-30-204th-street-unit-b48-queens-ny-11423/1818534218832160033/view?agent_id=610d3f3370540700019b0833","87-30 204th Street, Unit B48")</f>
        <v>87-30 204th Street, Unit B48</v>
      </c>
      <c r="C1577" s="25" t="s">
        <v>22</v>
      </c>
      <c r="D1577" s="26" t="s">
        <v>23</v>
      </c>
      <c r="E1577" s="27" t="str">
        <f>HYPERLINK("https://www.compass.com/building/87-30-204th-st-queens-ny-11423/307439431812137301/","87-30 204th St")</f>
        <v>87-30 204th St</v>
      </c>
      <c r="F1577" s="25" t="s">
        <v>99</v>
      </c>
      <c r="G1577" s="28">
        <v>289000.0</v>
      </c>
      <c r="H1577" s="28">
        <v>321.0</v>
      </c>
      <c r="I1577" s="28">
        <v>1100.0</v>
      </c>
      <c r="J1577" s="29"/>
      <c r="K1577" s="25" t="s">
        <v>25</v>
      </c>
      <c r="L1577" s="26">
        <v>5.0</v>
      </c>
      <c r="M1577" s="26">
        <v>2.0</v>
      </c>
      <c r="N1577" s="26">
        <v>1.0</v>
      </c>
      <c r="O1577" s="30"/>
      <c r="P1577" s="26">
        <v>900.0</v>
      </c>
      <c r="Q1577" s="35">
        <v>102.0</v>
      </c>
      <c r="R1577" s="32">
        <v>45861.0</v>
      </c>
      <c r="S1577" s="32">
        <v>45760.0</v>
      </c>
      <c r="T1577" s="29"/>
      <c r="U1577" s="33"/>
      <c r="V1577" s="1"/>
    </row>
    <row r="1578" ht="24.0" customHeight="1">
      <c r="A1578" s="1"/>
      <c r="B1578" s="24" t="str">
        <f>HYPERLINK("https://www.compass.com/listing/134-39-blossom-avenue-unit-1e-queens-ny-11355/1854574556690070609/view?agent_id=610d3f3370540700019b0833","134-39 Blossom Avenue, Unit 1E")</f>
        <v>134-39 Blossom Avenue, Unit 1E</v>
      </c>
      <c r="C1578" s="25" t="s">
        <v>22</v>
      </c>
      <c r="D1578" s="26" t="s">
        <v>23</v>
      </c>
      <c r="E1578" s="27" t="str">
        <f>HYPERLINK("https://www.compass.com/building/134-39-blossom-ave-queens-ny-11355/307454871993015909/","134-39 Blossom Ave")</f>
        <v>134-39 Blossom Ave</v>
      </c>
      <c r="F1578" s="25" t="s">
        <v>185</v>
      </c>
      <c r="G1578" s="28">
        <v>495000.0</v>
      </c>
      <c r="H1578" s="28">
        <v>495.0</v>
      </c>
      <c r="I1578" s="28">
        <v>790.0</v>
      </c>
      <c r="J1578" s="29"/>
      <c r="K1578" s="25" t="s">
        <v>25</v>
      </c>
      <c r="L1578" s="26">
        <v>4.0</v>
      </c>
      <c r="M1578" s="26">
        <v>2.0</v>
      </c>
      <c r="N1578" s="26">
        <v>1.0</v>
      </c>
      <c r="O1578" s="30"/>
      <c r="P1578" s="34">
        <v>1000.0</v>
      </c>
      <c r="Q1578" s="35">
        <v>52.0</v>
      </c>
      <c r="R1578" s="32">
        <v>45862.0</v>
      </c>
      <c r="S1578" s="32">
        <v>45810.0</v>
      </c>
      <c r="T1578" s="29"/>
      <c r="U1578" s="33"/>
      <c r="V1578" s="1"/>
    </row>
    <row r="1579" ht="24.0" customHeight="1">
      <c r="A1579" s="1"/>
      <c r="B1579" s="24" t="str">
        <f>HYPERLINK("https://www.compass.com/listing/97-40-62nd-drive-unit-9k-queens-ny-11374/1834290073884290769/view?agent_id=610d3f3370540700019b0833","97-40 62nd Drive, Unit 9K")</f>
        <v>97-40 62nd Drive, Unit 9K</v>
      </c>
      <c r="C1579" s="25" t="s">
        <v>22</v>
      </c>
      <c r="D1579" s="26" t="s">
        <v>23</v>
      </c>
      <c r="E1579" s="27" t="str">
        <f>HYPERLINK("https://www.compass.com/building/97-40-62nd-dr-queens-ny-11374/293529530583306245/","97-40 62nd Dr")</f>
        <v>97-40 62nd Dr</v>
      </c>
      <c r="F1579" s="25" t="s">
        <v>166</v>
      </c>
      <c r="G1579" s="28">
        <v>448000.0</v>
      </c>
      <c r="H1579" s="28">
        <v>467.0</v>
      </c>
      <c r="I1579" s="28">
        <v>2210.0</v>
      </c>
      <c r="J1579" s="29"/>
      <c r="K1579" s="25" t="s">
        <v>25</v>
      </c>
      <c r="L1579" s="26">
        <v>4.0</v>
      </c>
      <c r="M1579" s="26">
        <v>2.0</v>
      </c>
      <c r="N1579" s="26">
        <v>1.0</v>
      </c>
      <c r="O1579" s="26">
        <v>0.0</v>
      </c>
      <c r="P1579" s="26">
        <v>960.0</v>
      </c>
      <c r="Q1579" s="35">
        <v>80.0</v>
      </c>
      <c r="R1579" s="32">
        <v>45827.0</v>
      </c>
      <c r="S1579" s="32">
        <v>45782.0</v>
      </c>
      <c r="T1579" s="29"/>
      <c r="U1579" s="33"/>
      <c r="V1579" s="1"/>
    </row>
    <row r="1580" ht="24.0" customHeight="1">
      <c r="A1580" s="1"/>
      <c r="B1580" s="24" t="str">
        <f>HYPERLINK("https://www.compass.com/listing/2140-knapp-street-unit-1e-brooklyn-ny-11229/1774769191620203185/view?agent_id=610d3f3370540700019b0833","2140 Knapp Street, Unit 1E")</f>
        <v>2140 Knapp Street, Unit 1E</v>
      </c>
      <c r="C1580" s="25" t="s">
        <v>22</v>
      </c>
      <c r="D1580" s="26" t="s">
        <v>23</v>
      </c>
      <c r="E1580" s="27" t="str">
        <f>HYPERLINK("https://www.compass.com/building/2140-knapp-st-brooklyn-ny-11229/294840620388394501/","2140 Knapp St")</f>
        <v>2140 Knapp St</v>
      </c>
      <c r="F1580" s="25" t="s">
        <v>70</v>
      </c>
      <c r="G1580" s="28">
        <v>230000.0</v>
      </c>
      <c r="H1580" s="28">
        <v>256.0</v>
      </c>
      <c r="I1580" s="28">
        <v>1180.0</v>
      </c>
      <c r="J1580" s="29"/>
      <c r="K1580" s="25" t="s">
        <v>25</v>
      </c>
      <c r="L1580" s="26">
        <v>4.0</v>
      </c>
      <c r="M1580" s="26">
        <v>2.0</v>
      </c>
      <c r="N1580" s="26">
        <v>1.0</v>
      </c>
      <c r="O1580" s="30"/>
      <c r="P1580" s="26">
        <v>900.0</v>
      </c>
      <c r="Q1580" s="35">
        <v>163.0</v>
      </c>
      <c r="R1580" s="32">
        <v>45833.0</v>
      </c>
      <c r="S1580" s="32">
        <v>45700.0</v>
      </c>
      <c r="T1580" s="29"/>
      <c r="U1580" s="33"/>
      <c r="V1580" s="1"/>
    </row>
    <row r="1581" ht="24.0" customHeight="1">
      <c r="A1581" s="1"/>
      <c r="B1581" s="24" t="str">
        <f>HYPERLINK("https://www.compass.com/listing/38-20-parsons-boulevard-unit-517-queens-ny-11354/1840124281693082905/view?agent_id=610d3f3370540700019b0833","38-20 Parsons Boulevard, Unit 517")</f>
        <v>38-20 Parsons Boulevard, Unit 517</v>
      </c>
      <c r="C1581" s="25" t="s">
        <v>22</v>
      </c>
      <c r="D1581" s="26" t="s">
        <v>23</v>
      </c>
      <c r="E1581" s="27" t="str">
        <f>HYPERLINK("https://www.compass.com/building/38-20-parsons-blvd-queens-ny-11354/293535411710478709/","38-20 Parsons Blvd")</f>
        <v>38-20 Parsons Blvd</v>
      </c>
      <c r="F1581" s="25" t="s">
        <v>221</v>
      </c>
      <c r="G1581" s="28">
        <v>986580.0</v>
      </c>
      <c r="H1581" s="28">
        <v>1260.0</v>
      </c>
      <c r="I1581" s="28">
        <v>1019.0</v>
      </c>
      <c r="J1581" s="28">
        <v>8164.0</v>
      </c>
      <c r="K1581" s="25" t="s">
        <v>28</v>
      </c>
      <c r="L1581" s="26">
        <v>4.0</v>
      </c>
      <c r="M1581" s="26">
        <v>2.0</v>
      </c>
      <c r="N1581" s="26">
        <v>1.0</v>
      </c>
      <c r="O1581" s="30"/>
      <c r="P1581" s="26">
        <v>783.0</v>
      </c>
      <c r="Q1581" s="35">
        <v>72.0</v>
      </c>
      <c r="R1581" s="32">
        <v>45862.0</v>
      </c>
      <c r="S1581" s="32">
        <v>45790.0</v>
      </c>
      <c r="T1581" s="29"/>
      <c r="U1581" s="33"/>
      <c r="V1581" s="1"/>
    </row>
    <row r="1582" ht="24.0" customHeight="1">
      <c r="A1582" s="1"/>
      <c r="B1582" s="24" t="str">
        <f>HYPERLINK("https://www.compass.com/listing/2140-knapp-street-unit-4g-brooklyn-ny-11229/1732854272548958641/view?agent_id=610d3f3370540700019b0833","2140 Knapp Street, Unit 4G")</f>
        <v>2140 Knapp Street, Unit 4G</v>
      </c>
      <c r="C1582" s="25" t="s">
        <v>22</v>
      </c>
      <c r="D1582" s="26" t="s">
        <v>23</v>
      </c>
      <c r="E1582" s="27" t="str">
        <f>HYPERLINK("https://www.compass.com/building/2140-knapp-st-brooklyn-ny-11229/294840620388394501/","2140 Knapp St")</f>
        <v>2140 Knapp St</v>
      </c>
      <c r="F1582" s="25" t="s">
        <v>70</v>
      </c>
      <c r="G1582" s="28">
        <v>239000.0</v>
      </c>
      <c r="H1582" s="28">
        <v>266.0</v>
      </c>
      <c r="I1582" s="28">
        <v>1177.0</v>
      </c>
      <c r="J1582" s="29"/>
      <c r="K1582" s="25" t="s">
        <v>25</v>
      </c>
      <c r="L1582" s="26">
        <v>4.0</v>
      </c>
      <c r="M1582" s="26">
        <v>2.0</v>
      </c>
      <c r="N1582" s="26">
        <v>1.0</v>
      </c>
      <c r="O1582" s="30"/>
      <c r="P1582" s="26">
        <v>900.0</v>
      </c>
      <c r="Q1582" s="35">
        <v>221.0</v>
      </c>
      <c r="R1582" s="32">
        <v>45849.0</v>
      </c>
      <c r="S1582" s="32">
        <v>45642.0</v>
      </c>
      <c r="T1582" s="29"/>
      <c r="U1582" s="33"/>
      <c r="V1582" s="1"/>
    </row>
    <row r="1583" ht="24.0" customHeight="1">
      <c r="A1583" s="1"/>
      <c r="B1583" s="24" t="str">
        <f>HYPERLINK("https://www.compass.com/listing/99-60-63rd-road-unit-14e-queens-ny-11374/1823621337897429089/view?agent_id=610d3f3370540700019b0833","99-60 63rd Road, Unit 14E")</f>
        <v>99-60 63rd Road, Unit 14E</v>
      </c>
      <c r="C1583" s="25" t="s">
        <v>22</v>
      </c>
      <c r="D1583" s="26" t="s">
        <v>23</v>
      </c>
      <c r="E1583" s="27" t="str">
        <f>HYPERLINK("https://www.compass.com/building/99-60-63rd-rd-queens-ny-11374/294843074106665285/","99-60 63rd Rd")</f>
        <v>99-60 63rd Rd</v>
      </c>
      <c r="F1583" s="25" t="s">
        <v>166</v>
      </c>
      <c r="G1583" s="28">
        <v>369999.0</v>
      </c>
      <c r="H1583" s="28">
        <v>462.0</v>
      </c>
      <c r="I1583" s="28">
        <v>1259.0</v>
      </c>
      <c r="J1583" s="29"/>
      <c r="K1583" s="25" t="s">
        <v>25</v>
      </c>
      <c r="L1583" s="26">
        <v>4.0</v>
      </c>
      <c r="M1583" s="26">
        <v>2.0</v>
      </c>
      <c r="N1583" s="26">
        <v>1.0</v>
      </c>
      <c r="O1583" s="30"/>
      <c r="P1583" s="26">
        <v>800.0</v>
      </c>
      <c r="Q1583" s="35">
        <v>95.0</v>
      </c>
      <c r="R1583" s="32">
        <v>45862.0</v>
      </c>
      <c r="S1583" s="32">
        <v>45768.0</v>
      </c>
      <c r="T1583" s="29"/>
      <c r="U1583" s="33"/>
      <c r="V1583" s="1"/>
    </row>
    <row r="1584" ht="24.0" customHeight="1">
      <c r="A1584" s="1"/>
      <c r="B1584" s="24" t="str">
        <f>HYPERLINK("https://www.compass.com/listing/44-21-macnish-street-unit-6c-queens-ny-11373/1840153579812616481/view?agent_id=610d3f3370540700019b0833","44-21 Macnish Street, Unit 6C")</f>
        <v>44-21 Macnish Street, Unit 6C</v>
      </c>
      <c r="C1584" s="25" t="s">
        <v>22</v>
      </c>
      <c r="D1584" s="26" t="s">
        <v>23</v>
      </c>
      <c r="E1584" s="27" t="str">
        <f>HYPERLINK("https://www.compass.com/building/44-21-macnish-st-queens-ny-11373/307448424777436821/","44-21 Macnish St")</f>
        <v>44-21 Macnish St</v>
      </c>
      <c r="F1584" s="25" t="s">
        <v>151</v>
      </c>
      <c r="G1584" s="28">
        <v>460000.0</v>
      </c>
      <c r="H1584" s="28">
        <v>460.0</v>
      </c>
      <c r="I1584" s="28">
        <v>2160.0</v>
      </c>
      <c r="J1584" s="29"/>
      <c r="K1584" s="25" t="s">
        <v>25</v>
      </c>
      <c r="L1584" s="26">
        <v>5.0</v>
      </c>
      <c r="M1584" s="26">
        <v>2.0</v>
      </c>
      <c r="N1584" s="26">
        <v>1.0</v>
      </c>
      <c r="O1584" s="30"/>
      <c r="P1584" s="34">
        <v>1000.0</v>
      </c>
      <c r="Q1584" s="35">
        <v>73.0</v>
      </c>
      <c r="R1584" s="32">
        <v>45850.0</v>
      </c>
      <c r="S1584" s="32">
        <v>45790.0</v>
      </c>
      <c r="T1584" s="29"/>
      <c r="U1584" s="33"/>
      <c r="V1584" s="1"/>
    </row>
    <row r="1585" ht="24.0" customHeight="1">
      <c r="A1585" s="1"/>
      <c r="B1585" s="24" t="str">
        <f>HYPERLINK("https://www.compass.com/listing/56-33-utopia-parkway-unit-b-queens-ny-11365/1750246027435576665/view?agent_id=610d3f3370540700019b0833","56-33 Utopia Parkway, Unit B")</f>
        <v>56-33 Utopia Parkway, Unit B</v>
      </c>
      <c r="C1585" s="25" t="s">
        <v>22</v>
      </c>
      <c r="D1585" s="26" t="s">
        <v>23</v>
      </c>
      <c r="E1585" s="27" t="str">
        <f>HYPERLINK("https://www.compass.com/building/56-33-utopia-pkwy-queens-ny-11365/307432417065114901/","56-33 Utopia Pkwy")</f>
        <v>56-33 Utopia Pkwy</v>
      </c>
      <c r="F1585" s="25" t="s">
        <v>175</v>
      </c>
      <c r="G1585" s="28">
        <v>709000.0</v>
      </c>
      <c r="H1585" s="28">
        <v>885.0</v>
      </c>
      <c r="I1585" s="28">
        <v>830.0</v>
      </c>
      <c r="J1585" s="28">
        <v>2796.0</v>
      </c>
      <c r="K1585" s="25" t="s">
        <v>28</v>
      </c>
      <c r="L1585" s="26">
        <v>5.0</v>
      </c>
      <c r="M1585" s="26">
        <v>2.0</v>
      </c>
      <c r="N1585" s="26">
        <v>1.0</v>
      </c>
      <c r="O1585" s="30"/>
      <c r="P1585" s="26">
        <v>801.0</v>
      </c>
      <c r="Q1585" s="35">
        <v>196.0</v>
      </c>
      <c r="R1585" s="32">
        <v>45666.0</v>
      </c>
      <c r="S1585" s="32">
        <v>45666.0</v>
      </c>
      <c r="T1585" s="29"/>
      <c r="U1585" s="33"/>
      <c r="V1585" s="1"/>
    </row>
    <row r="1586" ht="24.0" customHeight="1">
      <c r="A1586" s="1"/>
      <c r="B1586" s="24" t="str">
        <f>HYPERLINK("https://www.compass.com/listing/83-73-woodhaven-boulevard-unit-2h-queens-ny-11421/1611143154936063553/view?agent_id=610d3f3370540700019b0833","83-73 Woodhaven Boulevard, Unit 2H")</f>
        <v>83-73 Woodhaven Boulevard, Unit 2H</v>
      </c>
      <c r="C1586" s="25" t="s">
        <v>22</v>
      </c>
      <c r="D1586" s="26" t="s">
        <v>23</v>
      </c>
      <c r="E1586" s="26" t="s">
        <v>329</v>
      </c>
      <c r="F1586" s="25" t="s">
        <v>168</v>
      </c>
      <c r="G1586" s="28">
        <v>190000.0</v>
      </c>
      <c r="H1586" s="29"/>
      <c r="I1586" s="28">
        <v>598.0</v>
      </c>
      <c r="J1586" s="28">
        <v>0.0</v>
      </c>
      <c r="K1586" s="25" t="s">
        <v>25</v>
      </c>
      <c r="L1586" s="26">
        <v>4.0</v>
      </c>
      <c r="M1586" s="26">
        <v>2.0</v>
      </c>
      <c r="N1586" s="26">
        <v>1.0</v>
      </c>
      <c r="O1586" s="30"/>
      <c r="P1586" s="26">
        <v>0.0</v>
      </c>
      <c r="Q1586" s="35">
        <v>388.0</v>
      </c>
      <c r="R1586" s="32">
        <v>45733.0</v>
      </c>
      <c r="S1586" s="32">
        <v>45474.0</v>
      </c>
      <c r="T1586" s="29"/>
      <c r="U1586" s="33"/>
      <c r="V1586" s="1"/>
    </row>
    <row r="1587" ht="24.0" customHeight="1">
      <c r="A1587" s="1"/>
      <c r="B1587" s="24" t="str">
        <f>HYPERLINK("https://www.compass.com/listing/83-55-woodhaven-boulevard-unit-3f-queens-ny-11421/1763994777582290297/view?agent_id=610d3f3370540700019b0833","83-55 Woodhaven Boulevard, Unit 3F")</f>
        <v>83-55 Woodhaven Boulevard, Unit 3F</v>
      </c>
      <c r="C1587" s="25" t="s">
        <v>22</v>
      </c>
      <c r="D1587" s="26" t="s">
        <v>23</v>
      </c>
      <c r="E1587" s="27" t="str">
        <f>HYPERLINK("https://www.compass.com/building/83-55-woodhaven-blvd-queens-ny-11421/293530851218664213/","83-55 Woodhaven Blvd")</f>
        <v>83-55 Woodhaven Blvd</v>
      </c>
      <c r="F1587" s="25" t="s">
        <v>168</v>
      </c>
      <c r="G1587" s="28">
        <v>247500.0</v>
      </c>
      <c r="H1587" s="28">
        <v>206.0</v>
      </c>
      <c r="I1587" s="28">
        <v>730.0</v>
      </c>
      <c r="J1587" s="29"/>
      <c r="K1587" s="25" t="s">
        <v>25</v>
      </c>
      <c r="L1587" s="26">
        <v>5.0</v>
      </c>
      <c r="M1587" s="26">
        <v>2.0</v>
      </c>
      <c r="N1587" s="26">
        <v>1.0</v>
      </c>
      <c r="O1587" s="30"/>
      <c r="P1587" s="34">
        <v>1200.0</v>
      </c>
      <c r="Q1587" s="35">
        <v>132.0</v>
      </c>
      <c r="R1587" s="32">
        <v>45777.0</v>
      </c>
      <c r="S1587" s="32">
        <v>45685.0</v>
      </c>
      <c r="T1587" s="29"/>
      <c r="U1587" s="33"/>
      <c r="V1587" s="1"/>
    </row>
    <row r="1588" ht="24.0" customHeight="1">
      <c r="A1588" s="1"/>
      <c r="B1588" s="24" t="str">
        <f>HYPERLINK("https://www.compass.com/listing/2140-knapp-street-unit-3e-brooklyn-ny-11229/1617553614127499777/view?agent_id=610d3f3370540700019b0833","2140 Knapp Street, Unit 3E")</f>
        <v>2140 Knapp Street, Unit 3E</v>
      </c>
      <c r="C1588" s="25" t="s">
        <v>22</v>
      </c>
      <c r="D1588" s="26" t="s">
        <v>23</v>
      </c>
      <c r="E1588" s="27" t="str">
        <f>HYPERLINK("https://www.compass.com/building/2140-knapp-st-brooklyn-ny-11229/294840620388394501/","2140 Knapp St")</f>
        <v>2140 Knapp St</v>
      </c>
      <c r="F1588" s="25" t="s">
        <v>70</v>
      </c>
      <c r="G1588" s="28">
        <v>209000.0</v>
      </c>
      <c r="H1588" s="28">
        <v>220.0</v>
      </c>
      <c r="I1588" s="28">
        <v>1095.0</v>
      </c>
      <c r="J1588" s="29"/>
      <c r="K1588" s="25" t="s">
        <v>25</v>
      </c>
      <c r="L1588" s="26">
        <v>4.0</v>
      </c>
      <c r="M1588" s="26">
        <v>2.0</v>
      </c>
      <c r="N1588" s="26">
        <v>1.0</v>
      </c>
      <c r="O1588" s="30"/>
      <c r="P1588" s="26">
        <v>950.0</v>
      </c>
      <c r="Q1588" s="35">
        <v>380.0</v>
      </c>
      <c r="R1588" s="32">
        <v>45846.0</v>
      </c>
      <c r="S1588" s="32">
        <v>45483.0</v>
      </c>
      <c r="T1588" s="29"/>
      <c r="U1588" s="33"/>
      <c r="V1588" s="1"/>
    </row>
    <row r="1589" ht="24.0" customHeight="1">
      <c r="A1589" s="1"/>
      <c r="B1589" s="24" t="str">
        <f>HYPERLINK("https://www.compass.com/listing/2555-batchelder-street-unit-3a-brooklyn-ny-11235/1801005099751990529/view?agent_id=610d3f3370540700019b0833","2555 Batchelder Street, Unit 3A")</f>
        <v>2555 Batchelder Street, Unit 3A</v>
      </c>
      <c r="C1589" s="25" t="s">
        <v>22</v>
      </c>
      <c r="D1589" s="26" t="s">
        <v>23</v>
      </c>
      <c r="E1589" s="27" t="str">
        <f>HYPERLINK("https://www.compass.com/building/2555-batchelder-st-brooklyn-ny-11235/293534245987621109/","2555 Batchelder St")</f>
        <v>2555 Batchelder St</v>
      </c>
      <c r="F1589" s="25" t="s">
        <v>70</v>
      </c>
      <c r="G1589" s="28">
        <v>269000.0</v>
      </c>
      <c r="H1589" s="28">
        <v>245.0</v>
      </c>
      <c r="I1589" s="28">
        <v>988.0</v>
      </c>
      <c r="J1589" s="29"/>
      <c r="K1589" s="25" t="s">
        <v>25</v>
      </c>
      <c r="L1589" s="26">
        <v>4.0</v>
      </c>
      <c r="M1589" s="26">
        <v>2.0</v>
      </c>
      <c r="N1589" s="26">
        <v>1.0</v>
      </c>
      <c r="O1589" s="30"/>
      <c r="P1589" s="34">
        <v>1100.0</v>
      </c>
      <c r="Q1589" s="35">
        <v>121.0</v>
      </c>
      <c r="R1589" s="32">
        <v>45861.0</v>
      </c>
      <c r="S1589" s="32">
        <v>45735.0</v>
      </c>
      <c r="T1589" s="29"/>
      <c r="U1589" s="33"/>
      <c r="V1589" s="1"/>
    </row>
    <row r="1590" ht="24.0" customHeight="1">
      <c r="A1590" s="1"/>
      <c r="B1590" s="24" t="str">
        <f>HYPERLINK("https://www.compass.com/listing/166-30-17th-road-unit-2-queens-ny-11357/1840886117203621673/view?agent_id=610d3f3370540700019b0833","166-30 17th Road, Unit 2")</f>
        <v>166-30 17th Road, Unit 2</v>
      </c>
      <c r="C1590" s="25" t="s">
        <v>22</v>
      </c>
      <c r="D1590" s="26" t="s">
        <v>23</v>
      </c>
      <c r="E1590" s="26" t="s">
        <v>330</v>
      </c>
      <c r="F1590" s="25" t="s">
        <v>164</v>
      </c>
      <c r="G1590" s="28">
        <v>311700.0</v>
      </c>
      <c r="H1590" s="29"/>
      <c r="I1590" s="28">
        <v>1264.0</v>
      </c>
      <c r="J1590" s="28">
        <v>0.0</v>
      </c>
      <c r="K1590" s="25" t="s">
        <v>25</v>
      </c>
      <c r="L1590" s="26">
        <v>4.0</v>
      </c>
      <c r="M1590" s="26">
        <v>2.0</v>
      </c>
      <c r="N1590" s="26">
        <v>1.0</v>
      </c>
      <c r="O1590" s="26">
        <v>0.0</v>
      </c>
      <c r="P1590" s="30"/>
      <c r="Q1590" s="35">
        <v>72.0</v>
      </c>
      <c r="R1590" s="32">
        <v>45861.0</v>
      </c>
      <c r="S1590" s="32">
        <v>45791.0</v>
      </c>
      <c r="T1590" s="29"/>
      <c r="U1590" s="33"/>
      <c r="V1590" s="1"/>
    </row>
    <row r="1591" ht="24.0" customHeight="1">
      <c r="A1591" s="1"/>
      <c r="B1591" s="24" t="str">
        <f>HYPERLINK("https://www.compass.com/listing/83-15-98th-street-unit-3c-queens-ny-11421/1779957433287690697/view?agent_id=610d3f3370540700019b0833","83-15 98th Street, Unit 3C")</f>
        <v>83-15 98th Street, Unit 3C</v>
      </c>
      <c r="C1591" s="25" t="s">
        <v>22</v>
      </c>
      <c r="D1591" s="26" t="s">
        <v>23</v>
      </c>
      <c r="E1591" s="27" t="str">
        <f>HYPERLINK("https://www.compass.com/building/83-15-98th-st-queens-ny-11421/307435621094075141/","83-15 98th St")</f>
        <v>83-15 98th St</v>
      </c>
      <c r="F1591" s="25" t="s">
        <v>168</v>
      </c>
      <c r="G1591" s="28">
        <v>288000.0</v>
      </c>
      <c r="H1591" s="28">
        <v>320.0</v>
      </c>
      <c r="I1591" s="28">
        <v>1561.0</v>
      </c>
      <c r="J1591" s="29"/>
      <c r="K1591" s="25" t="s">
        <v>25</v>
      </c>
      <c r="L1591" s="26">
        <v>5.0</v>
      </c>
      <c r="M1591" s="26">
        <v>2.0</v>
      </c>
      <c r="N1591" s="26">
        <v>1.0</v>
      </c>
      <c r="O1591" s="30"/>
      <c r="P1591" s="26">
        <v>900.0</v>
      </c>
      <c r="Q1591" s="35">
        <v>87.0</v>
      </c>
      <c r="R1591" s="32">
        <v>45862.0</v>
      </c>
      <c r="S1591" s="32">
        <v>45707.0</v>
      </c>
      <c r="T1591" s="29"/>
      <c r="U1591" s="33"/>
      <c r="V1591" s="1"/>
    </row>
    <row r="1592" ht="24.0" customHeight="1">
      <c r="A1592" s="1"/>
      <c r="B1592" s="24" t="str">
        <f>HYPERLINK("https://www.compass.com/listing/116-17-grosvenor-lane-unit-1c-queens-ny-11418/1747985016762384041/view?agent_id=610d3f3370540700019b0833","116-17 Grosvenor Lane, Unit 1C")</f>
        <v>116-17 Grosvenor Lane, Unit 1C</v>
      </c>
      <c r="C1592" s="25" t="s">
        <v>22</v>
      </c>
      <c r="D1592" s="26" t="s">
        <v>23</v>
      </c>
      <c r="E1592" s="27" t="str">
        <f>HYPERLINK("https://www.compass.com/building/116-17-grosvenor-ln-queens-ny-11418/293535668485873365/","116-17 Grosvenor Ln")</f>
        <v>116-17 Grosvenor Ln</v>
      </c>
      <c r="F1592" s="25" t="s">
        <v>91</v>
      </c>
      <c r="G1592" s="28">
        <v>645000.0</v>
      </c>
      <c r="H1592" s="28">
        <v>828.0</v>
      </c>
      <c r="I1592" s="28">
        <v>1450.0</v>
      </c>
      <c r="J1592" s="28">
        <v>10584.0</v>
      </c>
      <c r="K1592" s="25" t="s">
        <v>28</v>
      </c>
      <c r="L1592" s="26">
        <v>5.0</v>
      </c>
      <c r="M1592" s="26">
        <v>2.0</v>
      </c>
      <c r="N1592" s="26">
        <v>1.0</v>
      </c>
      <c r="O1592" s="26">
        <v>0.0</v>
      </c>
      <c r="P1592" s="26">
        <v>779.0</v>
      </c>
      <c r="Q1592" s="35">
        <v>200.0</v>
      </c>
      <c r="R1592" s="32">
        <v>45860.0</v>
      </c>
      <c r="S1592" s="32">
        <v>45663.0</v>
      </c>
      <c r="T1592" s="29"/>
      <c r="U1592" s="33"/>
      <c r="V1592" s="1"/>
    </row>
    <row r="1593" ht="24.0" customHeight="1">
      <c r="A1593" s="1"/>
      <c r="B1593" s="24" t="str">
        <f>HYPERLINK("https://www.compass.com/listing/102-30-66th-road-unit-1h-queens-ny-11375/1166794943516113089/view?agent_id=610d3f3370540700019b0833","102-30 66th Road, Unit 1H")</f>
        <v>102-30 66th Road, Unit 1H</v>
      </c>
      <c r="C1593" s="25" t="s">
        <v>22</v>
      </c>
      <c r="D1593" s="26" t="s">
        <v>23</v>
      </c>
      <c r="E1593" s="27" t="str">
        <f>HYPERLINK("https://www.compass.com/building/birchwood-towers-queens-ny/307447536440610389/","Birchwood Towers")</f>
        <v>Birchwood Towers</v>
      </c>
      <c r="F1593" s="25" t="s">
        <v>229</v>
      </c>
      <c r="G1593" s="28">
        <v>372000.0</v>
      </c>
      <c r="H1593" s="28">
        <v>393.0</v>
      </c>
      <c r="I1593" s="28">
        <v>2408.0</v>
      </c>
      <c r="J1593" s="28">
        <v>0.0</v>
      </c>
      <c r="K1593" s="25" t="s">
        <v>25</v>
      </c>
      <c r="L1593" s="26">
        <v>4.0</v>
      </c>
      <c r="M1593" s="26">
        <v>2.0</v>
      </c>
      <c r="N1593" s="26">
        <v>1.0</v>
      </c>
      <c r="O1593" s="30"/>
      <c r="P1593" s="26">
        <v>947.0</v>
      </c>
      <c r="Q1593" s="35">
        <v>987.0</v>
      </c>
      <c r="R1593" s="32">
        <v>45855.0</v>
      </c>
      <c r="S1593" s="32">
        <v>44861.0</v>
      </c>
      <c r="T1593" s="29"/>
      <c r="U1593" s="33"/>
      <c r="V1593" s="1"/>
    </row>
    <row r="1594" ht="24.0" customHeight="1">
      <c r="A1594" s="1"/>
      <c r="B1594" s="24" t="str">
        <f>HYPERLINK("https://www.compass.com/listing/7405-18th-avenue-brooklyn-ny-11204/1818393971683224353/view?agent_id=610d3f3370540700019b0833","7405 18th Avenue")</f>
        <v>7405 18th Avenue</v>
      </c>
      <c r="C1594" s="25" t="s">
        <v>22</v>
      </c>
      <c r="D1594" s="26" t="s">
        <v>23</v>
      </c>
      <c r="E1594" s="27" t="str">
        <f>HYPERLINK("https://www.compass.com/building/7405-18th-ave-brooklyn-ny-11204/293533803698210101/","7405 18th Ave")</f>
        <v>7405 18th Ave</v>
      </c>
      <c r="F1594" s="25" t="s">
        <v>236</v>
      </c>
      <c r="G1594" s="28">
        <v>2480000.0</v>
      </c>
      <c r="H1594" s="28">
        <v>891.0</v>
      </c>
      <c r="I1594" s="28">
        <v>1426.0</v>
      </c>
      <c r="J1594" s="28">
        <v>17111.0</v>
      </c>
      <c r="K1594" s="25" t="s">
        <v>331</v>
      </c>
      <c r="L1594" s="26">
        <v>0.0</v>
      </c>
      <c r="M1594" s="26">
        <v>2.0</v>
      </c>
      <c r="N1594" s="26">
        <v>1.0</v>
      </c>
      <c r="O1594" s="30"/>
      <c r="P1594" s="34">
        <v>2782.0</v>
      </c>
      <c r="Q1594" s="35">
        <v>103.0</v>
      </c>
      <c r="R1594" s="32">
        <v>45852.0</v>
      </c>
      <c r="S1594" s="32">
        <v>45760.0</v>
      </c>
      <c r="T1594" s="29"/>
      <c r="U1594" s="33"/>
      <c r="V1594" s="1"/>
    </row>
    <row r="1595" ht="24.0" customHeight="1">
      <c r="A1595" s="1"/>
      <c r="B1595" s="24" t="str">
        <f>HYPERLINK("https://www.compass.com/listing/94-31-59th-avenue-unit-2e-queens-ny-11373/1834341668034436353/view?agent_id=610d3f3370540700019b0833","94-31 59th Avenue, Unit 2E")</f>
        <v>94-31 59th Avenue, Unit 2E</v>
      </c>
      <c r="C1595" s="25" t="s">
        <v>22</v>
      </c>
      <c r="D1595" s="26" t="s">
        <v>23</v>
      </c>
      <c r="E1595" s="27" t="str">
        <f>HYPERLINK("https://www.compass.com/building/94-31-59th-ave-queens-ny-11373/307436764595287733/","94-31 59th Ave")</f>
        <v>94-31 59th Ave</v>
      </c>
      <c r="F1595" s="25" t="s">
        <v>151</v>
      </c>
      <c r="G1595" s="28">
        <v>439999.0</v>
      </c>
      <c r="H1595" s="28">
        <v>445.0</v>
      </c>
      <c r="I1595" s="28">
        <v>689.0</v>
      </c>
      <c r="J1595" s="28">
        <v>0.0</v>
      </c>
      <c r="K1595" s="25" t="s">
        <v>25</v>
      </c>
      <c r="L1595" s="26">
        <v>4.0</v>
      </c>
      <c r="M1595" s="26">
        <v>2.0</v>
      </c>
      <c r="N1595" s="26">
        <v>1.0</v>
      </c>
      <c r="O1595" s="26">
        <v>0.0</v>
      </c>
      <c r="P1595" s="26">
        <v>988.0</v>
      </c>
      <c r="Q1595" s="35">
        <v>81.0</v>
      </c>
      <c r="R1595" s="32">
        <v>45862.0</v>
      </c>
      <c r="S1595" s="32">
        <v>45782.0</v>
      </c>
      <c r="T1595" s="29"/>
      <c r="U1595" s="33"/>
      <c r="V1595" s="1"/>
    </row>
    <row r="1596" ht="24.0" customHeight="1">
      <c r="A1596" s="1"/>
      <c r="B1596" s="24" t="str">
        <f>HYPERLINK("https://www.compass.com/listing/86-70-francis-lewis-boulevard-unit-a78-queens-ny-11423/1763268994346321905/view?agent_id=610d3f3370540700019b0833","86-70 Francis Lewis Boulevard, Unit A78")</f>
        <v>86-70 Francis Lewis Boulevard, Unit A78</v>
      </c>
      <c r="C1596" s="25" t="s">
        <v>22</v>
      </c>
      <c r="D1596" s="26" t="s">
        <v>23</v>
      </c>
      <c r="E1596" s="27" t="str">
        <f>HYPERLINK("https://www.compass.com/building/86-70-francis-lewis-blvd-queens-ny-11423/307445462071951253/","86-70 Francis Lewis Blvd")</f>
        <v>86-70 Francis Lewis Blvd</v>
      </c>
      <c r="F1596" s="25" t="s">
        <v>99</v>
      </c>
      <c r="G1596" s="28">
        <v>280000.0</v>
      </c>
      <c r="H1596" s="28">
        <v>311.0</v>
      </c>
      <c r="I1596" s="28">
        <v>1028.0</v>
      </c>
      <c r="J1596" s="29"/>
      <c r="K1596" s="25" t="s">
        <v>25</v>
      </c>
      <c r="L1596" s="26">
        <v>4.0</v>
      </c>
      <c r="M1596" s="26">
        <v>2.0</v>
      </c>
      <c r="N1596" s="26">
        <v>1.0</v>
      </c>
      <c r="O1596" s="30"/>
      <c r="P1596" s="26">
        <v>900.0</v>
      </c>
      <c r="Q1596" s="35">
        <v>179.0</v>
      </c>
      <c r="R1596" s="32">
        <v>45759.0</v>
      </c>
      <c r="S1596" s="32">
        <v>45684.0</v>
      </c>
      <c r="T1596" s="29"/>
      <c r="U1596" s="33"/>
      <c r="V1596" s="1"/>
    </row>
    <row r="1597" ht="24.0" customHeight="1">
      <c r="A1597" s="1"/>
      <c r="B1597" s="24" t="str">
        <f>HYPERLINK("https://www.compass.com/listing/1213-avenue-z-unit-e37-brooklyn-ny-11235/1692951332655617745/view?agent_id=610d3f3370540700019b0833","1213 Avenue Z, Unit E37")</f>
        <v>1213 Avenue Z, Unit E37</v>
      </c>
      <c r="C1597" s="25" t="s">
        <v>22</v>
      </c>
      <c r="D1597" s="26" t="s">
        <v>23</v>
      </c>
      <c r="E1597" s="27" t="str">
        <f>HYPERLINK("https://www.compass.com/building/1213-avenue-z-brooklyn-ny-11235/389270714105351685/","1213 Avenue Z")</f>
        <v>1213 Avenue Z</v>
      </c>
      <c r="F1597" s="25" t="s">
        <v>70</v>
      </c>
      <c r="G1597" s="28">
        <v>390000.0</v>
      </c>
      <c r="H1597" s="28">
        <v>488.0</v>
      </c>
      <c r="I1597" s="28">
        <v>798.0</v>
      </c>
      <c r="J1597" s="29"/>
      <c r="K1597" s="25" t="s">
        <v>25</v>
      </c>
      <c r="L1597" s="26">
        <v>4.0</v>
      </c>
      <c r="M1597" s="26">
        <v>2.0</v>
      </c>
      <c r="N1597" s="26">
        <v>1.0</v>
      </c>
      <c r="O1597" s="30"/>
      <c r="P1597" s="26">
        <v>800.0</v>
      </c>
      <c r="Q1597" s="35">
        <v>276.0</v>
      </c>
      <c r="R1597" s="32">
        <v>45840.0</v>
      </c>
      <c r="S1597" s="32">
        <v>45587.0</v>
      </c>
      <c r="T1597" s="29"/>
      <c r="U1597" s="33"/>
      <c r="V1597" s="1"/>
    </row>
    <row r="1598" ht="24.0" customHeight="1">
      <c r="A1598" s="1"/>
      <c r="B1598" s="24" t="str">
        <f>HYPERLINK("https://www.compass.com/listing/3021-avenue-z-unit-1l-brooklyn-ny-11235/1621810477499007001/view?agent_id=610d3f3370540700019b0833","3021 Avenue Z, Unit 1L")</f>
        <v>3021 Avenue Z, Unit 1L</v>
      </c>
      <c r="C1598" s="25" t="s">
        <v>22</v>
      </c>
      <c r="D1598" s="26" t="s">
        <v>23</v>
      </c>
      <c r="E1598" s="27" t="str">
        <f>HYPERLINK("https://www.compass.com/building/3021-avenue-z-brooklyn-ny-11235/389275242576282053/","3021 Avenue Z")</f>
        <v>3021 Avenue Z</v>
      </c>
      <c r="F1598" s="25" t="s">
        <v>70</v>
      </c>
      <c r="G1598" s="28">
        <v>240000.0</v>
      </c>
      <c r="H1598" s="28">
        <v>245.0</v>
      </c>
      <c r="I1598" s="28">
        <v>965.0</v>
      </c>
      <c r="J1598" s="29"/>
      <c r="K1598" s="25" t="s">
        <v>25</v>
      </c>
      <c r="L1598" s="26">
        <v>4.0</v>
      </c>
      <c r="M1598" s="26">
        <v>2.0</v>
      </c>
      <c r="N1598" s="26">
        <v>1.0</v>
      </c>
      <c r="O1598" s="30"/>
      <c r="P1598" s="26">
        <v>980.0</v>
      </c>
      <c r="Q1598" s="35">
        <v>374.0</v>
      </c>
      <c r="R1598" s="32">
        <v>45838.0</v>
      </c>
      <c r="S1598" s="32">
        <v>45489.0</v>
      </c>
      <c r="T1598" s="29"/>
      <c r="U1598" s="33"/>
      <c r="V1598" s="1"/>
    </row>
    <row r="1599" ht="24.0" customHeight="1">
      <c r="A1599" s="1"/>
      <c r="B1599" s="24" t="str">
        <f>HYPERLINK("https://www.compass.com/listing/202-35-foothill-avenue-unit-a78-queens-ny-11423/1793653756376644289/view?agent_id=610d3f3370540700019b0833","202-35 Foothill Avenue, Unit A78")</f>
        <v>202-35 Foothill Avenue, Unit A78</v>
      </c>
      <c r="C1599" s="25" t="s">
        <v>22</v>
      </c>
      <c r="D1599" s="26" t="s">
        <v>23</v>
      </c>
      <c r="E1599" s="27" t="str">
        <f>HYPERLINK("https://www.compass.com/building/202-35-foothill-ave-queens-ny-11423/436393751452456445/","202-35 Foothill Ave")</f>
        <v>202-35 Foothill Ave</v>
      </c>
      <c r="F1599" s="25" t="s">
        <v>99</v>
      </c>
      <c r="G1599" s="28">
        <v>270000.0</v>
      </c>
      <c r="H1599" s="28">
        <v>318.0</v>
      </c>
      <c r="I1599" s="28">
        <v>1130.0</v>
      </c>
      <c r="J1599" s="29"/>
      <c r="K1599" s="25" t="s">
        <v>25</v>
      </c>
      <c r="L1599" s="26">
        <v>5.0</v>
      </c>
      <c r="M1599" s="26">
        <v>2.0</v>
      </c>
      <c r="N1599" s="26">
        <v>1.0</v>
      </c>
      <c r="O1599" s="30"/>
      <c r="P1599" s="26">
        <v>850.0</v>
      </c>
      <c r="Q1599" s="35">
        <v>136.0</v>
      </c>
      <c r="R1599" s="32">
        <v>45861.0</v>
      </c>
      <c r="S1599" s="32">
        <v>45726.0</v>
      </c>
      <c r="T1599" s="29"/>
      <c r="U1599" s="33"/>
      <c r="V1599" s="1"/>
    </row>
    <row r="1600" ht="24.0" customHeight="1">
      <c r="A1600" s="1"/>
      <c r="B1600" s="24" t="str">
        <f>HYPERLINK("https://www.compass.com/listing/102-32-65th-avenue-unit-b26-queens-ny-11375/1751584346970435225/view?agent_id=610d3f3370540700019b0833","102-32 65th Avenue, Unit B26")</f>
        <v>102-32 65th Avenue, Unit B26</v>
      </c>
      <c r="C1600" s="25" t="s">
        <v>22</v>
      </c>
      <c r="D1600" s="26" t="s">
        <v>23</v>
      </c>
      <c r="E1600" s="27" t="str">
        <f>HYPERLINK("https://www.compass.com/building/102-32-65th-ave-queens-ny-11375/307443520285238069/","102-32 65th Ave")</f>
        <v>102-32 65th Ave</v>
      </c>
      <c r="F1600" s="25" t="s">
        <v>166</v>
      </c>
      <c r="G1600" s="28">
        <v>344900.0</v>
      </c>
      <c r="H1600" s="28">
        <v>460.0</v>
      </c>
      <c r="I1600" s="28">
        <v>972.0</v>
      </c>
      <c r="J1600" s="29"/>
      <c r="K1600" s="25" t="s">
        <v>25</v>
      </c>
      <c r="L1600" s="26">
        <v>4.0</v>
      </c>
      <c r="M1600" s="26">
        <v>2.0</v>
      </c>
      <c r="N1600" s="26">
        <v>1.0</v>
      </c>
      <c r="O1600" s="30"/>
      <c r="P1600" s="26">
        <v>750.0</v>
      </c>
      <c r="Q1600" s="35">
        <v>192.0</v>
      </c>
      <c r="R1600" s="32">
        <v>45812.0</v>
      </c>
      <c r="S1600" s="32">
        <v>45666.0</v>
      </c>
      <c r="T1600" s="29"/>
      <c r="U1600" s="33"/>
      <c r="V1600" s="1"/>
    </row>
    <row r="1601" ht="24.0" customHeight="1">
      <c r="A1601" s="1"/>
      <c r="B1601" s="24" t="str">
        <f>HYPERLINK("https://www.compass.com/listing/100-10-67th-drive-unit-5h-queens-ny-11375/1529479987638651105/view?agent_id=610d3f3370540700019b0833","100-10 67th Drive, Unit 5H")</f>
        <v>100-10 67th Drive, Unit 5H</v>
      </c>
      <c r="C1601" s="25" t="s">
        <v>22</v>
      </c>
      <c r="D1601" s="26" t="s">
        <v>23</v>
      </c>
      <c r="E1601" s="27" t="str">
        <f>HYPERLINK("https://www.compass.com/building/100-10-67th-dr-queens-ny-11375/293533736472011429/","100-10 67th Dr")</f>
        <v>100-10 67th Dr</v>
      </c>
      <c r="F1601" s="25" t="s">
        <v>166</v>
      </c>
      <c r="G1601" s="28">
        <v>880000.0</v>
      </c>
      <c r="H1601" s="28">
        <v>838.0</v>
      </c>
      <c r="I1601" s="28">
        <v>1210.0</v>
      </c>
      <c r="J1601" s="28">
        <v>5700.0</v>
      </c>
      <c r="K1601" s="25" t="s">
        <v>28</v>
      </c>
      <c r="L1601" s="26">
        <v>5.0</v>
      </c>
      <c r="M1601" s="26">
        <v>2.0</v>
      </c>
      <c r="N1601" s="26">
        <v>0.0</v>
      </c>
      <c r="O1601" s="30"/>
      <c r="P1601" s="34">
        <v>1050.0</v>
      </c>
      <c r="Q1601" s="35">
        <v>503.0</v>
      </c>
      <c r="R1601" s="32">
        <v>45362.0</v>
      </c>
      <c r="S1601" s="32">
        <v>45360.0</v>
      </c>
      <c r="T1601" s="29"/>
      <c r="U1601" s="33"/>
      <c r="V1601" s="1"/>
    </row>
    <row r="1602" ht="24.0" customHeight="1">
      <c r="A1602" s="1"/>
      <c r="B1602" s="24" t="str">
        <f>HYPERLINK("https://www.compass.com/listing/83-75-woodhaven-boulevard-unit-2h-queens-ny-11421/1610960680465762497/view?agent_id=610d3f3370540700019b0833","83-75 Woodhaven Boulevard, Unit 2H")</f>
        <v>83-75 Woodhaven Boulevard, Unit 2H</v>
      </c>
      <c r="C1602" s="25" t="s">
        <v>22</v>
      </c>
      <c r="D1602" s="26" t="s">
        <v>23</v>
      </c>
      <c r="E1602" s="27" t="str">
        <f>HYPERLINK("https://www.compass.com/building/83-75-woodhaven-blvd-queens-ny-11421/293529859701961653/","83-75 Woodhaven Blvd")</f>
        <v>83-75 Woodhaven Blvd</v>
      </c>
      <c r="F1602" s="25" t="s">
        <v>168</v>
      </c>
      <c r="G1602" s="28">
        <v>190000.0</v>
      </c>
      <c r="H1602" s="28">
        <v>253.0</v>
      </c>
      <c r="I1602" s="28">
        <v>669.0</v>
      </c>
      <c r="J1602" s="29"/>
      <c r="K1602" s="25" t="s">
        <v>25</v>
      </c>
      <c r="L1602" s="26">
        <v>4.0</v>
      </c>
      <c r="M1602" s="26">
        <v>2.0</v>
      </c>
      <c r="N1602" s="26">
        <v>1.0</v>
      </c>
      <c r="O1602" s="30"/>
      <c r="P1602" s="26">
        <v>750.0</v>
      </c>
      <c r="Q1602" s="35">
        <v>389.0</v>
      </c>
      <c r="R1602" s="32">
        <v>45863.0</v>
      </c>
      <c r="S1602" s="32">
        <v>45474.0</v>
      </c>
      <c r="T1602" s="29"/>
      <c r="U1602" s="33"/>
      <c r="V1602" s="1"/>
    </row>
    <row r="1603" ht="24.0" customHeight="1">
      <c r="A1603" s="1"/>
      <c r="B1603" s="24" t="str">
        <f>HYPERLINK("https://www.compass.com/listing/15-bay-29th-street-unit-4a-brooklyn-ny-11214/1755285431833476073/view?agent_id=610d3f3370540700019b0833","15 Bay 29th Street, Unit 4A")</f>
        <v>15 Bay 29th Street, Unit 4A</v>
      </c>
      <c r="C1603" s="25" t="s">
        <v>22</v>
      </c>
      <c r="D1603" s="26" t="s">
        <v>23</v>
      </c>
      <c r="E1603" s="27" t="str">
        <f>HYPERLINK("https://www.compass.com/building/15-bay-29th-st-brooklyn-ny-11214/307455647377017141/","15 Bay 29th St")</f>
        <v>15 Bay 29th St</v>
      </c>
      <c r="F1603" s="25" t="s">
        <v>214</v>
      </c>
      <c r="G1603" s="28">
        <v>699000.0</v>
      </c>
      <c r="H1603" s="28">
        <v>635.0</v>
      </c>
      <c r="I1603" s="28">
        <v>1290.0</v>
      </c>
      <c r="J1603" s="28">
        <v>11100.0</v>
      </c>
      <c r="K1603" s="25" t="s">
        <v>28</v>
      </c>
      <c r="L1603" s="26">
        <v>4.0</v>
      </c>
      <c r="M1603" s="26">
        <v>2.0</v>
      </c>
      <c r="N1603" s="26">
        <v>1.0</v>
      </c>
      <c r="O1603" s="26">
        <v>0.0</v>
      </c>
      <c r="P1603" s="34">
        <v>1100.0</v>
      </c>
      <c r="Q1603" s="35">
        <v>190.0</v>
      </c>
      <c r="R1603" s="32">
        <v>45840.0</v>
      </c>
      <c r="S1603" s="32">
        <v>45673.0</v>
      </c>
      <c r="T1603" s="29"/>
      <c r="U1603" s="33"/>
      <c r="V1603" s="1"/>
    </row>
    <row r="1604" ht="24.0" customHeight="1">
      <c r="A1604" s="1"/>
      <c r="B1604" s="24" t="str">
        <f>HYPERLINK("https://www.compass.com/listing/1478-east-28th-street-unit-4n-brooklyn-ny-11210/1636391773585967761/view?agent_id=610d3f3370540700019b0833","1478 East 28th Street, Unit 4N")</f>
        <v>1478 East 28th Street, Unit 4N</v>
      </c>
      <c r="C1604" s="25" t="s">
        <v>22</v>
      </c>
      <c r="D1604" s="26" t="s">
        <v>23</v>
      </c>
      <c r="E1604" s="27" t="str">
        <f>HYPERLINK("https://www.compass.com/building/1478-e-28th-st-brooklyn-ny-11210/307437103268564901/","1478 E 28th St")</f>
        <v>1478 E 28th St</v>
      </c>
      <c r="F1604" s="25" t="s">
        <v>34</v>
      </c>
      <c r="G1604" s="28">
        <v>280000.0</v>
      </c>
      <c r="H1604" s="28">
        <v>350.0</v>
      </c>
      <c r="I1604" s="28">
        <v>680.0</v>
      </c>
      <c r="J1604" s="29"/>
      <c r="K1604" s="25" t="s">
        <v>25</v>
      </c>
      <c r="L1604" s="26">
        <v>4.0</v>
      </c>
      <c r="M1604" s="26">
        <v>2.0</v>
      </c>
      <c r="N1604" s="26">
        <v>1.0</v>
      </c>
      <c r="O1604" s="30"/>
      <c r="P1604" s="26">
        <v>800.0</v>
      </c>
      <c r="Q1604" s="35">
        <v>354.0</v>
      </c>
      <c r="R1604" s="32">
        <v>45823.0</v>
      </c>
      <c r="S1604" s="32">
        <v>45509.0</v>
      </c>
      <c r="T1604" s="29"/>
      <c r="U1604" s="33"/>
      <c r="V1604" s="1"/>
    </row>
    <row r="1605" ht="24.0" customHeight="1">
      <c r="A1605" s="1"/>
      <c r="B1605" s="24" t="str">
        <f>HYPERLINK("https://www.compass.com/listing/100-10-67th-drive-unit-6-queens-ny-11375/1552686276832863921/view?agent_id=610d3f3370540700019b0833","100-10 67th Drive, Unit 6")</f>
        <v>100-10 67th Drive, Unit 6</v>
      </c>
      <c r="C1605" s="25" t="s">
        <v>22</v>
      </c>
      <c r="D1605" s="26" t="s">
        <v>23</v>
      </c>
      <c r="E1605" s="27" t="str">
        <f>HYPERLINK("https://www.compass.com/building/100-10-67th-dr-queens-ny-11375/293533736472011429/","100-10 67th Dr")</f>
        <v>100-10 67th Dr</v>
      </c>
      <c r="F1605" s="25" t="s">
        <v>166</v>
      </c>
      <c r="G1605" s="28">
        <v>729000.0</v>
      </c>
      <c r="H1605" s="28">
        <v>672.0</v>
      </c>
      <c r="I1605" s="28">
        <v>920.0</v>
      </c>
      <c r="J1605" s="28">
        <v>0.0</v>
      </c>
      <c r="K1605" s="25" t="s">
        <v>28</v>
      </c>
      <c r="L1605" s="26">
        <v>8.0</v>
      </c>
      <c r="M1605" s="26">
        <v>2.0</v>
      </c>
      <c r="N1605" s="26">
        <v>1.0</v>
      </c>
      <c r="O1605" s="30"/>
      <c r="P1605" s="34">
        <v>1085.0</v>
      </c>
      <c r="Q1605" s="35">
        <v>470.0</v>
      </c>
      <c r="R1605" s="32">
        <v>45412.0</v>
      </c>
      <c r="S1605" s="32">
        <v>45393.0</v>
      </c>
      <c r="T1605" s="29"/>
      <c r="U1605" s="33"/>
      <c r="V1605" s="1"/>
    </row>
    <row r="1606" ht="24.0" customHeight="1">
      <c r="A1606" s="1"/>
      <c r="B1606" s="24" t="str">
        <f>HYPERLINK("https://www.compass.com/listing/110-20-71st-avenue-unit-411-queens-ny-11375/1850101751926699937/view?agent_id=610d3f3370540700019b0833","110-20 71st Avenue, Unit 411")</f>
        <v>110-20 71st Avenue, Unit 411</v>
      </c>
      <c r="C1606" s="25" t="s">
        <v>22</v>
      </c>
      <c r="D1606" s="26" t="s">
        <v>23</v>
      </c>
      <c r="E1606" s="27" t="str">
        <f>HYPERLINK("https://www.compass.com/building/110-20-71st-ave-queens-ny-11375/293534079993778229/","110-20 71st Ave")</f>
        <v>110-20 71st Ave</v>
      </c>
      <c r="F1606" s="25" t="s">
        <v>83</v>
      </c>
      <c r="G1606" s="28">
        <v>499000.0</v>
      </c>
      <c r="H1606" s="28">
        <v>509.0</v>
      </c>
      <c r="I1606" s="28">
        <v>1066.0</v>
      </c>
      <c r="J1606" s="29"/>
      <c r="K1606" s="25" t="s">
        <v>25</v>
      </c>
      <c r="L1606" s="26">
        <v>4.0</v>
      </c>
      <c r="M1606" s="26">
        <v>2.0</v>
      </c>
      <c r="N1606" s="26">
        <v>1.0</v>
      </c>
      <c r="O1606" s="30"/>
      <c r="P1606" s="26">
        <v>980.0</v>
      </c>
      <c r="Q1606" s="35">
        <v>59.0</v>
      </c>
      <c r="R1606" s="32">
        <v>45863.0</v>
      </c>
      <c r="S1606" s="32">
        <v>45804.0</v>
      </c>
      <c r="T1606" s="29"/>
      <c r="U1606" s="33"/>
      <c r="V1606" s="1"/>
    </row>
    <row r="1607" ht="24.0" customHeight="1">
      <c r="A1607" s="1"/>
      <c r="B1607" s="24" t="str">
        <f>HYPERLINK("https://www.compass.com/listing/1953-65th-street-unit-1d-brooklyn-ny-11204/1813103077302145481/view?agent_id=610d3f3370540700019b0833","1953 65th Street, Unit 1D")</f>
        <v>1953 65th Street, Unit 1D</v>
      </c>
      <c r="C1607" s="25" t="s">
        <v>22</v>
      </c>
      <c r="D1607" s="26" t="s">
        <v>23</v>
      </c>
      <c r="E1607" s="27" t="str">
        <f>HYPERLINK("https://www.compass.com/building/1953-65th-st-brooklyn-ny-11204/293529960004458677/","1953 65th St")</f>
        <v>1953 65th St</v>
      </c>
      <c r="F1607" s="25" t="s">
        <v>259</v>
      </c>
      <c r="G1607" s="28">
        <v>350000.0</v>
      </c>
      <c r="H1607" s="28">
        <v>556.0</v>
      </c>
      <c r="I1607" s="28">
        <v>924.0</v>
      </c>
      <c r="J1607" s="29"/>
      <c r="K1607" s="25" t="s">
        <v>25</v>
      </c>
      <c r="L1607" s="26">
        <v>4.0</v>
      </c>
      <c r="M1607" s="26">
        <v>2.0</v>
      </c>
      <c r="N1607" s="26">
        <v>1.0</v>
      </c>
      <c r="O1607" s="30"/>
      <c r="P1607" s="26">
        <v>630.0</v>
      </c>
      <c r="Q1607" s="35">
        <v>109.0</v>
      </c>
      <c r="R1607" s="32">
        <v>45815.0</v>
      </c>
      <c r="S1607" s="32">
        <v>45753.0</v>
      </c>
      <c r="T1607" s="29"/>
      <c r="U1607" s="33"/>
      <c r="V1607" s="1"/>
    </row>
    <row r="1608" ht="24.0" customHeight="1">
      <c r="A1608" s="1"/>
      <c r="B1608" s="24" t="str">
        <f>HYPERLINK("https://www.compass.com/listing/99-05-63rd-drive-unit-11q-queens-ny-11374/1666793613657356817/view?agent_id=610d3f3370540700019b0833","99-05 63rd Drive, Unit 11Q")</f>
        <v>99-05 63rd Drive, Unit 11Q</v>
      </c>
      <c r="C1608" s="25" t="s">
        <v>22</v>
      </c>
      <c r="D1608" s="26" t="s">
        <v>23</v>
      </c>
      <c r="E1608" s="27" t="str">
        <f>HYPERLINK("https://www.compass.com/building/99-05-63rd-dr-queens-ny-11374/307443693157761557/","99-05 63rd Dr")</f>
        <v>99-05 63rd Dr</v>
      </c>
      <c r="F1608" s="25" t="s">
        <v>166</v>
      </c>
      <c r="G1608" s="28">
        <v>389000.0</v>
      </c>
      <c r="H1608" s="29"/>
      <c r="I1608" s="28">
        <v>1193.0</v>
      </c>
      <c r="J1608" s="28">
        <v>0.0</v>
      </c>
      <c r="K1608" s="25" t="s">
        <v>25</v>
      </c>
      <c r="L1608" s="26">
        <v>6.0</v>
      </c>
      <c r="M1608" s="26">
        <v>2.0</v>
      </c>
      <c r="N1608" s="26">
        <v>1.0</v>
      </c>
      <c r="O1608" s="30"/>
      <c r="P1608" s="30"/>
      <c r="Q1608" s="35">
        <v>181.0</v>
      </c>
      <c r="R1608" s="32">
        <v>45859.0</v>
      </c>
      <c r="S1608" s="32">
        <v>45551.0</v>
      </c>
      <c r="T1608" s="29"/>
      <c r="U1608" s="33"/>
      <c r="V1608" s="1"/>
    </row>
    <row r="1609" ht="24.0" customHeight="1">
      <c r="A1609" s="1"/>
      <c r="B1609" s="24" t="str">
        <f>HYPERLINK("https://www.compass.com/listing/86-70-francis-lewis-boulevard-unit-a53-queens-ny-11423/1754800990576909297/view?agent_id=610d3f3370540700019b0833","86-70 Francis Lewis Boulevard, Unit A53")</f>
        <v>86-70 Francis Lewis Boulevard, Unit A53</v>
      </c>
      <c r="C1609" s="25" t="s">
        <v>22</v>
      </c>
      <c r="D1609" s="26" t="s">
        <v>23</v>
      </c>
      <c r="E1609" s="27" t="str">
        <f>HYPERLINK("https://www.compass.com/building/86-70-francis-lewis-blvd-queens-ny-11423/307445462071951253/","86-70 Francis Lewis Blvd")</f>
        <v>86-70 Francis Lewis Blvd</v>
      </c>
      <c r="F1609" s="25" t="s">
        <v>99</v>
      </c>
      <c r="G1609" s="28">
        <v>250000.0</v>
      </c>
      <c r="H1609" s="28">
        <v>250.0</v>
      </c>
      <c r="I1609" s="28">
        <v>1120.0</v>
      </c>
      <c r="J1609" s="29"/>
      <c r="K1609" s="25" t="s">
        <v>25</v>
      </c>
      <c r="L1609" s="26">
        <v>4.0</v>
      </c>
      <c r="M1609" s="26">
        <v>2.0</v>
      </c>
      <c r="N1609" s="26">
        <v>1.0</v>
      </c>
      <c r="O1609" s="30"/>
      <c r="P1609" s="34">
        <v>1000.0</v>
      </c>
      <c r="Q1609" s="35">
        <v>115.0</v>
      </c>
      <c r="R1609" s="32">
        <v>45780.0</v>
      </c>
      <c r="S1609" s="32">
        <v>45672.0</v>
      </c>
      <c r="T1609" s="29"/>
      <c r="U1609" s="33"/>
      <c r="V1609" s="1"/>
    </row>
    <row r="1610" ht="24.0" customHeight="1">
      <c r="A1610" s="1"/>
      <c r="B1610" s="24" t="str">
        <f>HYPERLINK("https://www.compass.com/listing/30-64-102nd-street-unit-5d-queens-ny-11375/1529481052018665249/view?agent_id=610d3f3370540700019b0833","30-64 102nd Street, Unit 5D")</f>
        <v>30-64 102nd Street, Unit 5D</v>
      </c>
      <c r="C1610" s="25" t="s">
        <v>22</v>
      </c>
      <c r="D1610" s="26" t="s">
        <v>23</v>
      </c>
      <c r="E1610" s="26" t="s">
        <v>332</v>
      </c>
      <c r="F1610" s="25" t="s">
        <v>166</v>
      </c>
      <c r="G1610" s="28">
        <v>399000.0</v>
      </c>
      <c r="H1610" s="28">
        <v>469.0</v>
      </c>
      <c r="I1610" s="28">
        <v>777.0</v>
      </c>
      <c r="J1610" s="28">
        <v>0.0</v>
      </c>
      <c r="K1610" s="25" t="s">
        <v>25</v>
      </c>
      <c r="L1610" s="26">
        <v>4.0</v>
      </c>
      <c r="M1610" s="26">
        <v>2.0</v>
      </c>
      <c r="N1610" s="26">
        <v>1.0</v>
      </c>
      <c r="O1610" s="30"/>
      <c r="P1610" s="26">
        <v>850.0</v>
      </c>
      <c r="Q1610" s="35">
        <v>501.0</v>
      </c>
      <c r="R1610" s="32">
        <v>45362.0</v>
      </c>
      <c r="S1610" s="32">
        <v>45362.0</v>
      </c>
      <c r="T1610" s="29"/>
      <c r="U1610" s="33"/>
      <c r="V1610" s="1"/>
    </row>
    <row r="1611" ht="24.0" customHeight="1">
      <c r="A1611" s="1"/>
      <c r="B1611" s="24" t="str">
        <f>HYPERLINK("https://www.compass.com/listing/75-08-bell-boulevard-unit-2j-queens-ny-11364/1821089517671544849/view?agent_id=610d3f3370540700019b0833","75-08 Bell Boulevard, Unit 2J")</f>
        <v>75-08 Bell Boulevard, Unit 2J</v>
      </c>
      <c r="C1611" s="25" t="s">
        <v>22</v>
      </c>
      <c r="D1611" s="26" t="s">
        <v>23</v>
      </c>
      <c r="E1611" s="27" t="str">
        <f>HYPERLINK("https://www.compass.com/building/75-08-bell-blvd-queens-ny-11364/307434752764079749/","75-08 Bell Blvd")</f>
        <v>75-08 Bell Blvd</v>
      </c>
      <c r="F1611" s="25" t="s">
        <v>37</v>
      </c>
      <c r="G1611" s="28">
        <v>420000.0</v>
      </c>
      <c r="H1611" s="28">
        <v>420.0</v>
      </c>
      <c r="I1611" s="28">
        <v>1963.0</v>
      </c>
      <c r="J1611" s="29"/>
      <c r="K1611" s="25" t="s">
        <v>25</v>
      </c>
      <c r="L1611" s="26">
        <v>4.0</v>
      </c>
      <c r="M1611" s="26">
        <v>2.0</v>
      </c>
      <c r="N1611" s="26">
        <v>1.0</v>
      </c>
      <c r="O1611" s="30"/>
      <c r="P1611" s="34">
        <v>1000.0</v>
      </c>
      <c r="Q1611" s="35">
        <v>93.0</v>
      </c>
      <c r="R1611" s="32">
        <v>45829.0</v>
      </c>
      <c r="S1611" s="32">
        <v>45770.0</v>
      </c>
      <c r="T1611" s="29"/>
      <c r="U1611" s="33"/>
      <c r="V1611" s="1"/>
    </row>
    <row r="1612" ht="24.0" customHeight="1">
      <c r="A1612" s="1"/>
      <c r="B1612" s="24" t="str">
        <f>HYPERLINK("https://www.compass.com/listing/63-93-woodhaven-boulevard-unit-2d3-queens-ny-11374/1816857500795084369/view?agent_id=610d3f3370540700019b0833","63-93 Woodhaven Boulevard, Unit 2D3")</f>
        <v>63-93 Woodhaven Boulevard, Unit 2D3</v>
      </c>
      <c r="C1612" s="25" t="s">
        <v>22</v>
      </c>
      <c r="D1612" s="26" t="s">
        <v>23</v>
      </c>
      <c r="E1612" s="27" t="str">
        <f>HYPERLINK("https://www.compass.com/building/63-93-woodhaven-blvd-queens-ny-11374/307454888334024613/","63-93 Woodhaven Blvd")</f>
        <v>63-93 Woodhaven Blvd</v>
      </c>
      <c r="F1612" s="25" t="s">
        <v>166</v>
      </c>
      <c r="G1612" s="28">
        <v>559777.0</v>
      </c>
      <c r="H1612" s="28">
        <v>538.0</v>
      </c>
      <c r="I1612" s="28">
        <v>1217.0</v>
      </c>
      <c r="J1612" s="28">
        <v>4546.0</v>
      </c>
      <c r="K1612" s="25" t="s">
        <v>28</v>
      </c>
      <c r="L1612" s="26">
        <v>5.0</v>
      </c>
      <c r="M1612" s="26">
        <v>2.0</v>
      </c>
      <c r="N1612" s="26">
        <v>1.0</v>
      </c>
      <c r="O1612" s="30"/>
      <c r="P1612" s="34">
        <v>1041.0</v>
      </c>
      <c r="Q1612" s="35">
        <v>105.0</v>
      </c>
      <c r="R1612" s="32">
        <v>45863.0</v>
      </c>
      <c r="S1612" s="32">
        <v>45758.0</v>
      </c>
      <c r="T1612" s="29"/>
      <c r="U1612" s="33"/>
      <c r="V1612" s="1"/>
    </row>
    <row r="1613" ht="24.0" customHeight="1">
      <c r="A1613" s="1"/>
      <c r="B1613" s="24" t="str">
        <f>HYPERLINK("https://www.compass.com/listing/94-06-59th-avenue-unit-5k-queens-ny-11373/1744505269926949513/view?agent_id=610d3f3370540700019b0833","94-06 59th Avenue, Unit 5K")</f>
        <v>94-06 59th Avenue, Unit 5K</v>
      </c>
      <c r="C1613" s="25" t="s">
        <v>22</v>
      </c>
      <c r="D1613" s="26" t="s">
        <v>23</v>
      </c>
      <c r="E1613" s="27" t="str">
        <f>HYPERLINK("https://www.compass.com/building/94-06-59th-ave-queens-ny-11373/405237305208828293/","94-06 59th Ave")</f>
        <v>94-06 59th Ave</v>
      </c>
      <c r="F1613" s="25" t="s">
        <v>151</v>
      </c>
      <c r="G1613" s="28">
        <v>430000.0</v>
      </c>
      <c r="H1613" s="28">
        <v>391.0</v>
      </c>
      <c r="I1613" s="28">
        <v>746.0</v>
      </c>
      <c r="J1613" s="28">
        <v>0.0</v>
      </c>
      <c r="K1613" s="25" t="s">
        <v>25</v>
      </c>
      <c r="L1613" s="26">
        <v>5.0</v>
      </c>
      <c r="M1613" s="26">
        <v>2.0</v>
      </c>
      <c r="N1613" s="26">
        <v>1.0</v>
      </c>
      <c r="O1613" s="30"/>
      <c r="P1613" s="34">
        <v>1100.0</v>
      </c>
      <c r="Q1613" s="35">
        <v>204.0</v>
      </c>
      <c r="R1613" s="32">
        <v>45658.0</v>
      </c>
      <c r="S1613" s="32">
        <v>45658.0</v>
      </c>
      <c r="T1613" s="29"/>
      <c r="U1613" s="33"/>
      <c r="V1613" s="1"/>
    </row>
    <row r="1614" ht="24.0" customHeight="1">
      <c r="A1614" s="1"/>
      <c r="B1614" s="24" t="str">
        <f>HYPERLINK("https://www.compass.com/listing/166-30-17th-road-unit-3106-queens-ny-11357/1821186471289872313/view?agent_id=610d3f3370540700019b0833","166-30 17th Road, Unit 3106")</f>
        <v>166-30 17th Road, Unit 3106</v>
      </c>
      <c r="C1614" s="25" t="s">
        <v>22</v>
      </c>
      <c r="D1614" s="26" t="s">
        <v>23</v>
      </c>
      <c r="E1614" s="26" t="s">
        <v>330</v>
      </c>
      <c r="F1614" s="25" t="s">
        <v>164</v>
      </c>
      <c r="G1614" s="28">
        <v>307000.0</v>
      </c>
      <c r="H1614" s="28">
        <v>384.0</v>
      </c>
      <c r="I1614" s="28">
        <v>1208.0</v>
      </c>
      <c r="J1614" s="29"/>
      <c r="K1614" s="25" t="s">
        <v>25</v>
      </c>
      <c r="L1614" s="26">
        <v>5.0</v>
      </c>
      <c r="M1614" s="26">
        <v>2.0</v>
      </c>
      <c r="N1614" s="26">
        <v>1.0</v>
      </c>
      <c r="O1614" s="30"/>
      <c r="P1614" s="26">
        <v>800.0</v>
      </c>
      <c r="Q1614" s="35">
        <v>98.0</v>
      </c>
      <c r="R1614" s="32">
        <v>45848.0</v>
      </c>
      <c r="S1614" s="32">
        <v>45764.0</v>
      </c>
      <c r="T1614" s="29"/>
      <c r="U1614" s="33"/>
      <c r="V1614" s="1"/>
    </row>
    <row r="1615" ht="24.0" customHeight="1">
      <c r="A1615" s="1"/>
      <c r="B1615" s="24" t="str">
        <f>HYPERLINK("https://www.compass.com/listing/66-15-wetherole-street-unit-14c-queens-ny-11374/1770377945315706537/view?agent_id=610d3f3370540700019b0833","66-15 Wetherole Street, Unit 14C")</f>
        <v>66-15 Wetherole Street, Unit 14C</v>
      </c>
      <c r="C1615" s="25" t="s">
        <v>22</v>
      </c>
      <c r="D1615" s="26" t="s">
        <v>23</v>
      </c>
      <c r="E1615" s="27" t="str">
        <f>HYPERLINK("https://www.compass.com/building/66-15-wetherole-st-queens-ny-11374/293535607735552757/","66-15 Wetherole St")</f>
        <v>66-15 Wetherole St</v>
      </c>
      <c r="F1615" s="25" t="s">
        <v>166</v>
      </c>
      <c r="G1615" s="28">
        <v>439990.0</v>
      </c>
      <c r="H1615" s="28">
        <v>537.0</v>
      </c>
      <c r="I1615" s="28">
        <v>940.0</v>
      </c>
      <c r="J1615" s="29"/>
      <c r="K1615" s="25" t="s">
        <v>25</v>
      </c>
      <c r="L1615" s="26">
        <v>4.0</v>
      </c>
      <c r="M1615" s="26">
        <v>2.0</v>
      </c>
      <c r="N1615" s="26">
        <v>1.0</v>
      </c>
      <c r="O1615" s="30"/>
      <c r="P1615" s="26">
        <v>820.0</v>
      </c>
      <c r="Q1615" s="35">
        <v>169.0</v>
      </c>
      <c r="R1615" s="32">
        <v>45773.0</v>
      </c>
      <c r="S1615" s="32">
        <v>45694.0</v>
      </c>
      <c r="T1615" s="29"/>
      <c r="U1615" s="33"/>
      <c r="V1615" s="1"/>
    </row>
    <row r="1616" ht="24.0" customHeight="1">
      <c r="A1616" s="1"/>
      <c r="B1616" s="24" t="str">
        <f>HYPERLINK("https://www.compass.com/listing/1000-clove-road-unit-lo-staten-island-ny-10301/1829774078585351281/view?agent_id=610d3f3370540700019b0833","1000 Clove Road, Unit LO")</f>
        <v>1000 Clove Road, Unit LO</v>
      </c>
      <c r="C1616" s="25" t="s">
        <v>22</v>
      </c>
      <c r="D1616" s="26" t="s">
        <v>23</v>
      </c>
      <c r="E1616" s="27" t="str">
        <f>HYPERLINK("https://www.compass.com/building/1000-clove-rd-staten-island-ny-10301/293526321068299461/","1000 Clove Rd")</f>
        <v>1000 Clove Rd</v>
      </c>
      <c r="F1616" s="25" t="s">
        <v>333</v>
      </c>
      <c r="G1616" s="28">
        <v>250000.0</v>
      </c>
      <c r="H1616" s="28">
        <v>227.0</v>
      </c>
      <c r="I1616" s="28">
        <v>0.0</v>
      </c>
      <c r="J1616" s="29"/>
      <c r="K1616" s="25" t="s">
        <v>25</v>
      </c>
      <c r="L1616" s="26">
        <v>4.0</v>
      </c>
      <c r="M1616" s="26">
        <v>2.0</v>
      </c>
      <c r="N1616" s="26">
        <v>1.0</v>
      </c>
      <c r="O1616" s="26">
        <v>0.0</v>
      </c>
      <c r="P1616" s="34">
        <v>1100.0</v>
      </c>
      <c r="Q1616" s="35">
        <v>89.0</v>
      </c>
      <c r="R1616" s="32">
        <v>45827.0</v>
      </c>
      <c r="S1616" s="32">
        <v>45775.0</v>
      </c>
      <c r="T1616" s="29"/>
      <c r="U1616" s="33"/>
      <c r="V1616" s="1"/>
    </row>
    <row r="1617" ht="24.0" customHeight="1">
      <c r="A1617" s="1"/>
      <c r="B1617" s="24" t="str">
        <f>HYPERLINK("https://www.compass.com/listing/32-58-105th-street-unit-6c-queens-ny-11369/1793867999680406129/view?agent_id=610d3f3370540700019b0833","32-58 105th Street, Unit 6C")</f>
        <v>32-58 105th Street, Unit 6C</v>
      </c>
      <c r="C1617" s="25" t="s">
        <v>22</v>
      </c>
      <c r="D1617" s="26" t="s">
        <v>23</v>
      </c>
      <c r="E1617" s="26" t="s">
        <v>334</v>
      </c>
      <c r="F1617" s="25" t="s">
        <v>335</v>
      </c>
      <c r="G1617" s="28">
        <v>599777.0</v>
      </c>
      <c r="H1617" s="28">
        <v>736.0</v>
      </c>
      <c r="I1617" s="28">
        <v>1313.0</v>
      </c>
      <c r="J1617" s="28">
        <v>12391.0</v>
      </c>
      <c r="K1617" s="25" t="s">
        <v>28</v>
      </c>
      <c r="L1617" s="26">
        <v>4.0</v>
      </c>
      <c r="M1617" s="26">
        <v>2.0</v>
      </c>
      <c r="N1617" s="26">
        <v>1.0</v>
      </c>
      <c r="O1617" s="30"/>
      <c r="P1617" s="26">
        <v>815.0</v>
      </c>
      <c r="Q1617" s="35">
        <v>136.0</v>
      </c>
      <c r="R1617" s="32">
        <v>45817.0</v>
      </c>
      <c r="S1617" s="32">
        <v>45727.0</v>
      </c>
      <c r="T1617" s="29"/>
      <c r="U1617" s="33"/>
      <c r="V1617" s="1"/>
    </row>
    <row r="1618" ht="24.0" customHeight="1">
      <c r="A1618" s="1"/>
      <c r="B1618" s="24" t="str">
        <f>HYPERLINK("https://www.compass.com/listing/15-corona-avenue-staten-island-ny-10306/1707512975037655833/view?agent_id=610d3f3370540700019b0833","15 Corona Avenue")</f>
        <v>15 Corona Avenue</v>
      </c>
      <c r="C1618" s="25" t="s">
        <v>22</v>
      </c>
      <c r="D1618" s="26" t="s">
        <v>23</v>
      </c>
      <c r="E1618" s="27" t="str">
        <f>HYPERLINK("https://www.compass.com/building/15-corona-ave-staten-island-ny-10306/293530362372471797/","15 Corona Ave")</f>
        <v>15 Corona Ave</v>
      </c>
      <c r="F1618" s="25" t="s">
        <v>281</v>
      </c>
      <c r="G1618" s="28">
        <v>779000.0</v>
      </c>
      <c r="H1618" s="28">
        <v>380.0</v>
      </c>
      <c r="I1618" s="28">
        <v>506.0</v>
      </c>
      <c r="J1618" s="28">
        <v>6068.0</v>
      </c>
      <c r="K1618" s="36"/>
      <c r="L1618" s="30"/>
      <c r="M1618" s="26">
        <v>2.0</v>
      </c>
      <c r="N1618" s="26">
        <v>1.0</v>
      </c>
      <c r="O1618" s="26">
        <v>0.0</v>
      </c>
      <c r="P1618" s="34">
        <v>2052.0</v>
      </c>
      <c r="Q1618" s="35">
        <v>256.0</v>
      </c>
      <c r="R1618" s="32">
        <v>45827.0</v>
      </c>
      <c r="S1618" s="32">
        <v>45606.0</v>
      </c>
      <c r="T1618" s="29"/>
      <c r="U1618" s="33"/>
      <c r="V1618" s="1"/>
    </row>
    <row r="1619" ht="24.0" customHeight="1">
      <c r="A1619" s="1"/>
      <c r="B1619" s="24" t="str">
        <f>HYPERLINK("https://www.compass.com/listing/86-10-109th-street-unit-b2-queens-ny-11418/1535977051953792929/view?agent_id=610d3f3370540700019b0833","86-10 109th Street, Unit B2")</f>
        <v>86-10 109th Street, Unit B2</v>
      </c>
      <c r="C1619" s="25" t="s">
        <v>22</v>
      </c>
      <c r="D1619" s="26" t="s">
        <v>23</v>
      </c>
      <c r="E1619" s="27" t="str">
        <f>HYPERLINK("https://www.compass.com/building/86-10-109th-st-queens-ny-11418/293530916876196341/","86-10 109th St")</f>
        <v>86-10 109th St</v>
      </c>
      <c r="F1619" s="25" t="s">
        <v>246</v>
      </c>
      <c r="G1619" s="28">
        <v>369000.0</v>
      </c>
      <c r="H1619" s="28">
        <v>351.0</v>
      </c>
      <c r="I1619" s="28">
        <v>1088.0</v>
      </c>
      <c r="J1619" s="28">
        <v>0.0</v>
      </c>
      <c r="K1619" s="25" t="s">
        <v>25</v>
      </c>
      <c r="L1619" s="26">
        <v>5.0</v>
      </c>
      <c r="M1619" s="26">
        <v>2.0</v>
      </c>
      <c r="N1619" s="26">
        <v>1.0</v>
      </c>
      <c r="O1619" s="30"/>
      <c r="P1619" s="34">
        <v>1050.0</v>
      </c>
      <c r="Q1619" s="35">
        <v>346.0</v>
      </c>
      <c r="R1619" s="32">
        <v>45518.0</v>
      </c>
      <c r="S1619" s="32">
        <v>45517.0</v>
      </c>
      <c r="T1619" s="29"/>
      <c r="U1619" s="33"/>
      <c r="V1619" s="1"/>
    </row>
    <row r="1620" ht="24.0" customHeight="1">
      <c r="A1620" s="1"/>
      <c r="B1620" s="24" t="str">
        <f>HYPERLINK("https://www.compass.com/listing/138-70-elder-avenue-unit-7h-queens-ny-11355/1855330250523543249/view?agent_id=610d3f3370540700019b0833","138-70 Elder Avenue, Unit 7H")</f>
        <v>138-70 Elder Avenue, Unit 7H</v>
      </c>
      <c r="C1620" s="25" t="s">
        <v>22</v>
      </c>
      <c r="D1620" s="26" t="s">
        <v>23</v>
      </c>
      <c r="E1620" s="27" t="str">
        <f>HYPERLINK("https://www.compass.com/building/138-70-elder-ave-queens-ny-11355/293417427096596997/","138-70 Elder Ave")</f>
        <v>138-70 Elder Ave</v>
      </c>
      <c r="F1620" s="25" t="s">
        <v>185</v>
      </c>
      <c r="G1620" s="28">
        <v>550000.0</v>
      </c>
      <c r="H1620" s="28">
        <v>550.0</v>
      </c>
      <c r="I1620" s="28">
        <v>1043.0</v>
      </c>
      <c r="J1620" s="29"/>
      <c r="K1620" s="25" t="s">
        <v>25</v>
      </c>
      <c r="L1620" s="26">
        <v>4.0</v>
      </c>
      <c r="M1620" s="26">
        <v>2.0</v>
      </c>
      <c r="N1620" s="26">
        <v>1.0</v>
      </c>
      <c r="O1620" s="30"/>
      <c r="P1620" s="34">
        <v>1000.0</v>
      </c>
      <c r="Q1620" s="35">
        <v>52.0</v>
      </c>
      <c r="R1620" s="32">
        <v>45813.0</v>
      </c>
      <c r="S1620" s="32">
        <v>45811.0</v>
      </c>
      <c r="T1620" s="29"/>
      <c r="U1620" s="33"/>
      <c r="V1620" s="1"/>
    </row>
    <row r="1621" ht="24.0" customHeight="1">
      <c r="A1621" s="1"/>
      <c r="B1621" s="24" t="str">
        <f>HYPERLINK("https://www.compass.com/listing/63-93-woodhaven-boulevard-unit-2d-queens-ny-11374/1816632079611938513/view?agent_id=610d3f3370540700019b0833","63-93 Woodhaven Boulevard, Unit 2D")</f>
        <v>63-93 Woodhaven Boulevard, Unit 2D</v>
      </c>
      <c r="C1621" s="25" t="s">
        <v>22</v>
      </c>
      <c r="D1621" s="26" t="s">
        <v>23</v>
      </c>
      <c r="E1621" s="27" t="str">
        <f>HYPERLINK("https://www.compass.com/building/63-93-woodhaven-blvd-queens-ny-11374/307454888334024613/","63-93 Woodhaven Blvd")</f>
        <v>63-93 Woodhaven Blvd</v>
      </c>
      <c r="F1621" s="25" t="s">
        <v>166</v>
      </c>
      <c r="G1621" s="28">
        <v>559777.0</v>
      </c>
      <c r="H1621" s="28">
        <v>538.0</v>
      </c>
      <c r="I1621" s="28">
        <v>1217.0</v>
      </c>
      <c r="J1621" s="28">
        <v>4546.0</v>
      </c>
      <c r="K1621" s="25" t="s">
        <v>28</v>
      </c>
      <c r="L1621" s="26">
        <v>5.0</v>
      </c>
      <c r="M1621" s="26">
        <v>2.0</v>
      </c>
      <c r="N1621" s="26">
        <v>1.0</v>
      </c>
      <c r="O1621" s="30"/>
      <c r="P1621" s="34">
        <v>1041.0</v>
      </c>
      <c r="Q1621" s="35">
        <v>105.0</v>
      </c>
      <c r="R1621" s="32">
        <v>45863.0</v>
      </c>
      <c r="S1621" s="32">
        <v>45758.0</v>
      </c>
      <c r="T1621" s="29"/>
      <c r="U1621" s="33"/>
      <c r="V1621" s="1"/>
    </row>
    <row r="1622" ht="24.0" customHeight="1">
      <c r="A1622" s="1"/>
      <c r="B1622" s="24" t="str">
        <f>HYPERLINK("https://www.compass.com/listing/111-22-114th-street-queens-ny-11420/1776104772568659073/view?agent_id=610d3f3370540700019b0833","111-22 114th Street")</f>
        <v>111-22 114th Street</v>
      </c>
      <c r="C1622" s="25" t="s">
        <v>22</v>
      </c>
      <c r="D1622" s="26" t="s">
        <v>23</v>
      </c>
      <c r="E1622" s="27" t="str">
        <f>HYPERLINK("https://www.compass.com/building/111-22-114th-st-queens-ny-11420/293528576085521365/","111-22 114th St")</f>
        <v>111-22 114th St</v>
      </c>
      <c r="F1622" s="25" t="s">
        <v>277</v>
      </c>
      <c r="G1622" s="28">
        <v>655000.0</v>
      </c>
      <c r="H1622" s="28">
        <v>645.0</v>
      </c>
      <c r="I1622" s="28">
        <v>288.0</v>
      </c>
      <c r="J1622" s="28">
        <v>3453.0</v>
      </c>
      <c r="K1622" s="25" t="s">
        <v>97</v>
      </c>
      <c r="L1622" s="26">
        <v>7.0</v>
      </c>
      <c r="M1622" s="26">
        <v>2.0</v>
      </c>
      <c r="N1622" s="26">
        <v>1.0</v>
      </c>
      <c r="O1622" s="30"/>
      <c r="P1622" s="34">
        <v>1016.0</v>
      </c>
      <c r="Q1622" s="35">
        <v>68.0</v>
      </c>
      <c r="R1622" s="32">
        <v>45812.0</v>
      </c>
      <c r="S1622" s="32">
        <v>45702.0</v>
      </c>
      <c r="T1622" s="29"/>
      <c r="U1622" s="33"/>
      <c r="V1622" s="1"/>
    </row>
    <row r="1623" ht="24.0" customHeight="1">
      <c r="A1623" s="1"/>
      <c r="B1623" s="24" t="str">
        <f>HYPERLINK("https://www.compass.com/listing/1143-east-224th-street-bronx-ny-10466/1773482447905010145/view?agent_id=610d3f3370540700019b0833","1143 East 224th Street")</f>
        <v>1143 East 224th Street</v>
      </c>
      <c r="C1623" s="25" t="s">
        <v>22</v>
      </c>
      <c r="D1623" s="26" t="s">
        <v>23</v>
      </c>
      <c r="E1623" s="27" t="str">
        <f>HYPERLINK("https://www.compass.com/building/1143-e-224th-st-bronx-ny-10466/293535076686250085/","1143 E 224th St")</f>
        <v>1143 E 224th St</v>
      </c>
      <c r="F1623" s="25" t="s">
        <v>282</v>
      </c>
      <c r="G1623" s="28">
        <v>505000.0</v>
      </c>
      <c r="H1623" s="28">
        <v>673.0</v>
      </c>
      <c r="I1623" s="28">
        <v>250.0</v>
      </c>
      <c r="J1623" s="28">
        <v>3002.0</v>
      </c>
      <c r="K1623" s="25" t="s">
        <v>97</v>
      </c>
      <c r="L1623" s="26">
        <v>3.0</v>
      </c>
      <c r="M1623" s="26">
        <v>2.0</v>
      </c>
      <c r="N1623" s="26">
        <v>1.0</v>
      </c>
      <c r="O1623" s="30"/>
      <c r="P1623" s="26">
        <v>750.0</v>
      </c>
      <c r="Q1623" s="35">
        <v>165.0</v>
      </c>
      <c r="R1623" s="32">
        <v>45863.0</v>
      </c>
      <c r="S1623" s="32">
        <v>45698.0</v>
      </c>
      <c r="T1623" s="29"/>
      <c r="U1623" s="33"/>
      <c r="V1623" s="1"/>
    </row>
    <row r="1624" ht="24.0" customHeight="1">
      <c r="A1624" s="1"/>
      <c r="B1624" s="24" t="str">
        <f>HYPERLINK("https://www.compass.com/listing/303-west-66th-street-unit-11dw-manhattan-ny-10023/1760010889700970281/view?agent_id=610d3f3370540700019b0833","303 West 66th Street, Unit 11DW")</f>
        <v>303 West 66th Street, Unit 11DW</v>
      </c>
      <c r="C1624" s="25" t="s">
        <v>22</v>
      </c>
      <c r="D1624" s="26" t="s">
        <v>23</v>
      </c>
      <c r="E1624" s="27" t="str">
        <f>HYPERLINK("https://www.compass.com/building/lincoln-guild-manhattan-ny/294835608891304661/","Lincoln Guild")</f>
        <v>Lincoln Guild</v>
      </c>
      <c r="F1624" s="25" t="s">
        <v>29</v>
      </c>
      <c r="G1624" s="28">
        <v>892500.0</v>
      </c>
      <c r="H1624" s="28">
        <v>1071.0</v>
      </c>
      <c r="I1624" s="28">
        <v>1901.0</v>
      </c>
      <c r="J1624" s="28">
        <v>0.0</v>
      </c>
      <c r="K1624" s="25" t="s">
        <v>25</v>
      </c>
      <c r="L1624" s="26">
        <v>5.0</v>
      </c>
      <c r="M1624" s="26">
        <v>2.0</v>
      </c>
      <c r="N1624" s="26">
        <v>1.0</v>
      </c>
      <c r="O1624" s="30"/>
      <c r="P1624" s="26">
        <v>833.0</v>
      </c>
      <c r="Q1624" s="35">
        <v>184.0</v>
      </c>
      <c r="R1624" s="32">
        <v>45680.0</v>
      </c>
      <c r="S1624" s="32">
        <v>45679.0</v>
      </c>
      <c r="T1624" s="29"/>
      <c r="U1624" s="33"/>
      <c r="V1624" s="1"/>
    </row>
    <row r="1625" ht="24.0" customHeight="1">
      <c r="A1625" s="1"/>
      <c r="B1625" s="24" t="str">
        <f>HYPERLINK("https://www.compass.com/listing/87-10-204th-street-unit-b28-queens-ny-11423/1718380853846280409/view?agent_id=610d3f3370540700019b0833","87-10 204th Street, Unit B28")</f>
        <v>87-10 204th Street, Unit B28</v>
      </c>
      <c r="C1625" s="25" t="s">
        <v>22</v>
      </c>
      <c r="D1625" s="26" t="s">
        <v>23</v>
      </c>
      <c r="E1625" s="27" t="str">
        <f>HYPERLINK("https://www.compass.com/building/87-10-204th-st-queens-ny-11423/293532090635487397/","87-10 204th St")</f>
        <v>87-10 204th St</v>
      </c>
      <c r="F1625" s="25" t="s">
        <v>99</v>
      </c>
      <c r="G1625" s="28">
        <v>300000.0</v>
      </c>
      <c r="H1625" s="29"/>
      <c r="I1625" s="28">
        <v>967.0</v>
      </c>
      <c r="J1625" s="28">
        <v>0.0</v>
      </c>
      <c r="K1625" s="25" t="s">
        <v>25</v>
      </c>
      <c r="L1625" s="26">
        <v>4.0</v>
      </c>
      <c r="M1625" s="26">
        <v>2.0</v>
      </c>
      <c r="N1625" s="26">
        <v>1.0</v>
      </c>
      <c r="O1625" s="30"/>
      <c r="P1625" s="30"/>
      <c r="Q1625" s="35">
        <v>234.0</v>
      </c>
      <c r="R1625" s="32">
        <v>45632.0</v>
      </c>
      <c r="S1625" s="32">
        <v>45629.0</v>
      </c>
      <c r="T1625" s="29"/>
      <c r="U1625" s="33"/>
      <c r="V1625" s="1"/>
    </row>
    <row r="1626" ht="24.0" customHeight="1">
      <c r="A1626" s="1"/>
      <c r="B1626" s="24" t="str">
        <f>HYPERLINK("https://www.compass.com/listing/131-11-kew-gardens-road-unit-6n-queens-ny-11418/1809045497776283113/view?agent_id=610d3f3370540700019b0833","131-11 Kew Gardens Road, Unit 6N")</f>
        <v>131-11 Kew Gardens Road, Unit 6N</v>
      </c>
      <c r="C1626" s="25" t="s">
        <v>22</v>
      </c>
      <c r="D1626" s="26" t="s">
        <v>23</v>
      </c>
      <c r="E1626" s="27" t="str">
        <f>HYPERLINK("https://www.compass.com/building/131-11-kew-gardens-rd-queens-ny-11418/293535608029154133/","131-11 Kew Gardens Rd")</f>
        <v>131-11 Kew Gardens Rd</v>
      </c>
      <c r="F1626" s="25" t="s">
        <v>91</v>
      </c>
      <c r="G1626" s="28">
        <v>269000.0</v>
      </c>
      <c r="H1626" s="28">
        <v>299.0</v>
      </c>
      <c r="I1626" s="28">
        <v>976.0</v>
      </c>
      <c r="J1626" s="29"/>
      <c r="K1626" s="25" t="s">
        <v>25</v>
      </c>
      <c r="L1626" s="26">
        <v>5.0</v>
      </c>
      <c r="M1626" s="26">
        <v>2.0</v>
      </c>
      <c r="N1626" s="26">
        <v>1.0</v>
      </c>
      <c r="O1626" s="30"/>
      <c r="P1626" s="26">
        <v>900.0</v>
      </c>
      <c r="Q1626" s="35">
        <v>116.0</v>
      </c>
      <c r="R1626" s="32">
        <v>45758.0</v>
      </c>
      <c r="S1626" s="32">
        <v>45747.0</v>
      </c>
      <c r="T1626" s="29"/>
      <c r="U1626" s="33"/>
      <c r="V1626" s="1"/>
    </row>
    <row r="1627" ht="24.0" customHeight="1">
      <c r="A1627" s="1"/>
      <c r="B1627" s="24" t="str">
        <f>HYPERLINK("https://www.compass.com/listing/3535-kings-college-place-unit-5a-bronx-ny-10467/1334821395129715225/view?agent_id=610d3f3370540700019b0833","3535 Kings College Place, Unit 5A")</f>
        <v>3535 Kings College Place, Unit 5A</v>
      </c>
      <c r="C1627" s="25" t="s">
        <v>22</v>
      </c>
      <c r="D1627" s="26" t="s">
        <v>23</v>
      </c>
      <c r="E1627" s="27" t="str">
        <f>HYPERLINK("https://www.compass.com/building/3535-kings-college-pl-bronx-ny-10467/293529703933837429/","3535 Kings College Pl")</f>
        <v>3535 Kings College Pl</v>
      </c>
      <c r="F1627" s="25" t="s">
        <v>154</v>
      </c>
      <c r="G1627" s="28">
        <v>179998.0</v>
      </c>
      <c r="H1627" s="28">
        <v>200.0</v>
      </c>
      <c r="I1627" s="28">
        <v>828.0</v>
      </c>
      <c r="J1627" s="29"/>
      <c r="K1627" s="25" t="s">
        <v>25</v>
      </c>
      <c r="L1627" s="26">
        <v>5.0</v>
      </c>
      <c r="M1627" s="26">
        <v>2.0</v>
      </c>
      <c r="N1627" s="26">
        <v>1.0</v>
      </c>
      <c r="O1627" s="30"/>
      <c r="P1627" s="26">
        <v>900.0</v>
      </c>
      <c r="Q1627" s="35">
        <v>295.0</v>
      </c>
      <c r="R1627" s="32">
        <v>45863.0</v>
      </c>
      <c r="S1627" s="32">
        <v>45096.0</v>
      </c>
      <c r="T1627" s="29"/>
      <c r="U1627" s="33"/>
      <c r="V1627" s="1"/>
    </row>
    <row r="1628" ht="24.0" customHeight="1">
      <c r="A1628" s="1"/>
      <c r="B1628" s="24" t="str">
        <f>HYPERLINK("https://www.compass.com/listing/83-15-116th-street-unit-1f-queens-ny-11418/1201604443976468513/view?agent_id=610d3f3370540700019b0833","83-15 116th Street, Unit 1F")</f>
        <v>83-15 116th Street, Unit 1F</v>
      </c>
      <c r="C1628" s="25" t="s">
        <v>22</v>
      </c>
      <c r="D1628" s="26" t="s">
        <v>23</v>
      </c>
      <c r="E1628" s="27" t="str">
        <f>HYPERLINK("https://www.compass.com/building/83-15-116th-st-queens-ny-11418/293417304010638709/","83-15 116th St")</f>
        <v>83-15 116th St</v>
      </c>
      <c r="F1628" s="25" t="s">
        <v>91</v>
      </c>
      <c r="G1628" s="28">
        <v>349900.0</v>
      </c>
      <c r="H1628" s="28">
        <v>355.0</v>
      </c>
      <c r="I1628" s="28">
        <v>893.0</v>
      </c>
      <c r="J1628" s="29"/>
      <c r="K1628" s="25" t="s">
        <v>25</v>
      </c>
      <c r="L1628" s="26">
        <v>5.0</v>
      </c>
      <c r="M1628" s="26">
        <v>2.0</v>
      </c>
      <c r="N1628" s="26">
        <v>1.0</v>
      </c>
      <c r="O1628" s="30"/>
      <c r="P1628" s="26">
        <v>987.0</v>
      </c>
      <c r="Q1628" s="35">
        <v>77.0</v>
      </c>
      <c r="R1628" s="32">
        <v>45853.0</v>
      </c>
      <c r="S1628" s="32">
        <v>45643.0</v>
      </c>
      <c r="T1628" s="29"/>
      <c r="U1628" s="33"/>
      <c r="V1628" s="1"/>
    </row>
    <row r="1629" ht="24.0" customHeight="1">
      <c r="A1629" s="1"/>
      <c r="B1629" s="24" t="str">
        <f>HYPERLINK("https://www.compass.com/listing/45-outerbridge-avenue-staten-island-ny-10309/1824187766715588609/view?agent_id=610d3f3370540700019b0833","45 Outerbridge Avenue")</f>
        <v>45 Outerbridge Avenue</v>
      </c>
      <c r="C1629" s="25" t="s">
        <v>22</v>
      </c>
      <c r="D1629" s="26" t="s">
        <v>23</v>
      </c>
      <c r="E1629" s="27" t="str">
        <f>HYPERLINK("https://www.compass.com/building/45-outerbridge-ave-staten-island-ny-10309/293532641339182549/","45 Outerbridge Ave")</f>
        <v>45 Outerbridge Ave</v>
      </c>
      <c r="F1629" s="25" t="s">
        <v>336</v>
      </c>
      <c r="G1629" s="28">
        <v>674999.0</v>
      </c>
      <c r="H1629" s="28">
        <v>694.0</v>
      </c>
      <c r="I1629" s="28">
        <v>511.0</v>
      </c>
      <c r="J1629" s="28">
        <v>6129.0</v>
      </c>
      <c r="K1629" s="25" t="s">
        <v>97</v>
      </c>
      <c r="L1629" s="26">
        <v>6.0</v>
      </c>
      <c r="M1629" s="26">
        <v>2.0</v>
      </c>
      <c r="N1629" s="26">
        <v>1.0</v>
      </c>
      <c r="O1629" s="26">
        <v>0.0</v>
      </c>
      <c r="P1629" s="26">
        <v>972.0</v>
      </c>
      <c r="Q1629" s="35">
        <v>95.0</v>
      </c>
      <c r="R1629" s="32">
        <v>45862.0</v>
      </c>
      <c r="S1629" s="32">
        <v>45767.0</v>
      </c>
      <c r="T1629" s="29"/>
      <c r="U1629" s="33"/>
      <c r="V1629" s="1"/>
    </row>
    <row r="1630" ht="24.0" customHeight="1">
      <c r="A1630" s="1"/>
      <c r="B1630" s="24" t="str">
        <f>HYPERLINK("https://www.compass.com/listing/3021-avenue-z-unit-2l-brooklyn-ny-11235/1424780358507908473/view?agent_id=610d3f3370540700019b0833","3021 Avenue Z, Unit 2L")</f>
        <v>3021 Avenue Z, Unit 2L</v>
      </c>
      <c r="C1630" s="25" t="s">
        <v>22</v>
      </c>
      <c r="D1630" s="26" t="s">
        <v>23</v>
      </c>
      <c r="E1630" s="27" t="str">
        <f>HYPERLINK("https://www.compass.com/building/3021-avenue-z-brooklyn-ny-11235/389275242576282053/","3021 Avenue Z")</f>
        <v>3021 Avenue Z</v>
      </c>
      <c r="F1630" s="25" t="s">
        <v>70</v>
      </c>
      <c r="G1630" s="28">
        <v>259000.0</v>
      </c>
      <c r="H1630" s="28">
        <v>264.0</v>
      </c>
      <c r="I1630" s="28">
        <v>959.0</v>
      </c>
      <c r="J1630" s="29"/>
      <c r="K1630" s="25" t="s">
        <v>25</v>
      </c>
      <c r="L1630" s="26">
        <v>4.0</v>
      </c>
      <c r="M1630" s="26">
        <v>2.0</v>
      </c>
      <c r="N1630" s="26">
        <v>1.0</v>
      </c>
      <c r="O1630" s="30"/>
      <c r="P1630" s="26">
        <v>980.0</v>
      </c>
      <c r="Q1630" s="35">
        <v>645.0</v>
      </c>
      <c r="R1630" s="32">
        <v>45861.0</v>
      </c>
      <c r="S1630" s="32">
        <v>45217.0</v>
      </c>
      <c r="T1630" s="29"/>
      <c r="U1630" s="33"/>
      <c r="V1630" s="1"/>
    </row>
    <row r="1631" ht="24.0" customHeight="1">
      <c r="A1631" s="1"/>
      <c r="B1631" s="24" t="str">
        <f>HYPERLINK("https://www.compass.com/listing/142-20-franklin-avenue-unit-2v-queens-ny-11355/1839998870241672497/view?agent_id=610d3f3370540700019b0833","142-20 Franklin Avenue, Unit 2V")</f>
        <v>142-20 Franklin Avenue, Unit 2V</v>
      </c>
      <c r="C1631" s="25" t="s">
        <v>22</v>
      </c>
      <c r="D1631" s="26" t="s">
        <v>23</v>
      </c>
      <c r="E1631" s="27" t="str">
        <f>HYPERLINK("https://www.compass.com/building/142-20-franklin-ave-queens-ny-11355/293528929766036933/","142-20 Franklin Ave")</f>
        <v>142-20 Franklin Ave</v>
      </c>
      <c r="F1631" s="25" t="s">
        <v>185</v>
      </c>
      <c r="G1631" s="28">
        <v>518000.0</v>
      </c>
      <c r="H1631" s="28">
        <v>822.0</v>
      </c>
      <c r="I1631" s="28">
        <v>723.0</v>
      </c>
      <c r="J1631" s="28">
        <v>3287.0</v>
      </c>
      <c r="K1631" s="25" t="s">
        <v>28</v>
      </c>
      <c r="L1631" s="26">
        <v>5.0</v>
      </c>
      <c r="M1631" s="26">
        <v>2.0</v>
      </c>
      <c r="N1631" s="26">
        <v>1.0</v>
      </c>
      <c r="O1631" s="30"/>
      <c r="P1631" s="26">
        <v>630.0</v>
      </c>
      <c r="Q1631" s="35">
        <v>72.0</v>
      </c>
      <c r="R1631" s="32">
        <v>45850.0</v>
      </c>
      <c r="S1631" s="32">
        <v>45790.0</v>
      </c>
      <c r="T1631" s="29"/>
      <c r="U1631" s="33"/>
      <c r="V1631" s="1"/>
    </row>
    <row r="1632" ht="24.0" customHeight="1">
      <c r="A1632" s="1"/>
      <c r="B1632" s="24" t="str">
        <f>HYPERLINK("https://www.compass.com/listing/160-51-17th-avenue-queens-ny-11357/1829924185050386777/view?agent_id=610d3f3370540700019b0833","160-51 17th Avenue")</f>
        <v>160-51 17th Avenue</v>
      </c>
      <c r="C1632" s="25" t="s">
        <v>22</v>
      </c>
      <c r="D1632" s="26" t="s">
        <v>23</v>
      </c>
      <c r="E1632" s="27" t="str">
        <f>HYPERLINK("https://www.compass.com/building/160-51-17th-ave-queens-ny-11357/307434842488335749/","160-51 17th Ave")</f>
        <v>160-51 17th Ave</v>
      </c>
      <c r="F1632" s="25" t="s">
        <v>164</v>
      </c>
      <c r="G1632" s="28">
        <v>315888.0</v>
      </c>
      <c r="H1632" s="29"/>
      <c r="I1632" s="28">
        <v>1200.0</v>
      </c>
      <c r="J1632" s="29"/>
      <c r="K1632" s="25" t="s">
        <v>25</v>
      </c>
      <c r="L1632" s="26">
        <v>5.0</v>
      </c>
      <c r="M1632" s="26">
        <v>2.0</v>
      </c>
      <c r="N1632" s="30"/>
      <c r="O1632" s="30"/>
      <c r="P1632" s="30"/>
      <c r="Q1632" s="35">
        <v>87.0</v>
      </c>
      <c r="R1632" s="32">
        <v>45862.0</v>
      </c>
      <c r="S1632" s="32">
        <v>45776.0</v>
      </c>
      <c r="T1632" s="29"/>
      <c r="U1632" s="33"/>
      <c r="V1632" s="1"/>
    </row>
    <row r="1633" ht="24.0" customHeight="1">
      <c r="A1633" s="1"/>
      <c r="B1633" s="24" t="str">
        <f>HYPERLINK("https://www.compass.com/listing/109-46-125th-street-queens-ny-11420/1769072258388116521/view?agent_id=610d3f3370540700019b0833","109-46 125th Street")</f>
        <v>109-46 125th Street</v>
      </c>
      <c r="C1633" s="25" t="s">
        <v>22</v>
      </c>
      <c r="D1633" s="26" t="s">
        <v>23</v>
      </c>
      <c r="E1633" s="27" t="str">
        <f>HYPERLINK("https://www.compass.com/building/109-46-125th-st-queens-ny-11420/293527530177064037/","109-46 125th St")</f>
        <v>109-46 125th St</v>
      </c>
      <c r="F1633" s="25" t="s">
        <v>277</v>
      </c>
      <c r="G1633" s="28">
        <v>499000.0</v>
      </c>
      <c r="H1633" s="28">
        <v>594.0</v>
      </c>
      <c r="I1633" s="28">
        <v>329.0</v>
      </c>
      <c r="J1633" s="28">
        <v>3947.0</v>
      </c>
      <c r="K1633" s="25" t="s">
        <v>97</v>
      </c>
      <c r="L1633" s="26">
        <v>5.0</v>
      </c>
      <c r="M1633" s="26">
        <v>2.0</v>
      </c>
      <c r="N1633" s="26">
        <v>1.0</v>
      </c>
      <c r="O1633" s="30"/>
      <c r="P1633" s="26">
        <v>840.0</v>
      </c>
      <c r="Q1633" s="35">
        <v>170.0</v>
      </c>
      <c r="R1633" s="32">
        <v>45827.0</v>
      </c>
      <c r="S1633" s="32">
        <v>45692.0</v>
      </c>
      <c r="T1633" s="29"/>
      <c r="U1633" s="33"/>
      <c r="V1633" s="1"/>
    </row>
    <row r="1634" ht="24.0" customHeight="1">
      <c r="A1634" s="1"/>
      <c r="B1634" s="24" t="str">
        <f>HYPERLINK("https://www.compass.com/listing/2944-west-5th-street-unit-19b-brooklyn-ny-11224/1558050530840011993/view?agent_id=610d3f3370540700019b0833","2944 West 5th Street, Unit 19B")</f>
        <v>2944 West 5th Street, Unit 19B</v>
      </c>
      <c r="C1634" s="25" t="s">
        <v>22</v>
      </c>
      <c r="D1634" s="26" t="s">
        <v>23</v>
      </c>
      <c r="E1634" s="27" t="str">
        <f>HYPERLINK("https://www.compass.com/building/2944-w-5th-st-brooklyn-ny-11224/307448453273538981/","2944 W 5th St")</f>
        <v>2944 W 5th St</v>
      </c>
      <c r="F1634" s="25" t="s">
        <v>183</v>
      </c>
      <c r="G1634" s="28">
        <v>599999.0</v>
      </c>
      <c r="H1634" s="28">
        <v>536.0</v>
      </c>
      <c r="I1634" s="28">
        <v>1059.0</v>
      </c>
      <c r="J1634" s="29"/>
      <c r="K1634" s="25" t="s">
        <v>25</v>
      </c>
      <c r="L1634" s="26">
        <v>4.0</v>
      </c>
      <c r="M1634" s="26">
        <v>2.0</v>
      </c>
      <c r="N1634" s="26">
        <v>1.0</v>
      </c>
      <c r="O1634" s="30"/>
      <c r="P1634" s="34">
        <v>1120.0</v>
      </c>
      <c r="Q1634" s="35">
        <v>462.0</v>
      </c>
      <c r="R1634" s="32">
        <v>45792.0</v>
      </c>
      <c r="S1634" s="32">
        <v>45401.0</v>
      </c>
      <c r="T1634" s="29"/>
      <c r="U1634" s="33"/>
      <c r="V1634" s="1"/>
    </row>
    <row r="1635" ht="24.0" customHeight="1">
      <c r="A1635" s="1"/>
      <c r="B1635" s="24" t="str">
        <f>HYPERLINK("https://www.compass.com/listing/65-50-wetherole-street-unit-lu-queens-ny-11374/1789242819023063113/view?agent_id=610d3f3370540700019b0833","65-50 Wetherole Street, Unit LU")</f>
        <v>65-50 Wetherole Street, Unit LU</v>
      </c>
      <c r="C1635" s="25" t="s">
        <v>22</v>
      </c>
      <c r="D1635" s="26" t="s">
        <v>23</v>
      </c>
      <c r="E1635" s="27" t="str">
        <f>HYPERLINK("https://www.compass.com/building/65-50-wetherole-st-queens-ny-11374/293532762923710789/","65-50 Wetherole St")</f>
        <v>65-50 Wetherole St</v>
      </c>
      <c r="F1635" s="25" t="s">
        <v>166</v>
      </c>
      <c r="G1635" s="28">
        <v>418000.0</v>
      </c>
      <c r="H1635" s="28">
        <v>380.0</v>
      </c>
      <c r="I1635" s="28">
        <v>1115.0</v>
      </c>
      <c r="J1635" s="28">
        <v>8159.0</v>
      </c>
      <c r="K1635" s="25" t="s">
        <v>28</v>
      </c>
      <c r="L1635" s="26">
        <v>7.0</v>
      </c>
      <c r="M1635" s="26">
        <v>2.0</v>
      </c>
      <c r="N1635" s="26">
        <v>1.0</v>
      </c>
      <c r="O1635" s="30"/>
      <c r="P1635" s="34">
        <v>1100.0</v>
      </c>
      <c r="Q1635" s="35">
        <v>143.0</v>
      </c>
      <c r="R1635" s="32">
        <v>45758.0</v>
      </c>
      <c r="S1635" s="32">
        <v>45720.0</v>
      </c>
      <c r="T1635" s="29"/>
      <c r="U1635" s="33"/>
      <c r="V1635" s="1"/>
    </row>
    <row r="1636" ht="24.0" customHeight="1">
      <c r="A1636" s="1"/>
      <c r="B1636" s="24" t="str">
        <f>HYPERLINK("https://www.compass.com/listing/55-austin-place-unit-7d-staten-island-ny-10304/1786389203811671585/view?agent_id=610d3f3370540700019b0833","55 Austin Place, Unit 7D")</f>
        <v>55 Austin Place, Unit 7D</v>
      </c>
      <c r="C1636" s="25" t="s">
        <v>22</v>
      </c>
      <c r="D1636" s="26" t="s">
        <v>23</v>
      </c>
      <c r="E1636" s="27" t="str">
        <f>HYPERLINK("https://www.compass.com/building/55-austin-pl-staten-island-ny-10304/293533004691750821/","55 Austin Pl")</f>
        <v>55 Austin Pl</v>
      </c>
      <c r="F1636" s="25" t="s">
        <v>337</v>
      </c>
      <c r="G1636" s="28">
        <v>350000.0</v>
      </c>
      <c r="H1636" s="28">
        <v>411.0</v>
      </c>
      <c r="I1636" s="28">
        <v>907.0</v>
      </c>
      <c r="J1636" s="28">
        <v>3279.0</v>
      </c>
      <c r="K1636" s="25" t="s">
        <v>28</v>
      </c>
      <c r="L1636" s="26">
        <v>5.0</v>
      </c>
      <c r="M1636" s="26">
        <v>2.0</v>
      </c>
      <c r="N1636" s="26">
        <v>1.0</v>
      </c>
      <c r="O1636" s="26">
        <v>0.0</v>
      </c>
      <c r="P1636" s="26">
        <v>851.0</v>
      </c>
      <c r="Q1636" s="35">
        <v>148.0</v>
      </c>
      <c r="R1636" s="32">
        <v>45827.0</v>
      </c>
      <c r="S1636" s="32">
        <v>45715.0</v>
      </c>
      <c r="T1636" s="29"/>
      <c r="U1636" s="33"/>
      <c r="V1636" s="1"/>
    </row>
    <row r="1637" ht="24.0" customHeight="1">
      <c r="A1637" s="1"/>
      <c r="B1637" s="24" t="str">
        <f>HYPERLINK("https://www.compass.com/listing/2652-cropsey-avenue-unit-16c-brooklyn-ny-11214/1780719142072153785/view?agent_id=610d3f3370540700019b0833","2652 Cropsey Avenue, Unit 16C")</f>
        <v>2652 Cropsey Avenue, Unit 16C</v>
      </c>
      <c r="C1637" s="25" t="s">
        <v>22</v>
      </c>
      <c r="D1637" s="26" t="s">
        <v>23</v>
      </c>
      <c r="E1637" s="27" t="str">
        <f>HYPERLINK("https://www.compass.com/building/2652-cropsey-ave-brooklyn-ny-11214/307458309459955621/","2652 Cropsey Ave")</f>
        <v>2652 Cropsey Ave</v>
      </c>
      <c r="F1637" s="25" t="s">
        <v>173</v>
      </c>
      <c r="G1637" s="28">
        <v>380000.0</v>
      </c>
      <c r="H1637" s="28">
        <v>380.0</v>
      </c>
      <c r="I1637" s="28">
        <v>1032.0</v>
      </c>
      <c r="J1637" s="29"/>
      <c r="K1637" s="25" t="s">
        <v>25</v>
      </c>
      <c r="L1637" s="26">
        <v>4.0</v>
      </c>
      <c r="M1637" s="26">
        <v>2.0</v>
      </c>
      <c r="N1637" s="26">
        <v>1.0</v>
      </c>
      <c r="O1637" s="30"/>
      <c r="P1637" s="34">
        <v>1000.0</v>
      </c>
      <c r="Q1637" s="35">
        <v>155.0</v>
      </c>
      <c r="R1637" s="32">
        <v>45825.0</v>
      </c>
      <c r="S1637" s="32">
        <v>45708.0</v>
      </c>
      <c r="T1637" s="29"/>
      <c r="U1637" s="33"/>
      <c r="V1637" s="1"/>
    </row>
    <row r="1638" ht="24.0" customHeight="1">
      <c r="A1638" s="1"/>
      <c r="B1638" s="24" t="str">
        <f>HYPERLINK("https://www.compass.com/listing/9-15-166th-street-unit-7d-queens-ny-11357/1781450407708437857/view?agent_id=610d3f3370540700019b0833","9-15 166th Street, Unit 7D")</f>
        <v>9-15 166th Street, Unit 7D</v>
      </c>
      <c r="C1638" s="25" t="s">
        <v>22</v>
      </c>
      <c r="D1638" s="26" t="s">
        <v>23</v>
      </c>
      <c r="E1638" s="27" t="str">
        <f>HYPERLINK("https://www.compass.com/building/9-15-166th-st-queens-ny-11357/293531261211789253/","9-15 166th St")</f>
        <v>9-15 166th St</v>
      </c>
      <c r="F1638" s="25" t="s">
        <v>94</v>
      </c>
      <c r="G1638" s="28">
        <v>410000.0</v>
      </c>
      <c r="H1638" s="28">
        <v>404.0</v>
      </c>
      <c r="I1638" s="28">
        <v>1378.0</v>
      </c>
      <c r="J1638" s="29"/>
      <c r="K1638" s="25" t="s">
        <v>25</v>
      </c>
      <c r="L1638" s="26">
        <v>5.0</v>
      </c>
      <c r="M1638" s="26">
        <v>2.0</v>
      </c>
      <c r="N1638" s="26">
        <v>1.0</v>
      </c>
      <c r="O1638" s="30"/>
      <c r="P1638" s="34">
        <v>1014.0</v>
      </c>
      <c r="Q1638" s="35">
        <v>154.0</v>
      </c>
      <c r="R1638" s="32">
        <v>45830.0</v>
      </c>
      <c r="S1638" s="32">
        <v>45709.0</v>
      </c>
      <c r="T1638" s="29"/>
      <c r="U1638" s="33"/>
      <c r="V1638" s="1"/>
    </row>
    <row r="1639" ht="24.0" customHeight="1">
      <c r="A1639" s="1"/>
      <c r="B1639" s="24" t="str">
        <f>HYPERLINK("https://www.compass.com/listing/3249-barkley-avenue-unit-b-bronx-ny-10465/1788732654536342473/view?agent_id=610d3f3370540700019b0833","3249 Barkley Avenue, Unit B")</f>
        <v>3249 Barkley Avenue, Unit B</v>
      </c>
      <c r="C1639" s="25" t="s">
        <v>22</v>
      </c>
      <c r="D1639" s="26" t="s">
        <v>23</v>
      </c>
      <c r="E1639" s="26" t="s">
        <v>338</v>
      </c>
      <c r="F1639" s="25" t="s">
        <v>208</v>
      </c>
      <c r="G1639" s="28">
        <v>358888.0</v>
      </c>
      <c r="H1639" s="28">
        <v>630.0</v>
      </c>
      <c r="I1639" s="28">
        <v>238.0</v>
      </c>
      <c r="J1639" s="28">
        <v>2854.0</v>
      </c>
      <c r="K1639" s="25" t="s">
        <v>97</v>
      </c>
      <c r="L1639" s="26">
        <v>5.0</v>
      </c>
      <c r="M1639" s="26">
        <v>2.0</v>
      </c>
      <c r="N1639" s="26">
        <v>1.0</v>
      </c>
      <c r="O1639" s="30"/>
      <c r="P1639" s="26">
        <v>570.0</v>
      </c>
      <c r="Q1639" s="35">
        <v>144.0</v>
      </c>
      <c r="R1639" s="32">
        <v>45858.0</v>
      </c>
      <c r="S1639" s="32">
        <v>45719.0</v>
      </c>
      <c r="T1639" s="29"/>
      <c r="U1639" s="33"/>
      <c r="V1639" s="1"/>
    </row>
    <row r="1640" ht="24.0" customHeight="1">
      <c r="A1640" s="1"/>
      <c r="B1640" s="24" t="str">
        <f>HYPERLINK("https://www.compass.com/listing/97-37-63rd-road-unit-9h-queens-ny-11374/1789384083458187225/view?agent_id=610d3f3370540700019b0833","97-37 63rd Road, Unit 9H")</f>
        <v>97-37 63rd Road, Unit 9H</v>
      </c>
      <c r="C1640" s="25" t="s">
        <v>22</v>
      </c>
      <c r="D1640" s="26" t="s">
        <v>23</v>
      </c>
      <c r="E1640" s="27" t="str">
        <f>HYPERLINK("https://www.compass.com/building/97-37-63rd-rd-queens-ny-11374/307441599436873973/","97-37 63rd Rd")</f>
        <v>97-37 63rd Rd</v>
      </c>
      <c r="F1640" s="25" t="s">
        <v>166</v>
      </c>
      <c r="G1640" s="28">
        <v>439000.0</v>
      </c>
      <c r="H1640" s="28">
        <v>488.0</v>
      </c>
      <c r="I1640" s="28">
        <v>1105.0</v>
      </c>
      <c r="J1640" s="29"/>
      <c r="K1640" s="25" t="s">
        <v>25</v>
      </c>
      <c r="L1640" s="26">
        <v>4.0</v>
      </c>
      <c r="M1640" s="26">
        <v>2.0</v>
      </c>
      <c r="N1640" s="26">
        <v>1.0</v>
      </c>
      <c r="O1640" s="30"/>
      <c r="P1640" s="26">
        <v>900.0</v>
      </c>
      <c r="Q1640" s="35">
        <v>143.0</v>
      </c>
      <c r="R1640" s="32">
        <v>45851.0</v>
      </c>
      <c r="S1640" s="32">
        <v>45720.0</v>
      </c>
      <c r="T1640" s="29"/>
      <c r="U1640" s="33"/>
      <c r="V1640" s="1"/>
    </row>
    <row r="1641" ht="24.0" customHeight="1">
      <c r="A1641" s="1"/>
      <c r="B1641" s="24" t="str">
        <f>HYPERLINK("https://www.compass.com/listing/31-47-137th-street-unit-4b-queens-ny-11354/1812409999663111937/view?agent_id=610d3f3370540700019b0833","31-47 137th Street, Unit 4B")</f>
        <v>31-47 137th Street, Unit 4B</v>
      </c>
      <c r="C1641" s="25" t="s">
        <v>22</v>
      </c>
      <c r="D1641" s="26" t="s">
        <v>23</v>
      </c>
      <c r="E1641" s="27" t="str">
        <f>HYPERLINK("https://www.compass.com/building/31-47-137th-st-queens-ny-11354/307451701778612789/","31-47 137th St")</f>
        <v>31-47 137th St</v>
      </c>
      <c r="F1641" s="25" t="s">
        <v>185</v>
      </c>
      <c r="G1641" s="28">
        <v>599000.0</v>
      </c>
      <c r="H1641" s="28">
        <v>748.0</v>
      </c>
      <c r="I1641" s="28">
        <v>7.0</v>
      </c>
      <c r="J1641" s="28">
        <v>84.0</v>
      </c>
      <c r="K1641" s="25" t="s">
        <v>28</v>
      </c>
      <c r="L1641" s="26">
        <v>4.0</v>
      </c>
      <c r="M1641" s="26">
        <v>2.0</v>
      </c>
      <c r="N1641" s="26">
        <v>1.0</v>
      </c>
      <c r="O1641" s="30"/>
      <c r="P1641" s="26">
        <v>801.0</v>
      </c>
      <c r="Q1641" s="35">
        <v>76.0</v>
      </c>
      <c r="R1641" s="32">
        <v>45850.0</v>
      </c>
      <c r="S1641" s="32">
        <v>45787.0</v>
      </c>
      <c r="T1641" s="29"/>
      <c r="U1641" s="33"/>
      <c r="V1641" s="1"/>
    </row>
    <row r="1642" ht="24.0" customHeight="1">
      <c r="A1642" s="1"/>
      <c r="B1642" s="24" t="str">
        <f>HYPERLINK("https://www.compass.com/listing/139-76-35th-avenue-unit-1f-queens-ny-11354/1785158750206553545/view?agent_id=610d3f3370540700019b0833","139-76 35th Avenue, Unit 1F")</f>
        <v>139-76 35th Avenue, Unit 1F</v>
      </c>
      <c r="C1642" s="25" t="s">
        <v>22</v>
      </c>
      <c r="D1642" s="26" t="s">
        <v>23</v>
      </c>
      <c r="E1642" s="27" t="str">
        <f>HYPERLINK("https://www.compass.com/building/139-76-35th-ave-queens-ny-11354/293531130836121605/","139-76 35th Ave")</f>
        <v>139-76 35th Ave</v>
      </c>
      <c r="F1642" s="25" t="s">
        <v>185</v>
      </c>
      <c r="G1642" s="28">
        <v>499000.0</v>
      </c>
      <c r="H1642" s="28">
        <v>736.0</v>
      </c>
      <c r="I1642" s="28">
        <v>779.0</v>
      </c>
      <c r="J1642" s="28">
        <v>5886.0</v>
      </c>
      <c r="K1642" s="25" t="s">
        <v>28</v>
      </c>
      <c r="L1642" s="26">
        <v>5.0</v>
      </c>
      <c r="M1642" s="26">
        <v>2.0</v>
      </c>
      <c r="N1642" s="26">
        <v>1.0</v>
      </c>
      <c r="O1642" s="30"/>
      <c r="P1642" s="26">
        <v>678.0</v>
      </c>
      <c r="Q1642" s="35">
        <v>149.0</v>
      </c>
      <c r="R1642" s="32">
        <v>45766.0</v>
      </c>
      <c r="S1642" s="32">
        <v>45714.0</v>
      </c>
      <c r="T1642" s="29"/>
      <c r="U1642" s="33"/>
      <c r="V1642" s="1"/>
    </row>
    <row r="1643" ht="24.0" customHeight="1">
      <c r="A1643" s="1"/>
      <c r="B1643" s="24" t="str">
        <f>HYPERLINK("https://www.compass.com/listing/1223-avenue-y-brooklyn-ny-11235/1672347055684899273/view?agent_id=610d3f3370540700019b0833","1223 Avenue Y")</f>
        <v>1223 Avenue Y</v>
      </c>
      <c r="C1643" s="25" t="s">
        <v>22</v>
      </c>
      <c r="D1643" s="26" t="s">
        <v>23</v>
      </c>
      <c r="E1643" s="27" t="str">
        <f>HYPERLINK("https://www.compass.com/building/1223-avenue-y-brooklyn-ny-11235/293529255411808357/","1223 Avenue Y")</f>
        <v>1223 Avenue Y</v>
      </c>
      <c r="F1643" s="25" t="s">
        <v>70</v>
      </c>
      <c r="G1643" s="28">
        <v>1225000.0</v>
      </c>
      <c r="H1643" s="28">
        <v>1276.0</v>
      </c>
      <c r="I1643" s="28">
        <v>359.0</v>
      </c>
      <c r="J1643" s="28">
        <v>4308.0</v>
      </c>
      <c r="K1643" s="25" t="s">
        <v>93</v>
      </c>
      <c r="L1643" s="26">
        <v>5.0</v>
      </c>
      <c r="M1643" s="26">
        <v>2.0</v>
      </c>
      <c r="N1643" s="26">
        <v>1.0</v>
      </c>
      <c r="O1643" s="30"/>
      <c r="P1643" s="26">
        <v>960.0</v>
      </c>
      <c r="Q1643" s="35">
        <v>305.0</v>
      </c>
      <c r="R1643" s="32">
        <v>45559.0</v>
      </c>
      <c r="S1643" s="32">
        <v>45558.0</v>
      </c>
      <c r="T1643" s="29"/>
      <c r="U1643" s="33"/>
      <c r="V1643" s="1"/>
    </row>
    <row r="1644" ht="24.0" customHeight="1">
      <c r="A1644" s="1"/>
      <c r="B1644" s="24" t="str">
        <f>HYPERLINK("https://www.compass.com/listing/599-correll-avenue-unit-150-staten-island-ny-10309/1818977800562939217/view?agent_id=610d3f3370540700019b0833","599 Correll Avenue, Unit 150")</f>
        <v>599 Correll Avenue, Unit 150</v>
      </c>
      <c r="C1644" s="25" t="s">
        <v>22</v>
      </c>
      <c r="D1644" s="26" t="s">
        <v>23</v>
      </c>
      <c r="E1644" s="27" t="str">
        <f>HYPERLINK("https://www.compass.com/building/599-correll-ave-staten-island-ny-10309/358723355222788309/","599 Correll Ave")</f>
        <v>599 Correll Ave</v>
      </c>
      <c r="F1644" s="25" t="s">
        <v>276</v>
      </c>
      <c r="G1644" s="28">
        <v>460000.0</v>
      </c>
      <c r="H1644" s="28">
        <v>470.0</v>
      </c>
      <c r="I1644" s="28">
        <v>614.0</v>
      </c>
      <c r="J1644" s="28">
        <v>3639.0</v>
      </c>
      <c r="K1644" s="25" t="s">
        <v>339</v>
      </c>
      <c r="L1644" s="26">
        <v>4.0</v>
      </c>
      <c r="M1644" s="26">
        <v>2.0</v>
      </c>
      <c r="N1644" s="26">
        <v>1.0</v>
      </c>
      <c r="O1644" s="26">
        <v>0.0</v>
      </c>
      <c r="P1644" s="26">
        <v>978.0</v>
      </c>
      <c r="Q1644" s="35">
        <v>102.0</v>
      </c>
      <c r="R1644" s="32">
        <v>45860.0</v>
      </c>
      <c r="S1644" s="32">
        <v>45760.0</v>
      </c>
      <c r="T1644" s="29"/>
      <c r="U1644" s="33"/>
      <c r="V1644" s="1"/>
    </row>
    <row r="1645" ht="24.0" customHeight="1">
      <c r="A1645" s="1"/>
      <c r="B1645" s="24" t="str">
        <f>HYPERLINK("https://www.compass.com/listing/42-26-81st-street-unit-7k-queens-ny-11373/1810831056757046177/view?agent_id=610d3f3370540700019b0833","42-26 81st Street, Unit 7K")</f>
        <v>42-26 81st Street, Unit 7K</v>
      </c>
      <c r="C1645" s="25" t="s">
        <v>22</v>
      </c>
      <c r="D1645" s="26" t="s">
        <v>23</v>
      </c>
      <c r="E1645" s="27" t="str">
        <f>HYPERLINK("https://www.compass.com/building/42-26-81st-st-queens-ny-11373/293527812512422485/","42-26 81st St")</f>
        <v>42-26 81st St</v>
      </c>
      <c r="F1645" s="25" t="s">
        <v>151</v>
      </c>
      <c r="G1645" s="28">
        <v>425000.0</v>
      </c>
      <c r="H1645" s="28">
        <v>531.0</v>
      </c>
      <c r="I1645" s="28">
        <v>801.0</v>
      </c>
      <c r="J1645" s="29"/>
      <c r="K1645" s="25" t="s">
        <v>25</v>
      </c>
      <c r="L1645" s="26">
        <v>5.0</v>
      </c>
      <c r="M1645" s="26">
        <v>2.0</v>
      </c>
      <c r="N1645" s="26">
        <v>1.0</v>
      </c>
      <c r="O1645" s="30"/>
      <c r="P1645" s="26">
        <v>800.0</v>
      </c>
      <c r="Q1645" s="35">
        <v>98.0</v>
      </c>
      <c r="R1645" s="32">
        <v>45856.0</v>
      </c>
      <c r="S1645" s="32">
        <v>45764.0</v>
      </c>
      <c r="T1645" s="29"/>
      <c r="U1645" s="33"/>
      <c r="V1645" s="1"/>
    </row>
    <row r="1646" ht="24.0" customHeight="1">
      <c r="A1646" s="1"/>
      <c r="B1646" s="24" t="str">
        <f>HYPERLINK("https://www.compass.com/listing/94-11-60th-avenue-unit-4e-queens-ny-11373/1765540060414672777/view?agent_id=610d3f3370540700019b0833","94-11 60th Avenue, Unit 4E")</f>
        <v>94-11 60th Avenue, Unit 4E</v>
      </c>
      <c r="C1646" s="25" t="s">
        <v>22</v>
      </c>
      <c r="D1646" s="26" t="s">
        <v>23</v>
      </c>
      <c r="E1646" s="27" t="str">
        <f>HYPERLINK("https://www.compass.com/building/94-11-60th-ave-queens-ny-11373/307438656511727717/","94-11 60th Ave")</f>
        <v>94-11 60th Ave</v>
      </c>
      <c r="F1646" s="25" t="s">
        <v>151</v>
      </c>
      <c r="G1646" s="28">
        <v>385000.0</v>
      </c>
      <c r="H1646" s="28">
        <v>406.0</v>
      </c>
      <c r="I1646" s="28">
        <v>718.0</v>
      </c>
      <c r="J1646" s="29"/>
      <c r="K1646" s="25" t="s">
        <v>25</v>
      </c>
      <c r="L1646" s="26">
        <v>4.0</v>
      </c>
      <c r="M1646" s="26">
        <v>2.0</v>
      </c>
      <c r="N1646" s="26">
        <v>1.0</v>
      </c>
      <c r="O1646" s="30"/>
      <c r="P1646" s="26">
        <v>948.0</v>
      </c>
      <c r="Q1646" s="35">
        <v>175.0</v>
      </c>
      <c r="R1646" s="32">
        <v>45859.0</v>
      </c>
      <c r="S1646" s="32">
        <v>45687.0</v>
      </c>
      <c r="T1646" s="29"/>
      <c r="U1646" s="33"/>
      <c r="V1646" s="1"/>
    </row>
    <row r="1647" ht="24.0" customHeight="1">
      <c r="A1647" s="1"/>
      <c r="B1647" s="24" t="str">
        <f>HYPERLINK("https://www.compass.com/listing/2930-west-5th-street-unit-3j-brooklyn-ny-11224/1815184744444445897/view?agent_id=610d3f3370540700019b0833","2930 West 5th Street, Unit 3J")</f>
        <v>2930 West 5th Street, Unit 3J</v>
      </c>
      <c r="C1647" s="25" t="s">
        <v>22</v>
      </c>
      <c r="D1647" s="26" t="s">
        <v>23</v>
      </c>
      <c r="E1647" s="27" t="str">
        <f>HYPERLINK("https://www.compass.com/building/2930-w-5th-st-brooklyn-ny-11224/293535414059291925/","2930 W 5th St")</f>
        <v>2930 W 5th St</v>
      </c>
      <c r="F1647" s="25" t="s">
        <v>183</v>
      </c>
      <c r="G1647" s="28">
        <v>499000.0</v>
      </c>
      <c r="H1647" s="28">
        <v>454.0</v>
      </c>
      <c r="I1647" s="28">
        <v>1161.0</v>
      </c>
      <c r="J1647" s="28">
        <v>0.0</v>
      </c>
      <c r="K1647" s="25" t="s">
        <v>25</v>
      </c>
      <c r="L1647" s="26">
        <v>5.0</v>
      </c>
      <c r="M1647" s="26">
        <v>2.0</v>
      </c>
      <c r="N1647" s="26">
        <v>1.0</v>
      </c>
      <c r="O1647" s="30"/>
      <c r="P1647" s="34">
        <v>1100.0</v>
      </c>
      <c r="Q1647" s="35">
        <v>108.0</v>
      </c>
      <c r="R1647" s="32">
        <v>45756.0</v>
      </c>
      <c r="S1647" s="32">
        <v>45755.0</v>
      </c>
      <c r="T1647" s="29"/>
      <c r="U1647" s="33"/>
      <c r="V1647" s="1"/>
    </row>
    <row r="1648" ht="24.0" customHeight="1">
      <c r="A1648" s="1"/>
      <c r="B1648" s="24" t="str">
        <f>HYPERLINK("https://www.compass.com/listing/46-40-216th-street-unit-3b-queens-ny-11361/1793725499258489577/view?agent_id=610d3f3370540700019b0833","46-40 216th Street, Unit 3B")</f>
        <v>46-40 216th Street, Unit 3B</v>
      </c>
      <c r="C1648" s="25" t="s">
        <v>22</v>
      </c>
      <c r="D1648" s="26" t="s">
        <v>23</v>
      </c>
      <c r="E1648" s="27" t="str">
        <f>HYPERLINK("https://www.compass.com/building/46-40-216th-st-queens-ny-11361/307439001996632901/","46-40 216th St")</f>
        <v>46-40 216th St</v>
      </c>
      <c r="F1648" s="25" t="s">
        <v>252</v>
      </c>
      <c r="G1648" s="28">
        <v>324000.0</v>
      </c>
      <c r="H1648" s="28">
        <v>405.0</v>
      </c>
      <c r="I1648" s="28">
        <v>1115.0</v>
      </c>
      <c r="J1648" s="29"/>
      <c r="K1648" s="25" t="s">
        <v>25</v>
      </c>
      <c r="L1648" s="26">
        <v>4.0</v>
      </c>
      <c r="M1648" s="26">
        <v>2.0</v>
      </c>
      <c r="N1648" s="26">
        <v>1.0</v>
      </c>
      <c r="O1648" s="30"/>
      <c r="P1648" s="26">
        <v>800.0</v>
      </c>
      <c r="Q1648" s="35">
        <v>136.0</v>
      </c>
      <c r="R1648" s="32">
        <v>45829.0</v>
      </c>
      <c r="S1648" s="32">
        <v>45726.0</v>
      </c>
      <c r="T1648" s="29"/>
      <c r="U1648" s="33"/>
      <c r="V1648" s="1"/>
    </row>
    <row r="1649" ht="24.0" customHeight="1">
      <c r="A1649" s="1"/>
      <c r="B1649" s="24" t="str">
        <f>HYPERLINK("https://www.compass.com/listing/87-50-204th-street-unit-a66-queens-ny-11423/1759642003415885225/view?agent_id=610d3f3370540700019b0833","87-50 204th Street, Unit A66")</f>
        <v>87-50 204th Street, Unit A66</v>
      </c>
      <c r="C1649" s="25" t="s">
        <v>22</v>
      </c>
      <c r="D1649" s="26" t="s">
        <v>23</v>
      </c>
      <c r="E1649" s="27" t="str">
        <f>HYPERLINK("https://www.compass.com/building/87-50-204th-st-queens-ny-11423/293529423284573925/","87-50 204th St")</f>
        <v>87-50 204th St</v>
      </c>
      <c r="F1649" s="25" t="s">
        <v>99</v>
      </c>
      <c r="G1649" s="28">
        <v>249000.0</v>
      </c>
      <c r="H1649" s="29"/>
      <c r="I1649" s="28">
        <v>850.0</v>
      </c>
      <c r="J1649" s="29"/>
      <c r="K1649" s="25" t="s">
        <v>25</v>
      </c>
      <c r="L1649" s="26">
        <v>5.0</v>
      </c>
      <c r="M1649" s="26">
        <v>2.0</v>
      </c>
      <c r="N1649" s="26">
        <v>1.0</v>
      </c>
      <c r="O1649" s="30"/>
      <c r="P1649" s="30"/>
      <c r="Q1649" s="35">
        <v>184.0</v>
      </c>
      <c r="R1649" s="32">
        <v>45759.0</v>
      </c>
      <c r="S1649" s="32">
        <v>45679.0</v>
      </c>
      <c r="T1649" s="29"/>
      <c r="U1649" s="33"/>
      <c r="V1649" s="1"/>
    </row>
    <row r="1650" ht="24.0" customHeight="1">
      <c r="A1650" s="1"/>
      <c r="B1650" s="24" t="str">
        <f>HYPERLINK("https://www.compass.com/listing/2580-ocean-parkway-unit-2k-brooklyn-ny-11235/1734525615484714905/view?agent_id=610d3f3370540700019b0833","2580 Ocean Parkway, Unit 2K")</f>
        <v>2580 Ocean Parkway, Unit 2K</v>
      </c>
      <c r="C1650" s="25" t="s">
        <v>22</v>
      </c>
      <c r="D1650" s="26" t="s">
        <v>23</v>
      </c>
      <c r="E1650" s="27" t="str">
        <f>HYPERLINK("https://www.compass.com/building/2580-ocean-pkwy-brooklyn-ny-11235/294840750755888517/","2580 Ocean Pkwy")</f>
        <v>2580 Ocean Pkwy</v>
      </c>
      <c r="F1650" s="25" t="s">
        <v>205</v>
      </c>
      <c r="G1650" s="28">
        <v>379000.0</v>
      </c>
      <c r="H1650" s="28">
        <v>379.0</v>
      </c>
      <c r="I1650" s="28">
        <v>1000.0</v>
      </c>
      <c r="J1650" s="29"/>
      <c r="K1650" s="25" t="s">
        <v>25</v>
      </c>
      <c r="L1650" s="26">
        <v>4.0</v>
      </c>
      <c r="M1650" s="26">
        <v>2.0</v>
      </c>
      <c r="N1650" s="26">
        <v>1.0</v>
      </c>
      <c r="O1650" s="30"/>
      <c r="P1650" s="34">
        <v>1000.0</v>
      </c>
      <c r="Q1650" s="35">
        <v>80.0</v>
      </c>
      <c r="R1650" s="32">
        <v>45851.0</v>
      </c>
      <c r="S1650" s="32">
        <v>45783.0</v>
      </c>
      <c r="T1650" s="29"/>
      <c r="U1650" s="33"/>
      <c r="V1650" s="1"/>
    </row>
    <row r="1651" ht="24.0" customHeight="1">
      <c r="A1651" s="1"/>
      <c r="B1651" s="24" t="str">
        <f>HYPERLINK("https://www.compass.com/listing/930-east-7th-street-unit-6c-brooklyn-ny-11230/1289014354206397353/view?agent_id=610d3f3370540700019b0833","930 East 7th Street, Unit 6C")</f>
        <v>930 East 7th Street, Unit 6C</v>
      </c>
      <c r="C1651" s="25" t="s">
        <v>22</v>
      </c>
      <c r="D1651" s="26" t="s">
        <v>23</v>
      </c>
      <c r="E1651" s="27" t="str">
        <f>HYPERLINK("https://www.compass.com/building/930-e-7th-st-brooklyn-ny-11230/307443474466747365/","930 E 7th St")</f>
        <v>930 E 7th St</v>
      </c>
      <c r="F1651" s="25" t="s">
        <v>34</v>
      </c>
      <c r="G1651" s="28">
        <v>525000.0</v>
      </c>
      <c r="H1651" s="29"/>
      <c r="I1651" s="28">
        <v>1123.0</v>
      </c>
      <c r="J1651" s="28">
        <v>0.0</v>
      </c>
      <c r="K1651" s="25" t="s">
        <v>25</v>
      </c>
      <c r="L1651" s="26">
        <v>5.0</v>
      </c>
      <c r="M1651" s="26">
        <v>2.0</v>
      </c>
      <c r="N1651" s="26">
        <v>1.0</v>
      </c>
      <c r="O1651" s="26">
        <v>0.0</v>
      </c>
      <c r="P1651" s="30"/>
      <c r="Q1651" s="35">
        <v>130.0</v>
      </c>
      <c r="R1651" s="32">
        <v>45862.0</v>
      </c>
      <c r="S1651" s="32">
        <v>45733.0</v>
      </c>
      <c r="T1651" s="29"/>
      <c r="U1651" s="33"/>
      <c r="V1651" s="1"/>
    </row>
    <row r="1652" ht="24.0" customHeight="1">
      <c r="A1652" s="1"/>
      <c r="B1652" s="24" t="str">
        <f>HYPERLINK("https://www.compass.com/listing/213-02-73rd-avenue-unit-2f-queens-ny-11364/1717969826625275473/view?agent_id=610d3f3370540700019b0833","213-02 73rd Avenue, Unit 2F")</f>
        <v>213-02 73rd Avenue, Unit 2F</v>
      </c>
      <c r="C1652" s="25" t="s">
        <v>22</v>
      </c>
      <c r="D1652" s="26" t="s">
        <v>23</v>
      </c>
      <c r="E1652" s="27" t="str">
        <f>HYPERLINK("https://www.compass.com/building/213-02-73rd-ave-queens-ny-11364/441141177036010061/","213-02 73rd Ave")</f>
        <v>213-02 73rd Ave</v>
      </c>
      <c r="F1652" s="25" t="s">
        <v>37</v>
      </c>
      <c r="G1652" s="28">
        <v>420000.0</v>
      </c>
      <c r="H1652" s="28">
        <v>467.0</v>
      </c>
      <c r="I1652" s="28">
        <v>891.0</v>
      </c>
      <c r="J1652" s="28">
        <v>0.0</v>
      </c>
      <c r="K1652" s="25" t="s">
        <v>25</v>
      </c>
      <c r="L1652" s="26">
        <v>5.0</v>
      </c>
      <c r="M1652" s="26">
        <v>2.0</v>
      </c>
      <c r="N1652" s="26">
        <v>1.0</v>
      </c>
      <c r="O1652" s="30"/>
      <c r="P1652" s="26">
        <v>900.0</v>
      </c>
      <c r="Q1652" s="35">
        <v>242.0</v>
      </c>
      <c r="R1652" s="32">
        <v>45622.0</v>
      </c>
      <c r="S1652" s="32">
        <v>45621.0</v>
      </c>
      <c r="T1652" s="29"/>
      <c r="U1652" s="33"/>
      <c r="V1652" s="1"/>
    </row>
    <row r="1653" ht="24.0" customHeight="1">
      <c r="A1653" s="1"/>
      <c r="B1653" s="24" t="str">
        <f>HYPERLINK("https://www.compass.com/listing/65-50-austin-street-unit-2f-queens-ny-11374/1841485046433791649/view?agent_id=610d3f3370540700019b0833","65-50 Austin Street, Unit 2F")</f>
        <v>65-50 Austin Street, Unit 2F</v>
      </c>
      <c r="C1653" s="25" t="s">
        <v>22</v>
      </c>
      <c r="D1653" s="26" t="s">
        <v>23</v>
      </c>
      <c r="E1653" s="26" t="s">
        <v>340</v>
      </c>
      <c r="F1653" s="25" t="s">
        <v>166</v>
      </c>
      <c r="G1653" s="28">
        <v>629500.0</v>
      </c>
      <c r="H1653" s="28">
        <v>783.0</v>
      </c>
      <c r="I1653" s="28">
        <v>347.0</v>
      </c>
      <c r="J1653" s="28">
        <v>480.0</v>
      </c>
      <c r="K1653" s="25" t="s">
        <v>28</v>
      </c>
      <c r="L1653" s="26">
        <v>5.0</v>
      </c>
      <c r="M1653" s="26">
        <v>2.0</v>
      </c>
      <c r="N1653" s="30"/>
      <c r="O1653" s="30"/>
      <c r="P1653" s="26">
        <v>804.0</v>
      </c>
      <c r="Q1653" s="35">
        <v>1171.0</v>
      </c>
      <c r="R1653" s="32">
        <v>44692.0</v>
      </c>
      <c r="S1653" s="32">
        <v>44692.0</v>
      </c>
      <c r="T1653" s="29"/>
      <c r="U1653" s="33"/>
      <c r="V1653" s="1"/>
    </row>
    <row r="1654" ht="24.0" customHeight="1">
      <c r="A1654" s="1"/>
      <c r="B1654" s="24" t="str">
        <f>HYPERLINK("https://www.compass.com/listing/84-16-elmhurst-avenue-unit-4a-queens-ny-11373/1816024255336355185/view?agent_id=610d3f3370540700019b0833","84-16 Elmhurst Avenue, Unit 4A")</f>
        <v>84-16 Elmhurst Avenue, Unit 4A</v>
      </c>
      <c r="C1654" s="25" t="s">
        <v>22</v>
      </c>
      <c r="D1654" s="26" t="s">
        <v>23</v>
      </c>
      <c r="E1654" s="27" t="str">
        <f>HYPERLINK("https://www.compass.com/building/84-16-elmhurst-ave-queens-ny-11373/307442516277893941/","84-16 Elmhurst Ave")</f>
        <v>84-16 Elmhurst Ave</v>
      </c>
      <c r="F1654" s="25" t="s">
        <v>151</v>
      </c>
      <c r="G1654" s="28">
        <v>398000.0</v>
      </c>
      <c r="H1654" s="28">
        <v>510.0</v>
      </c>
      <c r="I1654" s="28">
        <v>0.0</v>
      </c>
      <c r="J1654" s="28">
        <v>0.0</v>
      </c>
      <c r="K1654" s="25" t="s">
        <v>28</v>
      </c>
      <c r="L1654" s="26">
        <v>4.0</v>
      </c>
      <c r="M1654" s="26">
        <v>2.0</v>
      </c>
      <c r="N1654" s="26">
        <v>1.0</v>
      </c>
      <c r="O1654" s="30"/>
      <c r="P1654" s="26">
        <v>780.0</v>
      </c>
      <c r="Q1654" s="35">
        <v>106.0</v>
      </c>
      <c r="R1654" s="32">
        <v>45844.0</v>
      </c>
      <c r="S1654" s="32">
        <v>45757.0</v>
      </c>
      <c r="T1654" s="29"/>
      <c r="U1654" s="33"/>
      <c r="V1654" s="1"/>
    </row>
    <row r="1655" ht="24.0" customHeight="1">
      <c r="A1655" s="1"/>
      <c r="B1655" s="24" t="str">
        <f>HYPERLINK("https://www.compass.com/listing/73-74-springfield-boulevard-unit-1-queens-ny-11364/1655906905177137281/view?agent_id=610d3f3370540700019b0833","73-74 Springfield Boulevard, Unit 1")</f>
        <v>73-74 Springfield Boulevard, Unit 1</v>
      </c>
      <c r="C1655" s="25" t="s">
        <v>22</v>
      </c>
      <c r="D1655" s="26" t="s">
        <v>23</v>
      </c>
      <c r="E1655" s="27" t="str">
        <f>HYPERLINK("https://www.compass.com/building/73-74-springfield-blvd-queens-ny-11364/381309251734410181/","73-74 Springfield Blvd")</f>
        <v>73-74 Springfield Blvd</v>
      </c>
      <c r="F1655" s="25" t="s">
        <v>37</v>
      </c>
      <c r="G1655" s="28">
        <v>378000.0</v>
      </c>
      <c r="H1655" s="29"/>
      <c r="I1655" s="28">
        <v>1120.0</v>
      </c>
      <c r="J1655" s="28">
        <v>0.0</v>
      </c>
      <c r="K1655" s="25" t="s">
        <v>25</v>
      </c>
      <c r="L1655" s="26">
        <v>5.0</v>
      </c>
      <c r="M1655" s="26">
        <v>2.0</v>
      </c>
      <c r="N1655" s="26">
        <v>1.0</v>
      </c>
      <c r="O1655" s="30"/>
      <c r="P1655" s="30"/>
      <c r="Q1655" s="35">
        <v>315.0</v>
      </c>
      <c r="R1655" s="32">
        <v>45632.0</v>
      </c>
      <c r="S1655" s="32">
        <v>45548.0</v>
      </c>
      <c r="T1655" s="29"/>
      <c r="U1655" s="33"/>
      <c r="V1655" s="1"/>
    </row>
    <row r="1656" ht="24.0" customHeight="1">
      <c r="A1656" s="1"/>
      <c r="B1656" s="24" t="str">
        <f>HYPERLINK("https://www.compass.com/listing/96-11-65th-road-unit-414-queens-ny-11374/1793709393407937137/view?agent_id=610d3f3370540700019b0833","96-11 65th Road, Unit 414")</f>
        <v>96-11 65th Road, Unit 414</v>
      </c>
      <c r="C1656" s="25" t="s">
        <v>22</v>
      </c>
      <c r="D1656" s="26" t="s">
        <v>23</v>
      </c>
      <c r="E1656" s="27" t="str">
        <f>HYPERLINK("https://www.compass.com/building/96-11-65th-rd-queens-ny-11374/293417427717354325/","96-11 65th Rd")</f>
        <v>96-11 65th Rd</v>
      </c>
      <c r="F1656" s="25" t="s">
        <v>166</v>
      </c>
      <c r="G1656" s="28">
        <v>490000.0</v>
      </c>
      <c r="H1656" s="28">
        <v>408.0</v>
      </c>
      <c r="I1656" s="28">
        <v>1222.0</v>
      </c>
      <c r="J1656" s="29"/>
      <c r="K1656" s="25" t="s">
        <v>25</v>
      </c>
      <c r="L1656" s="26">
        <v>5.0</v>
      </c>
      <c r="M1656" s="26">
        <v>2.0</v>
      </c>
      <c r="N1656" s="26">
        <v>1.0</v>
      </c>
      <c r="O1656" s="30"/>
      <c r="P1656" s="34">
        <v>1200.0</v>
      </c>
      <c r="Q1656" s="35">
        <v>137.0</v>
      </c>
      <c r="R1656" s="32">
        <v>45759.0</v>
      </c>
      <c r="S1656" s="32">
        <v>45726.0</v>
      </c>
      <c r="T1656" s="29"/>
      <c r="U1656" s="33"/>
      <c r="V1656" s="1"/>
    </row>
    <row r="1657" ht="24.0" customHeight="1">
      <c r="A1657" s="1"/>
      <c r="B1657" s="24" t="str">
        <f>HYPERLINK("https://www.compass.com/listing/2940-west-5th-street-unit-2b-brooklyn-ny-11224/1804183227795373649/view?agent_id=610d3f3370540700019b0833","2940 West 5th Street, Unit 2B")</f>
        <v>2940 West 5th Street, Unit 2B</v>
      </c>
      <c r="C1657" s="25" t="s">
        <v>22</v>
      </c>
      <c r="D1657" s="26" t="s">
        <v>23</v>
      </c>
      <c r="E1657" s="27" t="str">
        <f>HYPERLINK("https://www.compass.com/building/2940-w-5th-st-brooklyn-ny-11224/293527099900282709/","2940 W 5th St")</f>
        <v>2940 W 5th St</v>
      </c>
      <c r="F1657" s="25" t="s">
        <v>183</v>
      </c>
      <c r="G1657" s="28">
        <v>365000.0</v>
      </c>
      <c r="H1657" s="28">
        <v>365.0</v>
      </c>
      <c r="I1657" s="28">
        <v>1050.0</v>
      </c>
      <c r="J1657" s="29"/>
      <c r="K1657" s="25" t="s">
        <v>25</v>
      </c>
      <c r="L1657" s="26">
        <v>4.0</v>
      </c>
      <c r="M1657" s="26">
        <v>2.0</v>
      </c>
      <c r="N1657" s="26">
        <v>1.0</v>
      </c>
      <c r="O1657" s="30"/>
      <c r="P1657" s="34">
        <v>1000.0</v>
      </c>
      <c r="Q1657" s="35">
        <v>92.0</v>
      </c>
      <c r="R1657" s="32">
        <v>45846.0</v>
      </c>
      <c r="S1657" s="32">
        <v>45771.0</v>
      </c>
      <c r="T1657" s="29"/>
      <c r="U1657" s="33"/>
      <c r="V1657" s="1"/>
    </row>
    <row r="1658" ht="24.0" customHeight="1">
      <c r="A1658" s="1"/>
      <c r="B1658" s="24" t="str">
        <f>HYPERLINK("https://www.compass.com/listing/65-65-wetherole-street-unit-1n-queens-ny-11374/1802259686442032937/view?agent_id=610d3f3370540700019b0833","65-65 Wetherole Street, Unit 1N")</f>
        <v>65-65 Wetherole Street, Unit 1N</v>
      </c>
      <c r="C1658" s="25" t="s">
        <v>22</v>
      </c>
      <c r="D1658" s="26" t="s">
        <v>23</v>
      </c>
      <c r="E1658" s="27" t="str">
        <f>HYPERLINK("https://www.compass.com/building/65-65-wetherole-st-queens-ny-11374/293532565464188389/","65-65 Wetherole St")</f>
        <v>65-65 Wetherole St</v>
      </c>
      <c r="F1658" s="25" t="s">
        <v>166</v>
      </c>
      <c r="G1658" s="28">
        <v>465000.0</v>
      </c>
      <c r="H1658" s="28">
        <v>465.0</v>
      </c>
      <c r="I1658" s="28">
        <v>1075.0</v>
      </c>
      <c r="J1658" s="29"/>
      <c r="K1658" s="25" t="s">
        <v>25</v>
      </c>
      <c r="L1658" s="26">
        <v>6.0</v>
      </c>
      <c r="M1658" s="26">
        <v>2.0</v>
      </c>
      <c r="N1658" s="26">
        <v>1.0</v>
      </c>
      <c r="O1658" s="30"/>
      <c r="P1658" s="34">
        <v>1000.0</v>
      </c>
      <c r="Q1658" s="35">
        <v>124.0</v>
      </c>
      <c r="R1658" s="32">
        <v>45816.0</v>
      </c>
      <c r="S1658" s="32">
        <v>45738.0</v>
      </c>
      <c r="T1658" s="29"/>
      <c r="U1658" s="33"/>
      <c r="V1658" s="1"/>
    </row>
    <row r="1659" ht="24.0" customHeight="1">
      <c r="A1659" s="1"/>
      <c r="B1659" s="24" t="str">
        <f>HYPERLINK("https://www.compass.com/listing/29-08-139th-street-unit-2c-queens-ny-11354/1783808538451315233/view?agent_id=610d3f3370540700019b0833","29-08 139th Street, Unit 2C")</f>
        <v>29-08 139th Street, Unit 2C</v>
      </c>
      <c r="C1659" s="25" t="s">
        <v>22</v>
      </c>
      <c r="D1659" s="26" t="s">
        <v>23</v>
      </c>
      <c r="E1659" s="27" t="str">
        <f>HYPERLINK("https://www.compass.com/building/29-08-139th-st-queens-ny-11354/293529073756420629/","29-08 139th St")</f>
        <v>29-08 139th St</v>
      </c>
      <c r="F1659" s="25" t="s">
        <v>185</v>
      </c>
      <c r="G1659" s="28">
        <v>338000.0</v>
      </c>
      <c r="H1659" s="28">
        <v>356.0</v>
      </c>
      <c r="I1659" s="28">
        <v>850.0</v>
      </c>
      <c r="J1659" s="29"/>
      <c r="K1659" s="25" t="s">
        <v>25</v>
      </c>
      <c r="L1659" s="26">
        <v>4.0</v>
      </c>
      <c r="M1659" s="26">
        <v>2.0</v>
      </c>
      <c r="N1659" s="26">
        <v>1.0</v>
      </c>
      <c r="O1659" s="30"/>
      <c r="P1659" s="26">
        <v>950.0</v>
      </c>
      <c r="Q1659" s="35">
        <v>130.0</v>
      </c>
      <c r="R1659" s="32">
        <v>45850.0</v>
      </c>
      <c r="S1659" s="32">
        <v>45712.0</v>
      </c>
      <c r="T1659" s="29"/>
      <c r="U1659" s="33"/>
      <c r="V1659" s="1"/>
    </row>
    <row r="1660" ht="24.0" customHeight="1">
      <c r="A1660" s="1"/>
      <c r="B1660" s="24" t="str">
        <f>HYPERLINK("https://www.compass.com/listing/165-21-144th-drive-queens-ny-11434/1826286753220811937/view?agent_id=610d3f3370540700019b0833","165-21 144th Drive")</f>
        <v>165-21 144th Drive</v>
      </c>
      <c r="C1660" s="25" t="s">
        <v>22</v>
      </c>
      <c r="D1660" s="26" t="s">
        <v>23</v>
      </c>
      <c r="E1660" s="27" t="str">
        <f>HYPERLINK("https://www.compass.com/building/165-21-144th-dr-queens-ny-11434/293534541551817765/","165-21 144th Dr")</f>
        <v>165-21 144th Dr</v>
      </c>
      <c r="F1660" s="25" t="s">
        <v>341</v>
      </c>
      <c r="G1660" s="28">
        <v>555000.0</v>
      </c>
      <c r="H1660" s="28">
        <v>636.0</v>
      </c>
      <c r="I1660" s="28">
        <v>280.0</v>
      </c>
      <c r="J1660" s="28">
        <v>3357.0</v>
      </c>
      <c r="K1660" s="25" t="s">
        <v>97</v>
      </c>
      <c r="L1660" s="26">
        <v>5.0</v>
      </c>
      <c r="M1660" s="26">
        <v>2.0</v>
      </c>
      <c r="N1660" s="26">
        <v>1.0</v>
      </c>
      <c r="O1660" s="30"/>
      <c r="P1660" s="26">
        <v>872.0</v>
      </c>
      <c r="Q1660" s="35">
        <v>92.0</v>
      </c>
      <c r="R1660" s="32">
        <v>45863.0</v>
      </c>
      <c r="S1660" s="32">
        <v>45771.0</v>
      </c>
      <c r="T1660" s="29"/>
      <c r="U1660" s="33"/>
      <c r="V1660" s="1"/>
    </row>
    <row r="1661" ht="24.0" customHeight="1">
      <c r="A1661" s="1"/>
      <c r="B1661" s="24" t="str">
        <f>HYPERLINK("https://www.compass.com/listing/7516-bay-parkway-unit-2e-brooklyn-ny-11214/1826373120878343257/view?agent_id=610d3f3370540700019b0833","7516 Bay Parkway, Unit 2E")</f>
        <v>7516 Bay Parkway, Unit 2E</v>
      </c>
      <c r="C1661" s="25" t="s">
        <v>22</v>
      </c>
      <c r="D1661" s="26" t="s">
        <v>23</v>
      </c>
      <c r="E1661" s="27" t="str">
        <f>HYPERLINK("https://www.compass.com/building/7516-bay-pkwy-brooklyn-ny-11214/293534499835256293/","7516 Bay Pkwy")</f>
        <v>7516 Bay Pkwy</v>
      </c>
      <c r="F1661" s="25" t="s">
        <v>236</v>
      </c>
      <c r="G1661" s="28">
        <v>725000.0</v>
      </c>
      <c r="H1661" s="28">
        <v>969.0</v>
      </c>
      <c r="I1661" s="28">
        <v>284.0</v>
      </c>
      <c r="J1661" s="28">
        <v>153.0</v>
      </c>
      <c r="K1661" s="25" t="s">
        <v>248</v>
      </c>
      <c r="L1661" s="26">
        <v>4.0</v>
      </c>
      <c r="M1661" s="26">
        <v>2.0</v>
      </c>
      <c r="N1661" s="26">
        <v>1.0</v>
      </c>
      <c r="O1661" s="26">
        <v>0.0</v>
      </c>
      <c r="P1661" s="26">
        <v>748.0</v>
      </c>
      <c r="Q1661" s="35">
        <v>92.0</v>
      </c>
      <c r="R1661" s="32">
        <v>45772.0</v>
      </c>
      <c r="S1661" s="32">
        <v>45771.0</v>
      </c>
      <c r="T1661" s="29"/>
      <c r="U1661" s="33"/>
      <c r="V1661" s="1"/>
    </row>
    <row r="1662" ht="24.0" customHeight="1">
      <c r="A1662" s="1"/>
      <c r="B1662" s="24" t="str">
        <f>HYPERLINK("https://www.compass.com/listing/110-34-73rd-road-unit-2h-queens-ny-11375/1820350588411964689/view?agent_id=610d3f3370540700019b0833","110-34 73rd Road, Unit 2H")</f>
        <v>110-34 73rd Road, Unit 2H</v>
      </c>
      <c r="C1662" s="25" t="s">
        <v>22</v>
      </c>
      <c r="D1662" s="26" t="s">
        <v>23</v>
      </c>
      <c r="E1662" s="27" t="str">
        <f>HYPERLINK("https://www.compass.com/building/110-34-73rd-rd-queens-ny-11375/294837485464792069/","110-34 73rd Rd")</f>
        <v>110-34 73rd Rd</v>
      </c>
      <c r="F1662" s="25" t="s">
        <v>83</v>
      </c>
      <c r="G1662" s="28">
        <v>390000.0</v>
      </c>
      <c r="H1662" s="28">
        <v>390.0</v>
      </c>
      <c r="I1662" s="28">
        <v>1298.0</v>
      </c>
      <c r="J1662" s="29"/>
      <c r="K1662" s="25" t="s">
        <v>25</v>
      </c>
      <c r="L1662" s="26">
        <v>3.0</v>
      </c>
      <c r="M1662" s="26">
        <v>2.0</v>
      </c>
      <c r="N1662" s="26">
        <v>1.0</v>
      </c>
      <c r="O1662" s="30"/>
      <c r="P1662" s="34">
        <v>1000.0</v>
      </c>
      <c r="Q1662" s="35">
        <v>100.0</v>
      </c>
      <c r="R1662" s="32">
        <v>45830.0</v>
      </c>
      <c r="S1662" s="32">
        <v>45763.0</v>
      </c>
      <c r="T1662" s="29"/>
      <c r="U1662" s="33"/>
      <c r="V1662" s="1"/>
    </row>
    <row r="1663" ht="24.0" customHeight="1">
      <c r="A1663" s="1"/>
      <c r="B1663" s="24" t="str">
        <f>HYPERLINK("https://www.compass.com/listing/25-benjamin-place-staten-island-ny-10303/1768401020355425577/view?agent_id=610d3f3370540700019b0833","25 Benjamin Place")</f>
        <v>25 Benjamin Place</v>
      </c>
      <c r="C1663" s="25" t="s">
        <v>22</v>
      </c>
      <c r="D1663" s="26" t="s">
        <v>23</v>
      </c>
      <c r="E1663" s="27" t="str">
        <f>HYPERLINK("https://www.compass.com/building/25-benjamin-pl-staten-island-ny-10303/293417792680522389/","25 Benjamin Pl")</f>
        <v>25 Benjamin Pl</v>
      </c>
      <c r="F1663" s="25" t="s">
        <v>342</v>
      </c>
      <c r="G1663" s="28">
        <v>400000.0</v>
      </c>
      <c r="H1663" s="28">
        <v>443.0</v>
      </c>
      <c r="I1663" s="28">
        <v>241.0</v>
      </c>
      <c r="J1663" s="28">
        <v>2892.0</v>
      </c>
      <c r="K1663" s="25" t="s">
        <v>97</v>
      </c>
      <c r="L1663" s="26">
        <v>5.0</v>
      </c>
      <c r="M1663" s="26">
        <v>2.0</v>
      </c>
      <c r="N1663" s="26">
        <v>1.0</v>
      </c>
      <c r="O1663" s="26">
        <v>0.0</v>
      </c>
      <c r="P1663" s="26">
        <v>902.0</v>
      </c>
      <c r="Q1663" s="35">
        <v>172.0</v>
      </c>
      <c r="R1663" s="32">
        <v>45827.0</v>
      </c>
      <c r="S1663" s="32">
        <v>45690.0</v>
      </c>
      <c r="T1663" s="29"/>
      <c r="U1663" s="33"/>
      <c r="V1663" s="1"/>
    </row>
    <row r="1664" ht="24.0" customHeight="1">
      <c r="A1664" s="1"/>
      <c r="B1664" s="24" t="str">
        <f>HYPERLINK("https://www.compass.com/listing/162-41-powells-cove-boulevard-unit-20-queens-ny-11357/1678427554712668913/view?agent_id=610d3f3370540700019b0833","162-41 Powells Cove Boulevard, Unit 20")</f>
        <v>162-41 Powells Cove Boulevard, Unit 20</v>
      </c>
      <c r="C1664" s="25" t="s">
        <v>22</v>
      </c>
      <c r="D1664" s="26" t="s">
        <v>23</v>
      </c>
      <c r="E1664" s="27" t="str">
        <f>HYPERLINK("https://www.compass.com/building/162-41-powells-cove-blvd-queens-ny-11357/293529804454568277/","162-41 Powells Cove Blvd")</f>
        <v>162-41 Powells Cove Blvd</v>
      </c>
      <c r="F1664" s="25" t="s">
        <v>94</v>
      </c>
      <c r="G1664" s="28">
        <v>405000.0</v>
      </c>
      <c r="H1664" s="28">
        <v>338.0</v>
      </c>
      <c r="I1664" s="28">
        <v>1421.0</v>
      </c>
      <c r="J1664" s="28">
        <v>0.0</v>
      </c>
      <c r="K1664" s="25" t="s">
        <v>25</v>
      </c>
      <c r="L1664" s="26">
        <v>5.0</v>
      </c>
      <c r="M1664" s="26">
        <v>2.0</v>
      </c>
      <c r="N1664" s="26">
        <v>1.0</v>
      </c>
      <c r="O1664" s="30"/>
      <c r="P1664" s="34">
        <v>1200.0</v>
      </c>
      <c r="Q1664" s="35">
        <v>276.0</v>
      </c>
      <c r="R1664" s="32">
        <v>45855.0</v>
      </c>
      <c r="S1664" s="32">
        <v>45567.0</v>
      </c>
      <c r="T1664" s="29"/>
      <c r="U1664" s="33"/>
      <c r="V1664" s="1"/>
    </row>
    <row r="1665" ht="24.0" customHeight="1">
      <c r="A1665" s="1"/>
      <c r="B1665" s="24" t="str">
        <f>HYPERLINK("https://www.compass.com/listing/348-targee-street-staten-island-ny-10304/1621243344003707321/view?agent_id=610d3f3370540700019b0833","348 Targee Street")</f>
        <v>348 Targee Street</v>
      </c>
      <c r="C1665" s="25" t="s">
        <v>22</v>
      </c>
      <c r="D1665" s="26" t="s">
        <v>23</v>
      </c>
      <c r="E1665" s="27" t="str">
        <f>HYPERLINK("https://www.compass.com/building/348-targee-st-staten-island-ny-10304/293529639651906757/","348 Targee St")</f>
        <v>348 Targee St</v>
      </c>
      <c r="F1665" s="25" t="s">
        <v>191</v>
      </c>
      <c r="G1665" s="28">
        <v>379999.0</v>
      </c>
      <c r="H1665" s="28">
        <v>586.0</v>
      </c>
      <c r="I1665" s="28">
        <v>284.0</v>
      </c>
      <c r="J1665" s="28">
        <v>3403.0</v>
      </c>
      <c r="K1665" s="25" t="s">
        <v>36</v>
      </c>
      <c r="L1665" s="26">
        <v>5.0</v>
      </c>
      <c r="M1665" s="26">
        <v>2.0</v>
      </c>
      <c r="N1665" s="26">
        <v>1.0</v>
      </c>
      <c r="O1665" s="26">
        <v>0.0</v>
      </c>
      <c r="P1665" s="26">
        <v>648.0</v>
      </c>
      <c r="Q1665" s="35">
        <v>375.0</v>
      </c>
      <c r="R1665" s="32">
        <v>45827.0</v>
      </c>
      <c r="S1665" s="32">
        <v>45487.0</v>
      </c>
      <c r="T1665" s="29"/>
      <c r="U1665" s="33"/>
      <c r="V1665" s="1"/>
    </row>
    <row r="1666" ht="24.0" customHeight="1">
      <c r="A1666" s="1"/>
      <c r="B1666" s="24" t="str">
        <f>HYPERLINK("https://www.compass.com/listing/64-51-59th-avenue-queens-ny-11378/1760988016999096345/view?agent_id=610d3f3370540700019b0833","64-51 59th Avenue")</f>
        <v>64-51 59th Avenue</v>
      </c>
      <c r="C1666" s="25" t="s">
        <v>22</v>
      </c>
      <c r="D1666" s="26" t="s">
        <v>23</v>
      </c>
      <c r="E1666" s="27" t="str">
        <f>HYPERLINK("https://www.compass.com/building/64-51-59th-ave-queens-ny-11378/293526916265194725/","64-51 59th Ave")</f>
        <v>64-51 59th Ave</v>
      </c>
      <c r="F1666" s="25" t="s">
        <v>242</v>
      </c>
      <c r="G1666" s="28">
        <v>658000.0</v>
      </c>
      <c r="H1666" s="28">
        <v>1097.0</v>
      </c>
      <c r="I1666" s="28">
        <v>367.0</v>
      </c>
      <c r="J1666" s="28">
        <v>4403.0</v>
      </c>
      <c r="K1666" s="25" t="s">
        <v>97</v>
      </c>
      <c r="L1666" s="26">
        <v>4.0</v>
      </c>
      <c r="M1666" s="26">
        <v>2.0</v>
      </c>
      <c r="N1666" s="26">
        <v>1.0</v>
      </c>
      <c r="O1666" s="30"/>
      <c r="P1666" s="26">
        <v>600.0</v>
      </c>
      <c r="Q1666" s="35">
        <v>181.0</v>
      </c>
      <c r="R1666" s="32">
        <v>45841.0</v>
      </c>
      <c r="S1666" s="32">
        <v>45681.0</v>
      </c>
      <c r="T1666" s="29"/>
      <c r="U1666" s="33"/>
      <c r="V1666" s="1"/>
    </row>
    <row r="1667" ht="24.0" customHeight="1">
      <c r="A1667" s="1"/>
      <c r="B1667" s="24" t="str">
        <f>HYPERLINK("https://www.compass.com/listing/131-05-135th-street-queens-ny-11420/1792789574026328593/view?agent_id=610d3f3370540700019b0833","131-05 135th Street")</f>
        <v>131-05 135th Street</v>
      </c>
      <c r="C1667" s="25" t="s">
        <v>22</v>
      </c>
      <c r="D1667" s="26" t="s">
        <v>23</v>
      </c>
      <c r="E1667" s="27" t="str">
        <f>HYPERLINK("https://www.compass.com/building/131-05-135th-st-queens-ny-11420/293417478367786325/","131-05 135th St")</f>
        <v>131-05 135th St</v>
      </c>
      <c r="F1667" s="25" t="s">
        <v>277</v>
      </c>
      <c r="G1667" s="28">
        <v>550000.0</v>
      </c>
      <c r="H1667" s="28">
        <v>634.0</v>
      </c>
      <c r="I1667" s="28">
        <v>367.0</v>
      </c>
      <c r="J1667" s="28">
        <v>4403.0</v>
      </c>
      <c r="K1667" s="25" t="s">
        <v>97</v>
      </c>
      <c r="L1667" s="26">
        <v>5.0</v>
      </c>
      <c r="M1667" s="26">
        <v>2.0</v>
      </c>
      <c r="N1667" s="26">
        <v>1.0</v>
      </c>
      <c r="O1667" s="30"/>
      <c r="P1667" s="26">
        <v>868.0</v>
      </c>
      <c r="Q1667" s="35">
        <v>131.0</v>
      </c>
      <c r="R1667" s="32">
        <v>45759.0</v>
      </c>
      <c r="S1667" s="32">
        <v>45732.0</v>
      </c>
      <c r="T1667" s="29"/>
      <c r="U1667" s="33"/>
      <c r="V1667" s="1"/>
    </row>
    <row r="1668" ht="24.0" customHeight="1">
      <c r="A1668" s="1"/>
      <c r="B1668" s="24" t="str">
        <f>HYPERLINK("https://www.compass.com/listing/458-neptune-avenue-unit-15l-brooklyn-ny-11224/1759508110008386657/view?agent_id=610d3f3370540700019b0833","458 Neptune Avenue, Unit 15L")</f>
        <v>458 Neptune Avenue, Unit 15L</v>
      </c>
      <c r="C1668" s="25" t="s">
        <v>22</v>
      </c>
      <c r="D1668" s="26" t="s">
        <v>23</v>
      </c>
      <c r="E1668" s="27" t="str">
        <f>HYPERLINK("https://www.compass.com/building/458-neptune-ave-brooklyn-ny-11224/294847081512387077/","458 Neptune Ave")</f>
        <v>458 Neptune Ave</v>
      </c>
      <c r="F1668" s="25" t="s">
        <v>183</v>
      </c>
      <c r="G1668" s="28">
        <v>449000.0</v>
      </c>
      <c r="H1668" s="28">
        <v>449.0</v>
      </c>
      <c r="I1668" s="28">
        <v>930.0</v>
      </c>
      <c r="J1668" s="28">
        <v>0.0</v>
      </c>
      <c r="K1668" s="25" t="s">
        <v>25</v>
      </c>
      <c r="L1668" s="26">
        <v>13.0</v>
      </c>
      <c r="M1668" s="26">
        <v>2.0</v>
      </c>
      <c r="N1668" s="26">
        <v>1.0</v>
      </c>
      <c r="O1668" s="30"/>
      <c r="P1668" s="34">
        <v>1000.0</v>
      </c>
      <c r="Q1668" s="35">
        <v>184.0</v>
      </c>
      <c r="R1668" s="32">
        <v>45679.0</v>
      </c>
      <c r="S1668" s="32">
        <v>45679.0</v>
      </c>
      <c r="T1668" s="29"/>
      <c r="U1668" s="33"/>
      <c r="V1668" s="1"/>
    </row>
    <row r="1669" ht="24.0" customHeight="1">
      <c r="A1669" s="1"/>
      <c r="B1669" s="24" t="str">
        <f>HYPERLINK("https://www.compass.com/listing/42-22-ketcham-street-unit-f16-queens-ny-11373/1790707827032932401/view?agent_id=610d3f3370540700019b0833","42-22 Ketcham Street, Unit F16")</f>
        <v>42-22 Ketcham Street, Unit F16</v>
      </c>
      <c r="C1669" s="25" t="s">
        <v>22</v>
      </c>
      <c r="D1669" s="26" t="s">
        <v>23</v>
      </c>
      <c r="E1669" s="27" t="str">
        <f>HYPERLINK("https://www.compass.com/building/berkshire-green-queens-ny/293417526870735509/","Berkshire Green")</f>
        <v>Berkshire Green</v>
      </c>
      <c r="F1669" s="25" t="s">
        <v>151</v>
      </c>
      <c r="G1669" s="28">
        <v>412000.0</v>
      </c>
      <c r="H1669" s="29"/>
      <c r="I1669" s="28">
        <v>908.0</v>
      </c>
      <c r="J1669" s="28">
        <v>0.0</v>
      </c>
      <c r="K1669" s="25" t="s">
        <v>25</v>
      </c>
      <c r="L1669" s="26">
        <v>3.0</v>
      </c>
      <c r="M1669" s="26">
        <v>2.0</v>
      </c>
      <c r="N1669" s="26">
        <v>1.0</v>
      </c>
      <c r="O1669" s="30"/>
      <c r="P1669" s="30"/>
      <c r="Q1669" s="35">
        <v>142.0</v>
      </c>
      <c r="R1669" s="32">
        <v>45722.0</v>
      </c>
      <c r="S1669" s="32">
        <v>45721.0</v>
      </c>
      <c r="T1669" s="29"/>
      <c r="U1669" s="33"/>
      <c r="V1669" s="1"/>
    </row>
    <row r="1670" ht="24.0" customHeight="1">
      <c r="A1670" s="1"/>
      <c r="B1670" s="24" t="str">
        <f>HYPERLINK("https://www.compass.com/listing/138-10-franklin-avenue-unit-5h-queens-ny-11355/1769694239035254049/view?agent_id=610d3f3370540700019b0833","138-10 Franklin Avenue, Unit 5H")</f>
        <v>138-10 Franklin Avenue, Unit 5H</v>
      </c>
      <c r="C1670" s="25" t="s">
        <v>22</v>
      </c>
      <c r="D1670" s="26" t="s">
        <v>23</v>
      </c>
      <c r="E1670" s="27" t="str">
        <f>HYPERLINK("https://www.compass.com/building/138-10-franklin-ave-queens-ny-11355/293526159579271301/","138-10 Franklin Ave")</f>
        <v>138-10 Franklin Ave</v>
      </c>
      <c r="F1670" s="25" t="s">
        <v>185</v>
      </c>
      <c r="G1670" s="28">
        <v>429000.0</v>
      </c>
      <c r="H1670" s="28">
        <v>429.0</v>
      </c>
      <c r="I1670" s="28">
        <v>1110.0</v>
      </c>
      <c r="J1670" s="29"/>
      <c r="K1670" s="25" t="s">
        <v>25</v>
      </c>
      <c r="L1670" s="26">
        <v>4.0</v>
      </c>
      <c r="M1670" s="26">
        <v>2.0</v>
      </c>
      <c r="N1670" s="26">
        <v>1.0</v>
      </c>
      <c r="O1670" s="30"/>
      <c r="P1670" s="34">
        <v>1000.0</v>
      </c>
      <c r="Q1670" s="35">
        <v>170.0</v>
      </c>
      <c r="R1670" s="32">
        <v>45780.0</v>
      </c>
      <c r="S1670" s="32">
        <v>45693.0</v>
      </c>
      <c r="T1670" s="29"/>
      <c r="U1670" s="33"/>
      <c r="V1670" s="1"/>
    </row>
    <row r="1671" ht="24.0" customHeight="1">
      <c r="A1671" s="1"/>
      <c r="B1671" s="24" t="str">
        <f>HYPERLINK("https://www.compass.com/listing/763-ocean-parkway-unit-5f-brooklyn-ny-11230/1710814934683775369/view?agent_id=610d3f3370540700019b0833","763 Ocean Parkway, Unit 5F")</f>
        <v>763 Ocean Parkway, Unit 5F</v>
      </c>
      <c r="C1671" s="25" t="s">
        <v>22</v>
      </c>
      <c r="D1671" s="26" t="s">
        <v>23</v>
      </c>
      <c r="E1671" s="27" t="str">
        <f>HYPERLINK("https://www.compass.com/building/763-ocean-pkwy-brooklyn-ny-11230/293530893103002821/","763 Ocean Pkwy")</f>
        <v>763 Ocean Pkwy</v>
      </c>
      <c r="F1671" s="25" t="s">
        <v>34</v>
      </c>
      <c r="G1671" s="28">
        <v>650000.0</v>
      </c>
      <c r="H1671" s="29"/>
      <c r="I1671" s="28">
        <v>763.0</v>
      </c>
      <c r="J1671" s="29"/>
      <c r="K1671" s="25" t="s">
        <v>25</v>
      </c>
      <c r="L1671" s="26">
        <v>5.0</v>
      </c>
      <c r="M1671" s="26">
        <v>2.0</v>
      </c>
      <c r="N1671" s="26">
        <v>1.0</v>
      </c>
      <c r="O1671" s="30"/>
      <c r="P1671" s="30"/>
      <c r="Q1671" s="35">
        <v>251.0</v>
      </c>
      <c r="R1671" s="32">
        <v>45856.0</v>
      </c>
      <c r="S1671" s="32">
        <v>45612.0</v>
      </c>
      <c r="T1671" s="29"/>
      <c r="U1671" s="33"/>
      <c r="V1671" s="1"/>
    </row>
    <row r="1672" ht="24.0" customHeight="1">
      <c r="A1672" s="1"/>
      <c r="B1672" s="24" t="str">
        <f>HYPERLINK("https://www.compass.com/listing/40-37-77th-street-unit-2d-queens-ny-11373/1793859840634970065/view?agent_id=610d3f3370540700019b0833","40-37 77th Street, Unit 2D")</f>
        <v>40-37 77th Street, Unit 2D</v>
      </c>
      <c r="C1672" s="25" t="s">
        <v>22</v>
      </c>
      <c r="D1672" s="26" t="s">
        <v>23</v>
      </c>
      <c r="E1672" s="27" t="str">
        <f>HYPERLINK("https://www.compass.com/building/40-37-77th-st-queens-ny-11373/293528340088848293/","40-37 77th St")</f>
        <v>40-37 77th St</v>
      </c>
      <c r="F1672" s="25" t="s">
        <v>151</v>
      </c>
      <c r="G1672" s="28">
        <v>489000.0</v>
      </c>
      <c r="H1672" s="28">
        <v>543.0</v>
      </c>
      <c r="I1672" s="28">
        <v>1130.0</v>
      </c>
      <c r="J1672" s="29"/>
      <c r="K1672" s="25" t="s">
        <v>25</v>
      </c>
      <c r="L1672" s="26">
        <v>5.0</v>
      </c>
      <c r="M1672" s="26">
        <v>2.0</v>
      </c>
      <c r="N1672" s="26">
        <v>1.0</v>
      </c>
      <c r="O1672" s="30"/>
      <c r="P1672" s="26">
        <v>900.0</v>
      </c>
      <c r="Q1672" s="35">
        <v>137.0</v>
      </c>
      <c r="R1672" s="32">
        <v>45850.0</v>
      </c>
      <c r="S1672" s="32">
        <v>45726.0</v>
      </c>
      <c r="T1672" s="29"/>
      <c r="U1672" s="33"/>
      <c r="V1672" s="1"/>
    </row>
    <row r="1673" ht="24.0" customHeight="1">
      <c r="A1673" s="1"/>
      <c r="B1673" s="24" t="str">
        <f>HYPERLINK("https://www.compass.com/listing/137-10-franklin-avenue-unit-316-queens-ny-11355/1831445940416203009/view?agent_id=610d3f3370540700019b0833","137-10 Franklin Avenue, Unit 316")</f>
        <v>137-10 Franklin Avenue, Unit 316</v>
      </c>
      <c r="C1673" s="25" t="s">
        <v>22</v>
      </c>
      <c r="D1673" s="26" t="s">
        <v>23</v>
      </c>
      <c r="E1673" s="27" t="str">
        <f>HYPERLINK("https://www.compass.com/building/137-10-franklin-ave-queens-ny-11355/293532378415062581/","137-10 Franklin Ave")</f>
        <v>137-10 Franklin Ave</v>
      </c>
      <c r="F1673" s="25" t="s">
        <v>185</v>
      </c>
      <c r="G1673" s="28">
        <v>874800.0</v>
      </c>
      <c r="H1673" s="28">
        <v>900.0</v>
      </c>
      <c r="I1673" s="28">
        <v>773.0</v>
      </c>
      <c r="J1673" s="28">
        <v>3809.0</v>
      </c>
      <c r="K1673" s="25" t="s">
        <v>28</v>
      </c>
      <c r="L1673" s="26">
        <v>4.0</v>
      </c>
      <c r="M1673" s="26">
        <v>2.0</v>
      </c>
      <c r="N1673" s="26">
        <v>1.0</v>
      </c>
      <c r="O1673" s="30"/>
      <c r="P1673" s="26">
        <v>972.0</v>
      </c>
      <c r="Q1673" s="35">
        <v>85.0</v>
      </c>
      <c r="R1673" s="32">
        <v>45823.0</v>
      </c>
      <c r="S1673" s="32">
        <v>45778.0</v>
      </c>
      <c r="T1673" s="29"/>
      <c r="U1673" s="33"/>
      <c r="V1673" s="1"/>
    </row>
    <row r="1674" ht="24.0" customHeight="1">
      <c r="A1674" s="1"/>
      <c r="B1674" s="24" t="str">
        <f>HYPERLINK("https://www.compass.com/listing/136-05-sanford-avenue-unit-3b-queens-ny-11355/1816189251881994409/view?agent_id=610d3f3370540700019b0833","136-05 Sanford Avenue, Unit 3B")</f>
        <v>136-05 Sanford Avenue, Unit 3B</v>
      </c>
      <c r="C1674" s="25" t="s">
        <v>22</v>
      </c>
      <c r="D1674" s="26" t="s">
        <v>23</v>
      </c>
      <c r="E1674" s="27" t="str">
        <f>HYPERLINK("https://www.compass.com/building/136-05-sanford-ave-queens-ny-11355/293528453913782725/","136-05 Sanford Ave")</f>
        <v>136-05 Sanford Ave</v>
      </c>
      <c r="F1674" s="25" t="s">
        <v>221</v>
      </c>
      <c r="G1674" s="28">
        <v>489000.0</v>
      </c>
      <c r="H1674" s="28">
        <v>515.0</v>
      </c>
      <c r="I1674" s="28">
        <v>798.0</v>
      </c>
      <c r="J1674" s="29"/>
      <c r="K1674" s="25" t="s">
        <v>248</v>
      </c>
      <c r="L1674" s="26">
        <v>4.0</v>
      </c>
      <c r="M1674" s="26">
        <v>2.0</v>
      </c>
      <c r="N1674" s="26">
        <v>1.0</v>
      </c>
      <c r="O1674" s="30"/>
      <c r="P1674" s="26">
        <v>950.0</v>
      </c>
      <c r="Q1674" s="35">
        <v>87.0</v>
      </c>
      <c r="R1674" s="32">
        <v>45840.0</v>
      </c>
      <c r="S1674" s="32">
        <v>45757.0</v>
      </c>
      <c r="T1674" s="29"/>
      <c r="U1674" s="33"/>
      <c r="V1674" s="1"/>
    </row>
    <row r="1675" ht="24.0" customHeight="1">
      <c r="A1675" s="1"/>
      <c r="B1675" s="24" t="str">
        <f>HYPERLINK("https://www.compass.com/listing/98-20-62nd-drive-unit-7k-queens-ny-11374/1803448710833743641/view?agent_id=610d3f3370540700019b0833","98-20 62nd Drive, Unit 7K")</f>
        <v>98-20 62nd Drive, Unit 7K</v>
      </c>
      <c r="C1675" s="25" t="s">
        <v>22</v>
      </c>
      <c r="D1675" s="26" t="s">
        <v>23</v>
      </c>
      <c r="E1675" s="27" t="str">
        <f>HYPERLINK("https://www.compass.com/building/98-20-62nd-dr-queens-ny-11374/307450272502601717/","98-20 62nd Dr")</f>
        <v>98-20 62nd Dr</v>
      </c>
      <c r="F1675" s="25" t="s">
        <v>166</v>
      </c>
      <c r="G1675" s="28">
        <v>415000.0</v>
      </c>
      <c r="H1675" s="28">
        <v>346.0</v>
      </c>
      <c r="I1675" s="28">
        <v>1033.0</v>
      </c>
      <c r="J1675" s="28">
        <v>0.0</v>
      </c>
      <c r="K1675" s="25" t="s">
        <v>25</v>
      </c>
      <c r="L1675" s="26">
        <v>6.0</v>
      </c>
      <c r="M1675" s="26">
        <v>2.0</v>
      </c>
      <c r="N1675" s="26">
        <v>1.0</v>
      </c>
      <c r="O1675" s="30"/>
      <c r="P1675" s="34">
        <v>1200.0</v>
      </c>
      <c r="Q1675" s="35">
        <v>547.0</v>
      </c>
      <c r="R1675" s="32">
        <v>45740.0</v>
      </c>
      <c r="S1675" s="32">
        <v>45316.0</v>
      </c>
      <c r="T1675" s="29"/>
      <c r="U1675" s="33"/>
      <c r="V1675" s="1"/>
    </row>
    <row r="1676" ht="24.0" customHeight="1">
      <c r="A1676" s="1"/>
      <c r="B1676" s="24" t="str">
        <f>HYPERLINK("https://www.compass.com/listing/10-14-116th-street-queens-ny-11356/1808938923053785689/view?agent_id=610d3f3370540700019b0833","10-14 116th Street")</f>
        <v>10-14 116th Street</v>
      </c>
      <c r="C1676" s="25" t="s">
        <v>22</v>
      </c>
      <c r="D1676" s="26" t="s">
        <v>23</v>
      </c>
      <c r="E1676" s="27" t="str">
        <f>HYPERLINK("https://www.compass.com/building/10-14-116th-st-queens-ny-11356/293530467431439237/","10-14 116th St")</f>
        <v>10-14 116th St</v>
      </c>
      <c r="F1676" s="25" t="s">
        <v>227</v>
      </c>
      <c r="G1676" s="28">
        <v>718888.0</v>
      </c>
      <c r="H1676" s="28">
        <v>749.0</v>
      </c>
      <c r="I1676" s="28">
        <v>471.0</v>
      </c>
      <c r="J1676" s="28">
        <v>5650.0</v>
      </c>
      <c r="K1676" s="25" t="s">
        <v>159</v>
      </c>
      <c r="L1676" s="26">
        <v>5.0</v>
      </c>
      <c r="M1676" s="26">
        <v>2.0</v>
      </c>
      <c r="N1676" s="26">
        <v>1.0</v>
      </c>
      <c r="O1676" s="26">
        <v>0.0</v>
      </c>
      <c r="P1676" s="26">
        <v>960.0</v>
      </c>
      <c r="Q1676" s="35">
        <v>116.0</v>
      </c>
      <c r="R1676" s="32">
        <v>45758.0</v>
      </c>
      <c r="S1676" s="32">
        <v>45747.0</v>
      </c>
      <c r="T1676" s="29"/>
      <c r="U1676" s="33"/>
      <c r="V1676" s="1"/>
    </row>
    <row r="1677" ht="24.0" customHeight="1">
      <c r="A1677" s="1"/>
      <c r="B1677" s="24" t="str">
        <f>HYPERLINK("https://www.compass.com/listing/43-15-saull-street-unit-153d-queens-ny-11355/1754607143913497337/view?agent_id=610d3f3370540700019b0833","43-15 Saull Street, Unit 153D")</f>
        <v>43-15 Saull Street, Unit 153D</v>
      </c>
      <c r="C1677" s="25" t="s">
        <v>22</v>
      </c>
      <c r="D1677" s="26" t="s">
        <v>23</v>
      </c>
      <c r="E1677" s="27" t="str">
        <f>HYPERLINK("https://www.compass.com/building/43-15-saull-st-queens-ny-11355/307444487869332069/","43-15 Saull St")</f>
        <v>43-15 Saull St</v>
      </c>
      <c r="F1677" s="25" t="s">
        <v>185</v>
      </c>
      <c r="G1677" s="28">
        <v>638000.0</v>
      </c>
      <c r="H1677" s="28">
        <v>727.0</v>
      </c>
      <c r="I1677" s="28">
        <v>1108.0</v>
      </c>
      <c r="J1677" s="28">
        <v>5899.0</v>
      </c>
      <c r="K1677" s="25" t="s">
        <v>28</v>
      </c>
      <c r="L1677" s="26">
        <v>4.0</v>
      </c>
      <c r="M1677" s="26">
        <v>2.0</v>
      </c>
      <c r="N1677" s="26">
        <v>1.0</v>
      </c>
      <c r="O1677" s="30"/>
      <c r="P1677" s="26">
        <v>878.0</v>
      </c>
      <c r="Q1677" s="35">
        <v>191.0</v>
      </c>
      <c r="R1677" s="32">
        <v>45863.0</v>
      </c>
      <c r="S1677" s="32">
        <v>45672.0</v>
      </c>
      <c r="T1677" s="29"/>
      <c r="U1677" s="33"/>
      <c r="V1677" s="1"/>
    </row>
    <row r="1678" ht="24.0" customHeight="1">
      <c r="A1678" s="1"/>
      <c r="B1678" s="24" t="str">
        <f>HYPERLINK("https://www.compass.com/listing/73-51-bell-boulevard-unit-1e-queens-ny-11364/1764864431184892409/view?agent_id=610d3f3370540700019b0833","73-51 Bell Boulevard, Unit 1E")</f>
        <v>73-51 Bell Boulevard, Unit 1E</v>
      </c>
      <c r="C1678" s="25" t="s">
        <v>22</v>
      </c>
      <c r="D1678" s="26" t="s">
        <v>23</v>
      </c>
      <c r="E1678" s="27" t="str">
        <f>HYPERLINK("https://www.compass.com/building/73-51-bell-blvd-queens-ny-11364/307447098899117077/","73-51 Bell Blvd")</f>
        <v>73-51 Bell Blvd</v>
      </c>
      <c r="F1678" s="36"/>
      <c r="G1678" s="28">
        <v>320000.0</v>
      </c>
      <c r="H1678" s="28">
        <v>337.0</v>
      </c>
      <c r="I1678" s="28">
        <v>657.0</v>
      </c>
      <c r="J1678" s="28">
        <v>0.0</v>
      </c>
      <c r="K1678" s="25" t="s">
        <v>25</v>
      </c>
      <c r="L1678" s="26">
        <v>4.0</v>
      </c>
      <c r="M1678" s="26">
        <v>2.0</v>
      </c>
      <c r="N1678" s="30"/>
      <c r="O1678" s="30"/>
      <c r="P1678" s="26">
        <v>950.0</v>
      </c>
      <c r="Q1678" s="35">
        <v>2062.0</v>
      </c>
      <c r="R1678" s="32">
        <v>43707.0</v>
      </c>
      <c r="S1678" s="32">
        <v>43707.0</v>
      </c>
      <c r="T1678" s="29"/>
      <c r="U1678" s="33"/>
      <c r="V1678" s="1"/>
    </row>
    <row r="1679" ht="24.0" customHeight="1">
      <c r="A1679" s="1"/>
      <c r="B1679" s="24" t="str">
        <f>HYPERLINK("https://www.compass.com/listing/65-38-austin-street-unit-2j-queens-ny-11374/1484557652869715289/view?agent_id=610d3f3370540700019b0833","65-38 Austin Street, Unit 2J")</f>
        <v>65-38 Austin Street, Unit 2J</v>
      </c>
      <c r="C1679" s="25" t="s">
        <v>22</v>
      </c>
      <c r="D1679" s="26" t="s">
        <v>23</v>
      </c>
      <c r="E1679" s="27" t="str">
        <f>HYPERLINK("https://www.compass.com/building/65-38-austin-st-queens-ny-11374/293528781279221285/","65-38 Austin St")</f>
        <v>65-38 Austin St</v>
      </c>
      <c r="F1679" s="25" t="s">
        <v>166</v>
      </c>
      <c r="G1679" s="28">
        <v>720000.0</v>
      </c>
      <c r="H1679" s="29"/>
      <c r="I1679" s="28">
        <v>346.0</v>
      </c>
      <c r="J1679" s="28">
        <v>312.0</v>
      </c>
      <c r="K1679" s="25" t="s">
        <v>28</v>
      </c>
      <c r="L1679" s="26">
        <v>5.0</v>
      </c>
      <c r="M1679" s="26">
        <v>2.0</v>
      </c>
      <c r="N1679" s="30"/>
      <c r="O1679" s="30"/>
      <c r="P1679" s="30"/>
      <c r="Q1679" s="35">
        <v>564.0</v>
      </c>
      <c r="R1679" s="32">
        <v>45300.0</v>
      </c>
      <c r="S1679" s="32">
        <v>45299.0</v>
      </c>
      <c r="T1679" s="29"/>
      <c r="U1679" s="33"/>
      <c r="V1679" s="1"/>
    </row>
    <row r="1680" ht="24.0" customHeight="1">
      <c r="A1680" s="1"/>
      <c r="B1680" s="24" t="str">
        <f>HYPERLINK("https://www.compass.com/listing/216-06-68th-avenue-unit-2805-9-queens-ny-11364/1788614503735707049/view?agent_id=610d3f3370540700019b0833","216-06 68th Avenue, Unit 2805 9")</f>
        <v>216-06 68th Avenue, Unit 2805 9</v>
      </c>
      <c r="C1680" s="25" t="s">
        <v>22</v>
      </c>
      <c r="D1680" s="26" t="s">
        <v>23</v>
      </c>
      <c r="E1680" s="27" t="str">
        <f>HYPERLINK("https://www.compass.com/building/216-06-68th-ave-queens-ny-11364/445086525077002045/","216-06 68th Ave")</f>
        <v>216-06 68th Ave</v>
      </c>
      <c r="F1680" s="25" t="s">
        <v>37</v>
      </c>
      <c r="G1680" s="28">
        <v>428000.0</v>
      </c>
      <c r="H1680" s="28">
        <v>489.0</v>
      </c>
      <c r="I1680" s="28">
        <v>942.0</v>
      </c>
      <c r="J1680" s="29"/>
      <c r="K1680" s="25" t="s">
        <v>25</v>
      </c>
      <c r="L1680" s="26">
        <v>5.0</v>
      </c>
      <c r="M1680" s="26">
        <v>2.0</v>
      </c>
      <c r="N1680" s="26">
        <v>1.0</v>
      </c>
      <c r="O1680" s="30"/>
      <c r="P1680" s="26">
        <v>875.0</v>
      </c>
      <c r="Q1680" s="35">
        <v>144.0</v>
      </c>
      <c r="R1680" s="32">
        <v>45834.0</v>
      </c>
      <c r="S1680" s="32">
        <v>45719.0</v>
      </c>
      <c r="T1680" s="29"/>
      <c r="U1680" s="33"/>
      <c r="V1680" s="1"/>
    </row>
    <row r="1681" ht="24.0" customHeight="1">
      <c r="A1681" s="1"/>
      <c r="B1681" s="24" t="str">
        <f>HYPERLINK("https://www.compass.com/listing/414-elmwood-avenue-unit-3f-brooklyn-ny-11230/1832666287300347689/view?agent_id=610d3f3370540700019b0833","414 Elmwood Avenue, Unit 3F")</f>
        <v>414 Elmwood Avenue, Unit 3F</v>
      </c>
      <c r="C1681" s="25" t="s">
        <v>22</v>
      </c>
      <c r="D1681" s="26" t="s">
        <v>23</v>
      </c>
      <c r="E1681" s="27" t="str">
        <f>HYPERLINK("https://www.compass.com/building/414-elmwood-ave-brooklyn-ny-11230/293532550859614677/","414 Elmwood Ave")</f>
        <v>414 Elmwood Ave</v>
      </c>
      <c r="F1681" s="25" t="s">
        <v>34</v>
      </c>
      <c r="G1681" s="28">
        <v>385000.0</v>
      </c>
      <c r="H1681" s="29"/>
      <c r="I1681" s="28">
        <v>1144.0</v>
      </c>
      <c r="J1681" s="28">
        <v>0.0</v>
      </c>
      <c r="K1681" s="25" t="s">
        <v>25</v>
      </c>
      <c r="L1681" s="26">
        <v>4.0</v>
      </c>
      <c r="M1681" s="26">
        <v>2.0</v>
      </c>
      <c r="N1681" s="26">
        <v>1.0</v>
      </c>
      <c r="O1681" s="26">
        <v>0.0</v>
      </c>
      <c r="P1681" s="30"/>
      <c r="Q1681" s="35">
        <v>83.0</v>
      </c>
      <c r="R1681" s="32">
        <v>45858.0</v>
      </c>
      <c r="S1681" s="32">
        <v>45780.0</v>
      </c>
      <c r="T1681" s="29"/>
      <c r="U1681" s="33"/>
      <c r="V1681" s="1"/>
    </row>
    <row r="1682" ht="24.0" customHeight="1">
      <c r="A1682" s="1"/>
      <c r="B1682" s="24" t="str">
        <f>HYPERLINK("https://www.compass.com/listing/2818-west-17th-street-unit-1b-brooklyn-ny-11224/1759634148885230233/view?agent_id=610d3f3370540700019b0833","2818 West 17th Street, Unit 1B")</f>
        <v>2818 West 17th Street, Unit 1B</v>
      </c>
      <c r="C1682" s="25" t="s">
        <v>22</v>
      </c>
      <c r="D1682" s="26" t="s">
        <v>23</v>
      </c>
      <c r="E1682" s="27" t="str">
        <f>HYPERLINK("https://www.compass.com/building/2818-w-17th-st-brooklyn-ny-11224/293535292533614437/","2818 W 17th St")</f>
        <v>2818 W 17th St</v>
      </c>
      <c r="F1682" s="25" t="s">
        <v>183</v>
      </c>
      <c r="G1682" s="28">
        <v>628000.0</v>
      </c>
      <c r="H1682" s="28">
        <v>574.0</v>
      </c>
      <c r="I1682" s="28">
        <v>422.0</v>
      </c>
      <c r="J1682" s="28">
        <v>425.0</v>
      </c>
      <c r="K1682" s="25" t="s">
        <v>28</v>
      </c>
      <c r="L1682" s="26">
        <v>4.0</v>
      </c>
      <c r="M1682" s="26">
        <v>2.0</v>
      </c>
      <c r="N1682" s="26">
        <v>1.0</v>
      </c>
      <c r="O1682" s="30"/>
      <c r="P1682" s="34">
        <v>1095.0</v>
      </c>
      <c r="Q1682" s="35">
        <v>184.0</v>
      </c>
      <c r="R1682" s="32">
        <v>45840.0</v>
      </c>
      <c r="S1682" s="32">
        <v>45679.0</v>
      </c>
      <c r="T1682" s="29"/>
      <c r="U1682" s="33"/>
      <c r="V1682" s="1"/>
    </row>
    <row r="1683" ht="24.0" customHeight="1">
      <c r="A1683" s="1"/>
      <c r="B1683" s="24" t="str">
        <f>HYPERLINK("https://www.compass.com/listing/2217-east-13th-street-brooklyn-ny-11229/852839916285908985/view?agent_id=610d3f3370540700019b0833","2217 East 13th Street")</f>
        <v>2217 East 13th Street</v>
      </c>
      <c r="C1683" s="25" t="s">
        <v>22</v>
      </c>
      <c r="D1683" s="26" t="s">
        <v>23</v>
      </c>
      <c r="E1683" s="27" t="str">
        <f>HYPERLINK("https://www.compass.com/building/2217-e-13th-st-brooklyn-ny-11229/293531248410764501/","2217 E 13th St")</f>
        <v>2217 E 13th St</v>
      </c>
      <c r="F1683" s="25" t="s">
        <v>318</v>
      </c>
      <c r="G1683" s="28">
        <v>950000.0</v>
      </c>
      <c r="H1683" s="28">
        <v>1084.0</v>
      </c>
      <c r="I1683" s="28">
        <v>331.0</v>
      </c>
      <c r="J1683" s="28">
        <v>3973.0</v>
      </c>
      <c r="K1683" s="25" t="s">
        <v>159</v>
      </c>
      <c r="L1683" s="26">
        <v>4.0</v>
      </c>
      <c r="M1683" s="26">
        <v>2.0</v>
      </c>
      <c r="N1683" s="26">
        <v>1.0</v>
      </c>
      <c r="O1683" s="30"/>
      <c r="P1683" s="26">
        <v>876.0</v>
      </c>
      <c r="Q1683" s="35">
        <v>1436.0</v>
      </c>
      <c r="R1683" s="32">
        <v>45638.0</v>
      </c>
      <c r="S1683" s="32">
        <v>44427.0</v>
      </c>
      <c r="T1683" s="29"/>
      <c r="U1683" s="33"/>
      <c r="V1683" s="1"/>
    </row>
    <row r="1684" ht="24.0" customHeight="1">
      <c r="A1684" s="1"/>
      <c r="B1684" s="24" t="str">
        <f>HYPERLINK("https://www.compass.com/listing/160-51-17th-avenue-unit-lowr-queens-ny-11357/1664652996420093121/view?agent_id=610d3f3370540700019b0833","160-51 17th Avenue, Unit LOWR")</f>
        <v>160-51 17th Avenue, Unit LOWR</v>
      </c>
      <c r="C1684" s="25" t="s">
        <v>22</v>
      </c>
      <c r="D1684" s="26" t="s">
        <v>23</v>
      </c>
      <c r="E1684" s="27" t="str">
        <f>HYPERLINK("https://www.compass.com/building/160-51-17th-ave-queens-ny-11357/307434842488335749/","160-51 17th Ave")</f>
        <v>160-51 17th Ave</v>
      </c>
      <c r="F1684" s="25" t="s">
        <v>164</v>
      </c>
      <c r="G1684" s="28">
        <v>315888.0</v>
      </c>
      <c r="H1684" s="29"/>
      <c r="I1684" s="28">
        <v>1200.0</v>
      </c>
      <c r="J1684" s="28">
        <v>0.0</v>
      </c>
      <c r="K1684" s="25" t="s">
        <v>25</v>
      </c>
      <c r="L1684" s="26">
        <v>5.0</v>
      </c>
      <c r="M1684" s="26">
        <v>2.0</v>
      </c>
      <c r="N1684" s="26">
        <v>1.0</v>
      </c>
      <c r="O1684" s="30"/>
      <c r="P1684" s="30"/>
      <c r="Q1684" s="35">
        <v>312.0</v>
      </c>
      <c r="R1684" s="32">
        <v>45825.0</v>
      </c>
      <c r="S1684" s="32">
        <v>45547.0</v>
      </c>
      <c r="T1684" s="29"/>
      <c r="U1684" s="33"/>
      <c r="V1684" s="1"/>
    </row>
    <row r="1685" ht="24.0" customHeight="1">
      <c r="A1685" s="1"/>
      <c r="B1685" s="24" t="str">
        <f>HYPERLINK("https://www.compass.com/listing/110-20-71st-avenue-unit-420-queens-ny-11375/1834185862869394425/view?agent_id=610d3f3370540700019b0833","110-20 71st Avenue, Unit 420")</f>
        <v>110-20 71st Avenue, Unit 420</v>
      </c>
      <c r="C1685" s="25" t="s">
        <v>22</v>
      </c>
      <c r="D1685" s="26" t="s">
        <v>23</v>
      </c>
      <c r="E1685" s="27" t="str">
        <f>HYPERLINK("https://www.compass.com/building/110-20-71st-ave-queens-ny-11375/293534079993778229/","110-20 71st Ave")</f>
        <v>110-20 71st Ave</v>
      </c>
      <c r="F1685" s="25" t="s">
        <v>83</v>
      </c>
      <c r="G1685" s="28">
        <v>549000.0</v>
      </c>
      <c r="H1685" s="28">
        <v>578.0</v>
      </c>
      <c r="I1685" s="28">
        <v>1063.0</v>
      </c>
      <c r="J1685" s="29"/>
      <c r="K1685" s="25" t="s">
        <v>25</v>
      </c>
      <c r="L1685" s="26">
        <v>4.0</v>
      </c>
      <c r="M1685" s="26">
        <v>2.0</v>
      </c>
      <c r="N1685" s="26">
        <v>1.0</v>
      </c>
      <c r="O1685" s="30"/>
      <c r="P1685" s="26">
        <v>950.0</v>
      </c>
      <c r="Q1685" s="35">
        <v>81.0</v>
      </c>
      <c r="R1685" s="32">
        <v>45863.0</v>
      </c>
      <c r="S1685" s="32">
        <v>45782.0</v>
      </c>
      <c r="T1685" s="29"/>
      <c r="U1685" s="33"/>
      <c r="V1685" s="1"/>
    </row>
    <row r="1686" ht="24.0" customHeight="1">
      <c r="A1686" s="1"/>
      <c r="B1686" s="24" t="str">
        <f>HYPERLINK("https://www.compass.com/listing/1414-forest-avenue-staten-island-ny-10302/1004330173597084193/view?agent_id=610d3f3370540700019b0833","1414 Forest Avenue")</f>
        <v>1414 Forest Avenue</v>
      </c>
      <c r="C1686" s="25" t="s">
        <v>22</v>
      </c>
      <c r="D1686" s="26" t="s">
        <v>23</v>
      </c>
      <c r="E1686" s="27" t="str">
        <f>HYPERLINK("https://www.compass.com/building/1414-forest-ave-staten-island-ny-10302/293528621023312757/","1414 Forest Ave")</f>
        <v>1414 Forest Ave</v>
      </c>
      <c r="F1686" s="25" t="s">
        <v>184</v>
      </c>
      <c r="G1686" s="28">
        <v>628000.0</v>
      </c>
      <c r="H1686" s="28">
        <v>334.0</v>
      </c>
      <c r="I1686" s="28">
        <v>770.0</v>
      </c>
      <c r="J1686" s="28">
        <v>9240.0</v>
      </c>
      <c r="K1686" s="25" t="s">
        <v>105</v>
      </c>
      <c r="L1686" s="26">
        <v>5.0</v>
      </c>
      <c r="M1686" s="26">
        <v>2.0</v>
      </c>
      <c r="N1686" s="30"/>
      <c r="O1686" s="30"/>
      <c r="P1686" s="34">
        <v>1882.0</v>
      </c>
      <c r="Q1686" s="35">
        <v>897.0</v>
      </c>
      <c r="R1686" s="32">
        <v>45862.0</v>
      </c>
      <c r="S1686" s="32">
        <v>44966.0</v>
      </c>
      <c r="T1686" s="29"/>
      <c r="U1686" s="33"/>
      <c r="V1686" s="1"/>
    </row>
    <row r="1687" ht="24.0" customHeight="1">
      <c r="A1687" s="1"/>
      <c r="B1687" s="24" t="str">
        <f>HYPERLINK("https://www.compass.com/listing/9431-60th-avenue-unit-1g-queens-ny-11373/1779040359991577881/view?agent_id=610d3f3370540700019b0833","9431 60th Avenue, Unit 1G")</f>
        <v>9431 60th Avenue, Unit 1G</v>
      </c>
      <c r="C1687" s="25" t="s">
        <v>22</v>
      </c>
      <c r="D1687" s="26" t="s">
        <v>23</v>
      </c>
      <c r="E1687" s="26" t="s">
        <v>343</v>
      </c>
      <c r="F1687" s="25" t="s">
        <v>151</v>
      </c>
      <c r="G1687" s="28">
        <v>399998.0</v>
      </c>
      <c r="H1687" s="28">
        <v>401.0</v>
      </c>
      <c r="I1687" s="28">
        <v>699.0</v>
      </c>
      <c r="J1687" s="29"/>
      <c r="K1687" s="25" t="s">
        <v>25</v>
      </c>
      <c r="L1687" s="26">
        <v>5.0</v>
      </c>
      <c r="M1687" s="26">
        <v>2.0</v>
      </c>
      <c r="N1687" s="26">
        <v>1.0</v>
      </c>
      <c r="O1687" s="30"/>
      <c r="P1687" s="26">
        <v>998.0</v>
      </c>
      <c r="Q1687" s="35">
        <v>156.0</v>
      </c>
      <c r="R1687" s="32">
        <v>45837.0</v>
      </c>
      <c r="S1687" s="32">
        <v>45706.0</v>
      </c>
      <c r="T1687" s="29"/>
      <c r="U1687" s="33"/>
      <c r="V1687" s="1"/>
    </row>
    <row r="1688" ht="24.0" customHeight="1">
      <c r="A1688" s="1"/>
      <c r="B1688" s="24" t="str">
        <f>HYPERLINK("https://www.compass.com/listing/220-55-46th-avenue-unit-6f-queens-ny-11361/1801633112345205969/view?agent_id=610d3f3370540700019b0833","220-55 46th Avenue, Unit 6F")</f>
        <v>220-55 46th Avenue, Unit 6F</v>
      </c>
      <c r="C1688" s="25" t="s">
        <v>22</v>
      </c>
      <c r="D1688" s="26" t="s">
        <v>23</v>
      </c>
      <c r="E1688" s="27" t="str">
        <f>HYPERLINK("https://www.compass.com/building/220-55-46th-ave-queens-ny-11361/293528229459835141/","220-55 46th Ave")</f>
        <v>220-55 46th Ave</v>
      </c>
      <c r="F1688" s="25" t="s">
        <v>252</v>
      </c>
      <c r="G1688" s="28">
        <v>429000.0</v>
      </c>
      <c r="H1688" s="28">
        <v>452.0</v>
      </c>
      <c r="I1688" s="28">
        <v>1299.0</v>
      </c>
      <c r="J1688" s="29"/>
      <c r="K1688" s="25" t="s">
        <v>25</v>
      </c>
      <c r="L1688" s="26">
        <v>5.0</v>
      </c>
      <c r="M1688" s="26">
        <v>2.0</v>
      </c>
      <c r="N1688" s="26">
        <v>1.0</v>
      </c>
      <c r="O1688" s="30"/>
      <c r="P1688" s="26">
        <v>950.0</v>
      </c>
      <c r="Q1688" s="35">
        <v>125.0</v>
      </c>
      <c r="R1688" s="32">
        <v>45841.0</v>
      </c>
      <c r="S1688" s="32">
        <v>45737.0</v>
      </c>
      <c r="T1688" s="29"/>
      <c r="U1688" s="33"/>
      <c r="V1688" s="1"/>
    </row>
    <row r="1689" ht="24.0" customHeight="1">
      <c r="A1689" s="1"/>
      <c r="B1689" s="24" t="str">
        <f>HYPERLINK("https://www.compass.com/listing/142-05-roosevelt-avenue-unit-611-queens-ny-11354/1826896377985528913/view?agent_id=610d3f3370540700019b0833","142-05 Roosevelt Avenue, Unit 611")</f>
        <v>142-05 Roosevelt Avenue, Unit 611</v>
      </c>
      <c r="C1689" s="25" t="s">
        <v>22</v>
      </c>
      <c r="D1689" s="26" t="s">
        <v>23</v>
      </c>
      <c r="E1689" s="27" t="str">
        <f>HYPERLINK("https://www.compass.com/building/142-05-roosevelt-ave-queens-ny-11354/293417875543223477/","142-05 Roosevelt Ave")</f>
        <v>142-05 Roosevelt Ave</v>
      </c>
      <c r="F1689" s="25" t="s">
        <v>221</v>
      </c>
      <c r="G1689" s="28">
        <v>409000.0</v>
      </c>
      <c r="H1689" s="28">
        <v>372.0</v>
      </c>
      <c r="I1689" s="28">
        <v>1211.0</v>
      </c>
      <c r="J1689" s="29"/>
      <c r="K1689" s="25" t="s">
        <v>25</v>
      </c>
      <c r="L1689" s="26">
        <v>3.0</v>
      </c>
      <c r="M1689" s="26">
        <v>2.0</v>
      </c>
      <c r="N1689" s="26">
        <v>1.0</v>
      </c>
      <c r="O1689" s="30"/>
      <c r="P1689" s="34">
        <v>1100.0</v>
      </c>
      <c r="Q1689" s="35">
        <v>91.0</v>
      </c>
      <c r="R1689" s="32">
        <v>45862.0</v>
      </c>
      <c r="S1689" s="32">
        <v>45772.0</v>
      </c>
      <c r="T1689" s="29"/>
      <c r="U1689" s="33"/>
      <c r="V1689" s="1"/>
    </row>
    <row r="1690" ht="24.0" customHeight="1">
      <c r="A1690" s="1"/>
      <c r="B1690" s="24" t="str">
        <f>HYPERLINK("https://www.compass.com/listing/105-24-67th-avenue-unit-4b-queens-ny-11375/1804537368602268801/view?agent_id=610d3f3370540700019b0833","105-24 67th Avenue, Unit 4B")</f>
        <v>105-24 67th Avenue, Unit 4B</v>
      </c>
      <c r="C1690" s="25" t="s">
        <v>22</v>
      </c>
      <c r="D1690" s="26" t="s">
        <v>23</v>
      </c>
      <c r="E1690" s="27" t="str">
        <f>HYPERLINK("https://www.compass.com/building/105-24-67th-ave-queens-ny-11375/294843379636558629/","105-24 67th Ave")</f>
        <v>105-24 67th Ave</v>
      </c>
      <c r="F1690" s="25" t="s">
        <v>83</v>
      </c>
      <c r="G1690" s="28">
        <v>399000.0</v>
      </c>
      <c r="H1690" s="28">
        <v>399.0</v>
      </c>
      <c r="I1690" s="28">
        <v>1200.0</v>
      </c>
      <c r="J1690" s="29"/>
      <c r="K1690" s="25" t="s">
        <v>25</v>
      </c>
      <c r="L1690" s="26">
        <v>5.0</v>
      </c>
      <c r="M1690" s="26">
        <v>2.0</v>
      </c>
      <c r="N1690" s="26">
        <v>1.0</v>
      </c>
      <c r="O1690" s="30"/>
      <c r="P1690" s="34">
        <v>1000.0</v>
      </c>
      <c r="Q1690" s="35">
        <v>122.0</v>
      </c>
      <c r="R1690" s="32">
        <v>45857.0</v>
      </c>
      <c r="S1690" s="32">
        <v>45741.0</v>
      </c>
      <c r="T1690" s="29"/>
      <c r="U1690" s="33"/>
      <c r="V1690" s="1"/>
    </row>
    <row r="1691" ht="24.0" customHeight="1">
      <c r="A1691" s="1"/>
      <c r="B1691" s="24" t="str">
        <f>HYPERLINK("https://www.compass.com/listing/131-02-40th-road-unit-17t-queens-ny-11354/1735731021947020609/view?agent_id=610d3f3370540700019b0833","131-02 40th Road, Unit 17T")</f>
        <v>131-02 40th Road, Unit 17T</v>
      </c>
      <c r="C1691" s="25" t="s">
        <v>22</v>
      </c>
      <c r="D1691" s="26" t="s">
        <v>23</v>
      </c>
      <c r="E1691" s="27" t="str">
        <f t="shared" ref="E1691:E1696" si="13">HYPERLINK("https://www.compass.com/building/131-02-a-40-road-queens-ny/1730069412592616725/","131-02 A 40 Road")</f>
        <v>131-02 A 40 Road</v>
      </c>
      <c r="F1691" s="25" t="s">
        <v>185</v>
      </c>
      <c r="G1691" s="28">
        <v>915000.0</v>
      </c>
      <c r="H1691" s="28">
        <v>1243.0</v>
      </c>
      <c r="I1691" s="28">
        <v>1160.0</v>
      </c>
      <c r="J1691" s="28">
        <v>8189.0</v>
      </c>
      <c r="K1691" s="25" t="s">
        <v>28</v>
      </c>
      <c r="L1691" s="26">
        <v>4.0</v>
      </c>
      <c r="M1691" s="26">
        <v>2.0</v>
      </c>
      <c r="N1691" s="26">
        <v>1.0</v>
      </c>
      <c r="O1691" s="30"/>
      <c r="P1691" s="26">
        <v>736.0</v>
      </c>
      <c r="Q1691" s="35">
        <v>217.0</v>
      </c>
      <c r="R1691" s="32">
        <v>45863.0</v>
      </c>
      <c r="S1691" s="32">
        <v>45646.0</v>
      </c>
      <c r="T1691" s="29"/>
      <c r="U1691" s="33"/>
      <c r="V1691" s="1"/>
    </row>
    <row r="1692" ht="24.0" customHeight="1">
      <c r="A1692" s="1"/>
      <c r="B1692" s="24" t="str">
        <f>HYPERLINK("https://www.compass.com/listing/131-02-40th-road-unit-13t-queens-ny-11354/1716072609999683329/view?agent_id=610d3f3370540700019b0833","131-02 40th Road, Unit 13T")</f>
        <v>131-02 40th Road, Unit 13T</v>
      </c>
      <c r="C1692" s="25" t="s">
        <v>22</v>
      </c>
      <c r="D1692" s="26" t="s">
        <v>23</v>
      </c>
      <c r="E1692" s="27" t="str">
        <f t="shared" si="13"/>
        <v>131-02 A 40 Road</v>
      </c>
      <c r="F1692" s="25" t="s">
        <v>185</v>
      </c>
      <c r="G1692" s="28">
        <v>874000.0</v>
      </c>
      <c r="H1692" s="28">
        <v>1188.0</v>
      </c>
      <c r="I1692" s="28">
        <v>535.0</v>
      </c>
      <c r="J1692" s="28">
        <v>682.0</v>
      </c>
      <c r="K1692" s="25" t="s">
        <v>28</v>
      </c>
      <c r="L1692" s="26">
        <v>4.0</v>
      </c>
      <c r="M1692" s="26">
        <v>2.0</v>
      </c>
      <c r="N1692" s="26">
        <v>1.0</v>
      </c>
      <c r="O1692" s="30"/>
      <c r="P1692" s="26">
        <v>736.0</v>
      </c>
      <c r="Q1692" s="35">
        <v>244.0</v>
      </c>
      <c r="R1692" s="32">
        <v>45863.0</v>
      </c>
      <c r="S1692" s="32">
        <v>45619.0</v>
      </c>
      <c r="T1692" s="29"/>
      <c r="U1692" s="33"/>
      <c r="V1692" s="1"/>
    </row>
    <row r="1693" ht="24.0" customHeight="1">
      <c r="A1693" s="1"/>
      <c r="B1693" s="24" t="str">
        <f>HYPERLINK("https://www.compass.com/listing/131-02-40th-road-unit-18t-queens-ny-11354/1716125978063879105/view?agent_id=610d3f3370540700019b0833","131-02 40th Road, Unit 18T")</f>
        <v>131-02 40th Road, Unit 18T</v>
      </c>
      <c r="C1693" s="25" t="s">
        <v>22</v>
      </c>
      <c r="D1693" s="26" t="s">
        <v>23</v>
      </c>
      <c r="E1693" s="27" t="str">
        <f t="shared" si="13"/>
        <v>131-02 A 40 Road</v>
      </c>
      <c r="F1693" s="25" t="s">
        <v>185</v>
      </c>
      <c r="G1693" s="28">
        <v>922000.0</v>
      </c>
      <c r="H1693" s="28">
        <v>1253.0</v>
      </c>
      <c r="I1693" s="28">
        <v>535.0</v>
      </c>
      <c r="J1693" s="28">
        <v>682.0</v>
      </c>
      <c r="K1693" s="25" t="s">
        <v>28</v>
      </c>
      <c r="L1693" s="26">
        <v>4.0</v>
      </c>
      <c r="M1693" s="26">
        <v>2.0</v>
      </c>
      <c r="N1693" s="26">
        <v>1.0</v>
      </c>
      <c r="O1693" s="30"/>
      <c r="P1693" s="26">
        <v>736.0</v>
      </c>
      <c r="Q1693" s="35">
        <v>244.0</v>
      </c>
      <c r="R1693" s="32">
        <v>45863.0</v>
      </c>
      <c r="S1693" s="32">
        <v>45619.0</v>
      </c>
      <c r="T1693" s="29"/>
      <c r="U1693" s="33"/>
      <c r="V1693" s="1"/>
    </row>
    <row r="1694" ht="24.0" customHeight="1">
      <c r="A1694" s="1"/>
      <c r="B1694" s="24" t="str">
        <f>HYPERLINK("https://www.compass.com/listing/131-02-40th-road-unit-12t-queens-ny-11354/1672613565023710777/view?agent_id=610d3f3370540700019b0833","131-02 40th Road, Unit 12T")</f>
        <v>131-02 40th Road, Unit 12T</v>
      </c>
      <c r="C1694" s="25" t="s">
        <v>22</v>
      </c>
      <c r="D1694" s="26" t="s">
        <v>23</v>
      </c>
      <c r="E1694" s="27" t="str">
        <f t="shared" si="13"/>
        <v>131-02 A 40 Road</v>
      </c>
      <c r="F1694" s="25" t="s">
        <v>185</v>
      </c>
      <c r="G1694" s="28">
        <v>867000.0</v>
      </c>
      <c r="H1694" s="28">
        <v>1178.0</v>
      </c>
      <c r="I1694" s="28">
        <v>535.0</v>
      </c>
      <c r="J1694" s="28">
        <v>682.0</v>
      </c>
      <c r="K1694" s="25" t="s">
        <v>28</v>
      </c>
      <c r="L1694" s="26">
        <v>4.0</v>
      </c>
      <c r="M1694" s="26">
        <v>2.0</v>
      </c>
      <c r="N1694" s="26">
        <v>1.0</v>
      </c>
      <c r="O1694" s="30"/>
      <c r="P1694" s="26">
        <v>736.0</v>
      </c>
      <c r="Q1694" s="35">
        <v>304.0</v>
      </c>
      <c r="R1694" s="32">
        <v>45863.0</v>
      </c>
      <c r="S1694" s="32">
        <v>45559.0</v>
      </c>
      <c r="T1694" s="29"/>
      <c r="U1694" s="33"/>
      <c r="V1694" s="1"/>
    </row>
    <row r="1695" ht="24.0" customHeight="1">
      <c r="A1695" s="1"/>
      <c r="B1695" s="24" t="str">
        <f>HYPERLINK("https://www.compass.com/listing/131-02-40th-road-unit-16t-queens-ny-11354/1672648901657312985/view?agent_id=610d3f3370540700019b0833","131-02 40th Road, Unit 16T")</f>
        <v>131-02 40th Road, Unit 16T</v>
      </c>
      <c r="C1695" s="25" t="s">
        <v>22</v>
      </c>
      <c r="D1695" s="26" t="s">
        <v>23</v>
      </c>
      <c r="E1695" s="27" t="str">
        <f t="shared" si="13"/>
        <v>131-02 A 40 Road</v>
      </c>
      <c r="F1695" s="25" t="s">
        <v>185</v>
      </c>
      <c r="G1695" s="28">
        <v>896000.0</v>
      </c>
      <c r="H1695" s="28">
        <v>1217.0</v>
      </c>
      <c r="I1695" s="28">
        <v>535.0</v>
      </c>
      <c r="J1695" s="28">
        <v>682.0</v>
      </c>
      <c r="K1695" s="25" t="s">
        <v>28</v>
      </c>
      <c r="L1695" s="26">
        <v>4.0</v>
      </c>
      <c r="M1695" s="26">
        <v>2.0</v>
      </c>
      <c r="N1695" s="26">
        <v>1.0</v>
      </c>
      <c r="O1695" s="30"/>
      <c r="P1695" s="26">
        <v>736.0</v>
      </c>
      <c r="Q1695" s="35">
        <v>304.0</v>
      </c>
      <c r="R1695" s="32">
        <v>45863.0</v>
      </c>
      <c r="S1695" s="32">
        <v>45559.0</v>
      </c>
      <c r="T1695" s="29"/>
      <c r="U1695" s="33"/>
      <c r="V1695" s="1"/>
    </row>
    <row r="1696" ht="24.0" customHeight="1">
      <c r="A1696" s="1"/>
      <c r="B1696" s="24" t="str">
        <f>HYPERLINK("https://www.compass.com/listing/131-02-40th-road-unit-20t-queens-ny-11354/1634292243423923729/view?agent_id=610d3f3370540700019b0833","131-02 40th Road, Unit 20T")</f>
        <v>131-02 40th Road, Unit 20T</v>
      </c>
      <c r="C1696" s="25" t="s">
        <v>22</v>
      </c>
      <c r="D1696" s="26" t="s">
        <v>23</v>
      </c>
      <c r="E1696" s="27" t="str">
        <f t="shared" si="13"/>
        <v>131-02 A 40 Road</v>
      </c>
      <c r="F1696" s="25" t="s">
        <v>185</v>
      </c>
      <c r="G1696" s="28">
        <v>937000.0</v>
      </c>
      <c r="H1696" s="28">
        <v>1273.0</v>
      </c>
      <c r="I1696" s="28">
        <v>535.0</v>
      </c>
      <c r="J1696" s="28">
        <v>682.0</v>
      </c>
      <c r="K1696" s="25" t="s">
        <v>28</v>
      </c>
      <c r="L1696" s="26">
        <v>3.0</v>
      </c>
      <c r="M1696" s="26">
        <v>2.0</v>
      </c>
      <c r="N1696" s="26">
        <v>1.0</v>
      </c>
      <c r="O1696" s="30"/>
      <c r="P1696" s="26">
        <v>736.0</v>
      </c>
      <c r="Q1696" s="35">
        <v>357.0</v>
      </c>
      <c r="R1696" s="32">
        <v>45863.0</v>
      </c>
      <c r="S1696" s="32">
        <v>45506.0</v>
      </c>
      <c r="T1696" s="29"/>
      <c r="U1696" s="33"/>
      <c r="V1696" s="1"/>
    </row>
    <row r="1697" ht="24.0" customHeight="1">
      <c r="A1697" s="1"/>
      <c r="B1697" s="24" t="str">
        <f>HYPERLINK("https://www.compass.com/listing/44-05-macnish-street-unit-4d-queens-ny-11373/1801573412098492049/view?agent_id=610d3f3370540700019b0833","44-05 Macnish Street, Unit 4D")</f>
        <v>44-05 Macnish Street, Unit 4D</v>
      </c>
      <c r="C1697" s="25" t="s">
        <v>22</v>
      </c>
      <c r="D1697" s="26" t="s">
        <v>23</v>
      </c>
      <c r="E1697" s="27" t="str">
        <f>HYPERLINK("https://www.compass.com/building/44-05-macnish-st-queens-ny-11373/293532952212602021/","44-05 Macnish St")</f>
        <v>44-05 Macnish St</v>
      </c>
      <c r="F1697" s="25" t="s">
        <v>151</v>
      </c>
      <c r="G1697" s="28">
        <v>480000.0</v>
      </c>
      <c r="H1697" s="28">
        <v>533.0</v>
      </c>
      <c r="I1697" s="28">
        <v>1066.0</v>
      </c>
      <c r="J1697" s="29"/>
      <c r="K1697" s="25" t="s">
        <v>25</v>
      </c>
      <c r="L1697" s="26">
        <v>5.0</v>
      </c>
      <c r="M1697" s="26">
        <v>2.0</v>
      </c>
      <c r="N1697" s="26">
        <v>1.0</v>
      </c>
      <c r="O1697" s="30"/>
      <c r="P1697" s="26">
        <v>900.0</v>
      </c>
      <c r="Q1697" s="35">
        <v>126.0</v>
      </c>
      <c r="R1697" s="32">
        <v>45758.0</v>
      </c>
      <c r="S1697" s="32">
        <v>45737.0</v>
      </c>
      <c r="T1697" s="29"/>
      <c r="U1697" s="33"/>
      <c r="V1697" s="1"/>
    </row>
    <row r="1698" ht="24.0" customHeight="1">
      <c r="A1698" s="1"/>
      <c r="B1698" s="24" t="str">
        <f>HYPERLINK("https://www.compass.com/listing/58-selvin-loop-staten-island-ny-10303/1783648485644153417/view?agent_id=610d3f3370540700019b0833","58 Selvin Loop")</f>
        <v>58 Selvin Loop</v>
      </c>
      <c r="C1698" s="25" t="s">
        <v>22</v>
      </c>
      <c r="D1698" s="26" t="s">
        <v>23</v>
      </c>
      <c r="E1698" s="26" t="s">
        <v>344</v>
      </c>
      <c r="F1698" s="25" t="s">
        <v>190</v>
      </c>
      <c r="G1698" s="28">
        <v>409999.0</v>
      </c>
      <c r="H1698" s="28">
        <v>385.0</v>
      </c>
      <c r="I1698" s="28">
        <v>563.0</v>
      </c>
      <c r="J1698" s="28">
        <v>2507.0</v>
      </c>
      <c r="K1698" s="25" t="s">
        <v>339</v>
      </c>
      <c r="L1698" s="26">
        <v>5.0</v>
      </c>
      <c r="M1698" s="26">
        <v>2.0</v>
      </c>
      <c r="N1698" s="26">
        <v>1.0</v>
      </c>
      <c r="O1698" s="26">
        <v>0.0</v>
      </c>
      <c r="P1698" s="34">
        <v>1064.0</v>
      </c>
      <c r="Q1698" s="35">
        <v>152.0</v>
      </c>
      <c r="R1698" s="32">
        <v>45838.0</v>
      </c>
      <c r="S1698" s="32">
        <v>45711.0</v>
      </c>
      <c r="T1698" s="29"/>
      <c r="U1698" s="33"/>
      <c r="V1698" s="1"/>
    </row>
    <row r="1699" ht="24.0" customHeight="1">
      <c r="A1699" s="1"/>
      <c r="B1699" s="24" t="str">
        <f>HYPERLINK("https://www.compass.com/listing/35-06-leavitt-street-unit-3i-queens-ny-11354/1769691211385240433/view?agent_id=610d3f3370540700019b0833","35-06 Leavitt Street, Unit 3I")</f>
        <v>35-06 Leavitt Street, Unit 3I</v>
      </c>
      <c r="C1699" s="25" t="s">
        <v>22</v>
      </c>
      <c r="D1699" s="26" t="s">
        <v>23</v>
      </c>
      <c r="E1699" s="27" t="str">
        <f>HYPERLINK("https://www.compass.com/building/35-06-leavitt-st-queens-ny-11354/293527050860460021/","35-06 Leavitt St")</f>
        <v>35-06 Leavitt St</v>
      </c>
      <c r="F1699" s="25" t="s">
        <v>185</v>
      </c>
      <c r="G1699" s="28">
        <v>648000.0</v>
      </c>
      <c r="H1699" s="28">
        <v>1009.0</v>
      </c>
      <c r="I1699" s="28">
        <v>872.0</v>
      </c>
      <c r="J1699" s="28">
        <v>5065.0</v>
      </c>
      <c r="K1699" s="25" t="s">
        <v>28</v>
      </c>
      <c r="L1699" s="26">
        <v>4.0</v>
      </c>
      <c r="M1699" s="26">
        <v>2.0</v>
      </c>
      <c r="N1699" s="26">
        <v>1.0</v>
      </c>
      <c r="O1699" s="30"/>
      <c r="P1699" s="26">
        <v>642.0</v>
      </c>
      <c r="Q1699" s="35">
        <v>167.0</v>
      </c>
      <c r="R1699" s="32">
        <v>45853.0</v>
      </c>
      <c r="S1699" s="32">
        <v>45693.0</v>
      </c>
      <c r="T1699" s="29"/>
      <c r="U1699" s="33"/>
      <c r="V1699" s="1"/>
    </row>
    <row r="1700" ht="24.0" customHeight="1">
      <c r="A1700" s="1"/>
      <c r="B1700" s="24" t="str">
        <f>HYPERLINK("https://www.compass.com/listing/422-crystal-avenue-staten-island-ny-10314/1839255326197961657/view?agent_id=610d3f3370540700019b0833","422 Crystal Avenue")</f>
        <v>422 Crystal Avenue</v>
      </c>
      <c r="C1700" s="25" t="s">
        <v>22</v>
      </c>
      <c r="D1700" s="26" t="s">
        <v>23</v>
      </c>
      <c r="E1700" s="27" t="str">
        <f>HYPERLINK("https://www.compass.com/building/422-crystal-ave-staten-island-ny-10314/293533582415165653/","422 Crystal Ave")</f>
        <v>422 Crystal Ave</v>
      </c>
      <c r="F1700" s="25" t="s">
        <v>345</v>
      </c>
      <c r="G1700" s="28">
        <v>548888.0</v>
      </c>
      <c r="H1700" s="28">
        <v>653.0</v>
      </c>
      <c r="I1700" s="28">
        <v>303.0</v>
      </c>
      <c r="J1700" s="28">
        <v>3633.0</v>
      </c>
      <c r="K1700" s="25" t="s">
        <v>97</v>
      </c>
      <c r="L1700" s="26">
        <v>4.0</v>
      </c>
      <c r="M1700" s="26">
        <v>2.0</v>
      </c>
      <c r="N1700" s="26">
        <v>1.0</v>
      </c>
      <c r="O1700" s="26">
        <v>0.0</v>
      </c>
      <c r="P1700" s="26">
        <v>840.0</v>
      </c>
      <c r="Q1700" s="35">
        <v>75.0</v>
      </c>
      <c r="R1700" s="32">
        <v>45859.0</v>
      </c>
      <c r="S1700" s="32">
        <v>45788.0</v>
      </c>
      <c r="T1700" s="29"/>
      <c r="U1700" s="33"/>
      <c r="V1700" s="1"/>
    </row>
    <row r="1701" ht="24.0" customHeight="1">
      <c r="A1701" s="1"/>
      <c r="B1701" s="24" t="str">
        <f>HYPERLINK("https://www.compass.com/listing/72-10-112th-street-unit-3b-queens-ny-11375/1764594501645808649/view?agent_id=610d3f3370540700019b0833","72-10 112th Street, Unit 3B")</f>
        <v>72-10 112th Street, Unit 3B</v>
      </c>
      <c r="C1701" s="25" t="s">
        <v>22</v>
      </c>
      <c r="D1701" s="26" t="s">
        <v>23</v>
      </c>
      <c r="E1701" s="27" t="str">
        <f>HYPERLINK("https://www.compass.com/building/72-10-112th-st-queens-ny-11375/293529036729090293/","72-10 112th St")</f>
        <v>72-10 112th St</v>
      </c>
      <c r="F1701" s="25" t="s">
        <v>83</v>
      </c>
      <c r="G1701" s="28">
        <v>445000.0</v>
      </c>
      <c r="H1701" s="29"/>
      <c r="I1701" s="28">
        <v>1203.0</v>
      </c>
      <c r="J1701" s="29"/>
      <c r="K1701" s="25" t="s">
        <v>25</v>
      </c>
      <c r="L1701" s="26">
        <v>5.0</v>
      </c>
      <c r="M1701" s="26">
        <v>2.0</v>
      </c>
      <c r="N1701" s="26">
        <v>1.0</v>
      </c>
      <c r="O1701" s="30"/>
      <c r="P1701" s="30"/>
      <c r="Q1701" s="35">
        <v>176.0</v>
      </c>
      <c r="R1701" s="32">
        <v>45859.0</v>
      </c>
      <c r="S1701" s="32">
        <v>45686.0</v>
      </c>
      <c r="T1701" s="29"/>
      <c r="U1701" s="33"/>
      <c r="V1701" s="1"/>
    </row>
    <row r="1702" ht="24.0" customHeight="1">
      <c r="A1702" s="1"/>
      <c r="B1702" s="24" t="str">
        <f>HYPERLINK("https://www.compass.com/listing/216-21-73rd-avenue-unit-1-queens-ny-11364/1745013200728232897/view?agent_id=610d3f3370540700019b0833","216-21 73rd Avenue, Unit 1")</f>
        <v>216-21 73rd Avenue, Unit 1</v>
      </c>
      <c r="C1702" s="25" t="s">
        <v>22</v>
      </c>
      <c r="D1702" s="26" t="s">
        <v>23</v>
      </c>
      <c r="E1702" s="27" t="str">
        <f>HYPERLINK("https://www.compass.com/building/216-21-73rd-ave-queens-ny-11364/405243426491765285/","216-21 73rd Ave")</f>
        <v>216-21 73rd Ave</v>
      </c>
      <c r="F1702" s="25" t="s">
        <v>37</v>
      </c>
      <c r="G1702" s="28">
        <v>299998.0</v>
      </c>
      <c r="H1702" s="28">
        <v>600.0</v>
      </c>
      <c r="I1702" s="28">
        <v>927.0</v>
      </c>
      <c r="J1702" s="29"/>
      <c r="K1702" s="25" t="s">
        <v>25</v>
      </c>
      <c r="L1702" s="26">
        <v>6.0</v>
      </c>
      <c r="M1702" s="26">
        <v>2.0</v>
      </c>
      <c r="N1702" s="26">
        <v>1.0</v>
      </c>
      <c r="O1702" s="30"/>
      <c r="P1702" s="26">
        <v>500.0</v>
      </c>
      <c r="Q1702" s="35">
        <v>108.0</v>
      </c>
      <c r="R1702" s="32">
        <v>45862.0</v>
      </c>
      <c r="S1702" s="32">
        <v>45659.0</v>
      </c>
      <c r="T1702" s="29"/>
      <c r="U1702" s="33"/>
      <c r="V1702" s="1"/>
    </row>
    <row r="1703" ht="24.0" customHeight="1">
      <c r="A1703" s="1"/>
      <c r="B1703" s="24" t="str">
        <f>HYPERLINK("https://www.compass.com/listing/131-02-40th-road-unit-3t-queens-ny-11354/1672608485084168009/view?agent_id=610d3f3370540700019b0833","131-02 40th Road, Unit 3T")</f>
        <v>131-02 40th Road, Unit 3T</v>
      </c>
      <c r="C1703" s="25" t="s">
        <v>22</v>
      </c>
      <c r="D1703" s="26" t="s">
        <v>23</v>
      </c>
      <c r="E1703" s="27" t="str">
        <f t="shared" ref="E1703:E1705" si="14">HYPERLINK("https://www.compass.com/building/131-02-a-40-road-queens-ny/1730069412592616725/","131-02 A 40 Road")</f>
        <v>131-02 A 40 Road</v>
      </c>
      <c r="F1703" s="25" t="s">
        <v>185</v>
      </c>
      <c r="G1703" s="28">
        <v>810000.0</v>
      </c>
      <c r="H1703" s="28">
        <v>1087.0</v>
      </c>
      <c r="I1703" s="28">
        <v>551.0</v>
      </c>
      <c r="J1703" s="28">
        <v>703.0</v>
      </c>
      <c r="K1703" s="25" t="s">
        <v>28</v>
      </c>
      <c r="L1703" s="26">
        <v>4.0</v>
      </c>
      <c r="M1703" s="26">
        <v>2.0</v>
      </c>
      <c r="N1703" s="26">
        <v>1.0</v>
      </c>
      <c r="O1703" s="30"/>
      <c r="P1703" s="26">
        <v>745.0</v>
      </c>
      <c r="Q1703" s="35">
        <v>304.0</v>
      </c>
      <c r="R1703" s="32">
        <v>45863.0</v>
      </c>
      <c r="S1703" s="32">
        <v>45559.0</v>
      </c>
      <c r="T1703" s="29"/>
      <c r="U1703" s="33"/>
      <c r="V1703" s="1"/>
    </row>
    <row r="1704" ht="24.0" customHeight="1">
      <c r="A1704" s="1"/>
      <c r="B1704" s="24" t="str">
        <f>HYPERLINK("https://www.compass.com/listing/131-02-40th-road-unit-4t-queens-ny-11354/1634774113303798385/view?agent_id=610d3f3370540700019b0833","131-02 40th Road, Unit 4T")</f>
        <v>131-02 40th Road, Unit 4T</v>
      </c>
      <c r="C1704" s="25" t="s">
        <v>22</v>
      </c>
      <c r="D1704" s="26" t="s">
        <v>23</v>
      </c>
      <c r="E1704" s="27" t="str">
        <f t="shared" si="14"/>
        <v>131-02 A 40 Road</v>
      </c>
      <c r="F1704" s="25" t="s">
        <v>185</v>
      </c>
      <c r="G1704" s="28">
        <v>786000.0</v>
      </c>
      <c r="H1704" s="28">
        <v>1068.0</v>
      </c>
      <c r="I1704" s="28">
        <v>535.0</v>
      </c>
      <c r="J1704" s="28">
        <v>682.0</v>
      </c>
      <c r="K1704" s="25" t="s">
        <v>28</v>
      </c>
      <c r="L1704" s="26">
        <v>4.0</v>
      </c>
      <c r="M1704" s="26">
        <v>2.0</v>
      </c>
      <c r="N1704" s="26">
        <v>1.0</v>
      </c>
      <c r="O1704" s="30"/>
      <c r="P1704" s="26">
        <v>736.0</v>
      </c>
      <c r="Q1704" s="35">
        <v>356.0</v>
      </c>
      <c r="R1704" s="32">
        <v>45863.0</v>
      </c>
      <c r="S1704" s="32">
        <v>45507.0</v>
      </c>
      <c r="T1704" s="29"/>
      <c r="U1704" s="33"/>
      <c r="V1704" s="1"/>
    </row>
    <row r="1705" ht="24.0" customHeight="1">
      <c r="A1705" s="1"/>
      <c r="B1705" s="24" t="str">
        <f>HYPERLINK("https://www.compass.com/listing/131-02-40th-road-unit-5t-queens-ny-11354/1634778163391094401/view?agent_id=610d3f3370540700019b0833","131-02 40th Road, Unit 5T")</f>
        <v>131-02 40th Road, Unit 5T</v>
      </c>
      <c r="C1705" s="25" t="s">
        <v>22</v>
      </c>
      <c r="D1705" s="26" t="s">
        <v>23</v>
      </c>
      <c r="E1705" s="27" t="str">
        <f t="shared" si="14"/>
        <v>131-02 A 40 Road</v>
      </c>
      <c r="F1705" s="25" t="s">
        <v>185</v>
      </c>
      <c r="G1705" s="28">
        <v>793000.0</v>
      </c>
      <c r="H1705" s="28">
        <v>1077.0</v>
      </c>
      <c r="I1705" s="28">
        <v>535.0</v>
      </c>
      <c r="J1705" s="28">
        <v>682.0</v>
      </c>
      <c r="K1705" s="25" t="s">
        <v>28</v>
      </c>
      <c r="L1705" s="26">
        <v>4.0</v>
      </c>
      <c r="M1705" s="26">
        <v>2.0</v>
      </c>
      <c r="N1705" s="26">
        <v>1.0</v>
      </c>
      <c r="O1705" s="30"/>
      <c r="P1705" s="26">
        <v>736.0</v>
      </c>
      <c r="Q1705" s="35">
        <v>356.0</v>
      </c>
      <c r="R1705" s="32">
        <v>45863.0</v>
      </c>
      <c r="S1705" s="32">
        <v>45507.0</v>
      </c>
      <c r="T1705" s="29"/>
      <c r="U1705" s="33"/>
      <c r="V1705" s="1"/>
    </row>
    <row r="1706" ht="24.0" customHeight="1">
      <c r="A1706" s="1"/>
      <c r="B1706" s="24" t="str">
        <f>HYPERLINK("https://www.compass.com/listing/2915-2935-west-5th-street-unit-16b-brooklyn-ny-11224/1182971402028624625/view?agent_id=610d3f3370540700019b0833","2915-2935 West 5th Street, Unit 16B")</f>
        <v>2915-2935 West 5th Street, Unit 16B</v>
      </c>
      <c r="C1706" s="25" t="s">
        <v>22</v>
      </c>
      <c r="D1706" s="26" t="s">
        <v>23</v>
      </c>
      <c r="E1706" s="27" t="str">
        <f>HYPERLINK("https://www.compass.com/building/2915-2935-w-5th-st-brooklyn-ny-11224/436385997014995573/","2915-2935 W 5th St")</f>
        <v>2915-2935 W 5th St</v>
      </c>
      <c r="F1706" s="25" t="s">
        <v>183</v>
      </c>
      <c r="G1706" s="28">
        <v>509000.0</v>
      </c>
      <c r="H1706" s="28">
        <v>463.0</v>
      </c>
      <c r="I1706" s="28">
        <v>786.0</v>
      </c>
      <c r="J1706" s="29"/>
      <c r="K1706" s="25" t="s">
        <v>25</v>
      </c>
      <c r="L1706" s="26">
        <v>4.0</v>
      </c>
      <c r="M1706" s="26">
        <v>2.0</v>
      </c>
      <c r="N1706" s="30"/>
      <c r="O1706" s="30"/>
      <c r="P1706" s="34">
        <v>1100.0</v>
      </c>
      <c r="Q1706" s="35">
        <v>898.0</v>
      </c>
      <c r="R1706" s="32">
        <v>45854.0</v>
      </c>
      <c r="S1706" s="32">
        <v>44965.0</v>
      </c>
      <c r="T1706" s="29"/>
      <c r="U1706" s="33"/>
      <c r="V1706" s="1"/>
    </row>
    <row r="1707" ht="24.0" customHeight="1">
      <c r="A1707" s="1"/>
      <c r="B1707" s="24" t="str">
        <f>HYPERLINK("https://www.compass.com/listing/37-71-prince-street-unit-14j-queens-ny-11354/1525282880788164193/view?agent_id=610d3f3370540700019b0833","37-71 Prince Street, Unit 14J")</f>
        <v>37-71 Prince Street, Unit 14J</v>
      </c>
      <c r="C1707" s="25" t="s">
        <v>22</v>
      </c>
      <c r="D1707" s="26" t="s">
        <v>23</v>
      </c>
      <c r="E1707" s="26" t="s">
        <v>346</v>
      </c>
      <c r="F1707" s="25" t="s">
        <v>221</v>
      </c>
      <c r="G1707" s="28">
        <v>1004055.0</v>
      </c>
      <c r="H1707" s="28">
        <v>1355.0</v>
      </c>
      <c r="I1707" s="28">
        <v>1263.0</v>
      </c>
      <c r="J1707" s="28">
        <v>8196.0</v>
      </c>
      <c r="K1707" s="25" t="s">
        <v>28</v>
      </c>
      <c r="L1707" s="26">
        <v>5.0</v>
      </c>
      <c r="M1707" s="26">
        <v>2.0</v>
      </c>
      <c r="N1707" s="30"/>
      <c r="O1707" s="30"/>
      <c r="P1707" s="26">
        <v>741.0</v>
      </c>
      <c r="Q1707" s="35">
        <v>508.0</v>
      </c>
      <c r="R1707" s="32">
        <v>45356.0</v>
      </c>
      <c r="S1707" s="32">
        <v>45355.0</v>
      </c>
      <c r="T1707" s="29"/>
      <c r="U1707" s="33"/>
      <c r="V1707" s="1"/>
    </row>
    <row r="1708" ht="24.0" customHeight="1">
      <c r="A1708" s="1"/>
      <c r="B1708" s="24" t="str">
        <f>HYPERLINK("https://www.compass.com/listing/37-71-prince-street-unit-14i-queens-ny-11354/1525282896945098809/view?agent_id=610d3f3370540700019b0833","37-71 Prince Street, Unit 14I")</f>
        <v>37-71 Prince Street, Unit 14I</v>
      </c>
      <c r="C1708" s="25" t="s">
        <v>22</v>
      </c>
      <c r="D1708" s="26" t="s">
        <v>23</v>
      </c>
      <c r="E1708" s="26" t="s">
        <v>346</v>
      </c>
      <c r="F1708" s="25" t="s">
        <v>221</v>
      </c>
      <c r="G1708" s="28">
        <v>970180.0</v>
      </c>
      <c r="H1708" s="28">
        <v>1355.0</v>
      </c>
      <c r="I1708" s="28">
        <v>1220.0</v>
      </c>
      <c r="J1708" s="28">
        <v>7920.0</v>
      </c>
      <c r="K1708" s="25" t="s">
        <v>28</v>
      </c>
      <c r="L1708" s="26">
        <v>5.0</v>
      </c>
      <c r="M1708" s="26">
        <v>2.0</v>
      </c>
      <c r="N1708" s="30"/>
      <c r="O1708" s="30"/>
      <c r="P1708" s="26">
        <v>716.0</v>
      </c>
      <c r="Q1708" s="35">
        <v>508.0</v>
      </c>
      <c r="R1708" s="32">
        <v>45356.0</v>
      </c>
      <c r="S1708" s="32">
        <v>45355.0</v>
      </c>
      <c r="T1708" s="29"/>
      <c r="U1708" s="33"/>
      <c r="V1708" s="1"/>
    </row>
    <row r="1709" ht="24.0" customHeight="1">
      <c r="A1709" s="1"/>
      <c r="B1709" s="24" t="str">
        <f>HYPERLINK("https://www.compass.com/listing/37-71-prince-street-unit-14b-queens-ny-11354/1525282913320222681/view?agent_id=610d3f3370540700019b0833","37-71 Prince Street, Unit 14B")</f>
        <v>37-71 Prince Street, Unit 14B</v>
      </c>
      <c r="C1709" s="25" t="s">
        <v>22</v>
      </c>
      <c r="D1709" s="26" t="s">
        <v>23</v>
      </c>
      <c r="E1709" s="26" t="s">
        <v>346</v>
      </c>
      <c r="F1709" s="25" t="s">
        <v>221</v>
      </c>
      <c r="G1709" s="28">
        <v>1028090.0</v>
      </c>
      <c r="H1709" s="28">
        <v>1330.0</v>
      </c>
      <c r="I1709" s="28">
        <v>1318.0</v>
      </c>
      <c r="J1709" s="28">
        <v>8556.0</v>
      </c>
      <c r="K1709" s="25" t="s">
        <v>28</v>
      </c>
      <c r="L1709" s="26">
        <v>5.0</v>
      </c>
      <c r="M1709" s="26">
        <v>2.0</v>
      </c>
      <c r="N1709" s="30"/>
      <c r="O1709" s="30"/>
      <c r="P1709" s="26">
        <v>773.0</v>
      </c>
      <c r="Q1709" s="35">
        <v>508.0</v>
      </c>
      <c r="R1709" s="32">
        <v>45356.0</v>
      </c>
      <c r="S1709" s="32">
        <v>45355.0</v>
      </c>
      <c r="T1709" s="29"/>
      <c r="U1709" s="33"/>
      <c r="V1709" s="1"/>
    </row>
    <row r="1710" ht="24.0" customHeight="1">
      <c r="A1710" s="1"/>
      <c r="B1710" s="24" t="str">
        <f>HYPERLINK("https://www.compass.com/listing/61-20-grand-central-parkway-unit-a1503-queens-ny-11375/1821127883011556785/view?agent_id=610d3f3370540700019b0833","61-20 Grand Central Parkway, Unit A1503")</f>
        <v>61-20 Grand Central Parkway, Unit A1503</v>
      </c>
      <c r="C1710" s="25" t="s">
        <v>22</v>
      </c>
      <c r="D1710" s="26" t="s">
        <v>23</v>
      </c>
      <c r="E1710" s="27" t="str">
        <f>HYPERLINK("https://www.compass.com/building/61-20-grand-central-pkwy-queens-ny-11375/294847679905375861/","61-20 Grand Central Pkwy")</f>
        <v>61-20 Grand Central Pkwy</v>
      </c>
      <c r="F1710" s="25" t="s">
        <v>83</v>
      </c>
      <c r="G1710" s="28">
        <v>449000.0</v>
      </c>
      <c r="H1710" s="28">
        <v>408.0</v>
      </c>
      <c r="I1710" s="28">
        <v>1544.0</v>
      </c>
      <c r="J1710" s="29"/>
      <c r="K1710" s="25" t="s">
        <v>25</v>
      </c>
      <c r="L1710" s="26">
        <v>4.0</v>
      </c>
      <c r="M1710" s="26">
        <v>2.0</v>
      </c>
      <c r="N1710" s="26">
        <v>1.0</v>
      </c>
      <c r="O1710" s="30"/>
      <c r="P1710" s="34">
        <v>1100.0</v>
      </c>
      <c r="Q1710" s="35">
        <v>99.0</v>
      </c>
      <c r="R1710" s="32">
        <v>45862.0</v>
      </c>
      <c r="S1710" s="32">
        <v>45764.0</v>
      </c>
      <c r="T1710" s="29"/>
      <c r="U1710" s="33"/>
      <c r="V1710" s="1"/>
    </row>
    <row r="1711" ht="24.0" customHeight="1">
      <c r="A1711" s="1"/>
      <c r="B1711" s="24" t="str">
        <f>HYPERLINK("https://www.compass.com/listing/131-02-40th-road-unit-14t-queens-ny-11354/1735662492405180497/view?agent_id=610d3f3370540700019b0833","131-02 40th Road, Unit 14T")</f>
        <v>131-02 40th Road, Unit 14T</v>
      </c>
      <c r="C1711" s="25" t="s">
        <v>22</v>
      </c>
      <c r="D1711" s="26" t="s">
        <v>23</v>
      </c>
      <c r="E1711" s="27" t="str">
        <f>HYPERLINK("https://www.compass.com/building/131-02-a-40-road-queens-ny/1730069412592616725/","131-02 A 40 Road")</f>
        <v>131-02 A 40 Road</v>
      </c>
      <c r="F1711" s="25" t="s">
        <v>185</v>
      </c>
      <c r="G1711" s="28">
        <v>882000.0</v>
      </c>
      <c r="H1711" s="28">
        <v>1198.0</v>
      </c>
      <c r="I1711" s="28">
        <v>1160.0</v>
      </c>
      <c r="J1711" s="28">
        <v>8189.0</v>
      </c>
      <c r="K1711" s="25" t="s">
        <v>28</v>
      </c>
      <c r="L1711" s="26">
        <v>4.0</v>
      </c>
      <c r="M1711" s="26">
        <v>2.0</v>
      </c>
      <c r="N1711" s="26">
        <v>1.0</v>
      </c>
      <c r="O1711" s="30"/>
      <c r="P1711" s="26">
        <v>736.0</v>
      </c>
      <c r="Q1711" s="35">
        <v>217.0</v>
      </c>
      <c r="R1711" s="32">
        <v>45863.0</v>
      </c>
      <c r="S1711" s="32">
        <v>45646.0</v>
      </c>
      <c r="T1711" s="29"/>
      <c r="U1711" s="33"/>
      <c r="V1711" s="1"/>
    </row>
    <row r="1712" ht="24.0" customHeight="1">
      <c r="A1712" s="1"/>
      <c r="B1712" s="24" t="str">
        <f>HYPERLINK("https://www.compass.com/listing/142-15-franklin-avenue-unit-7c-queens-ny-11355/1784491450582840489/view?agent_id=610d3f3370540700019b0833","142-15 Franklin Avenue, Unit 7C")</f>
        <v>142-15 Franklin Avenue, Unit 7C</v>
      </c>
      <c r="C1712" s="25" t="s">
        <v>22</v>
      </c>
      <c r="D1712" s="26" t="s">
        <v>23</v>
      </c>
      <c r="E1712" s="27" t="str">
        <f>HYPERLINK("https://www.compass.com/building/142-15-franklin-ave-queens-ny-11355/307450695137458293/","142-15 Franklin Ave")</f>
        <v>142-15 Franklin Ave</v>
      </c>
      <c r="F1712" s="25" t="s">
        <v>185</v>
      </c>
      <c r="G1712" s="28">
        <v>466000.0</v>
      </c>
      <c r="H1712" s="29"/>
      <c r="I1712" s="28">
        <v>2332.0</v>
      </c>
      <c r="J1712" s="29"/>
      <c r="K1712" s="25" t="s">
        <v>25</v>
      </c>
      <c r="L1712" s="26">
        <v>5.0</v>
      </c>
      <c r="M1712" s="26">
        <v>2.0</v>
      </c>
      <c r="N1712" s="26">
        <v>1.0</v>
      </c>
      <c r="O1712" s="30"/>
      <c r="P1712" s="30"/>
      <c r="Q1712" s="35">
        <v>150.0</v>
      </c>
      <c r="R1712" s="32">
        <v>45759.0</v>
      </c>
      <c r="S1712" s="32">
        <v>45713.0</v>
      </c>
      <c r="T1712" s="29"/>
      <c r="U1712" s="33"/>
      <c r="V1712" s="1"/>
    </row>
    <row r="1713" ht="24.0" customHeight="1">
      <c r="A1713" s="1"/>
      <c r="B1713" s="24" t="str">
        <f>HYPERLINK("https://www.compass.com/listing/88-12-elmhurst-avenue-unit-a4-queens-ny-11373/1580369771034813913/view?agent_id=610d3f3370540700019b0833","88-12 Elmhurst Avenue, Unit A4")</f>
        <v>88-12 Elmhurst Avenue, Unit A4</v>
      </c>
      <c r="C1713" s="25" t="s">
        <v>22</v>
      </c>
      <c r="D1713" s="26" t="s">
        <v>23</v>
      </c>
      <c r="E1713" s="27" t="str">
        <f>HYPERLINK("https://www.compass.com/building/88-12-elmhurst-ave-queens-ny-11373/293526138834234549/","88-12 Elmhurst Ave")</f>
        <v>88-12 Elmhurst Ave</v>
      </c>
      <c r="F1713" s="25" t="s">
        <v>151</v>
      </c>
      <c r="G1713" s="28">
        <v>388000.0</v>
      </c>
      <c r="H1713" s="28">
        <v>353.0</v>
      </c>
      <c r="I1713" s="28">
        <v>1069.0</v>
      </c>
      <c r="J1713" s="28">
        <v>0.0</v>
      </c>
      <c r="K1713" s="25" t="s">
        <v>25</v>
      </c>
      <c r="L1713" s="26">
        <v>3.0</v>
      </c>
      <c r="M1713" s="26">
        <v>2.0</v>
      </c>
      <c r="N1713" s="26">
        <v>1.0</v>
      </c>
      <c r="O1713" s="30"/>
      <c r="P1713" s="34">
        <v>1100.0</v>
      </c>
      <c r="Q1713" s="35">
        <v>433.0</v>
      </c>
      <c r="R1713" s="32">
        <v>45432.0</v>
      </c>
      <c r="S1713" s="32">
        <v>45430.0</v>
      </c>
      <c r="T1713" s="29"/>
      <c r="U1713" s="33"/>
      <c r="V1713" s="1"/>
    </row>
    <row r="1714" ht="24.0" customHeight="1">
      <c r="A1714" s="1"/>
      <c r="B1714" s="24" t="str">
        <f>HYPERLINK("https://www.compass.com/listing/141-16-25th-road-unit-5c-queens-ny-11354/1646379850114007409/view?agent_id=610d3f3370540700019b0833","141-16 25th Road, Unit 5C")</f>
        <v>141-16 25th Road, Unit 5C</v>
      </c>
      <c r="C1714" s="25" t="s">
        <v>22</v>
      </c>
      <c r="D1714" s="26" t="s">
        <v>23</v>
      </c>
      <c r="E1714" s="27" t="str">
        <f>HYPERLINK("https://www.compass.com/building/141-16-25th-rd-queens-ny-11354/307447560482064037/","141-16 25th Rd")</f>
        <v>141-16 25th Rd</v>
      </c>
      <c r="F1714" s="25" t="s">
        <v>185</v>
      </c>
      <c r="G1714" s="28">
        <v>359000.0</v>
      </c>
      <c r="H1714" s="29"/>
      <c r="I1714" s="28">
        <v>1177.0</v>
      </c>
      <c r="J1714" s="28">
        <v>0.0</v>
      </c>
      <c r="K1714" s="25" t="s">
        <v>25</v>
      </c>
      <c r="L1714" s="26">
        <v>5.0</v>
      </c>
      <c r="M1714" s="26">
        <v>2.0</v>
      </c>
      <c r="N1714" s="26">
        <v>1.0</v>
      </c>
      <c r="O1714" s="30"/>
      <c r="P1714" s="30"/>
      <c r="Q1714" s="35">
        <v>340.0</v>
      </c>
      <c r="R1714" s="32">
        <v>45632.0</v>
      </c>
      <c r="S1714" s="32">
        <v>45523.0</v>
      </c>
      <c r="T1714" s="29"/>
      <c r="U1714" s="33"/>
      <c r="V1714" s="1"/>
    </row>
    <row r="1715" ht="24.0" customHeight="1">
      <c r="A1715" s="1"/>
      <c r="B1715" s="24" t="str">
        <f>HYPERLINK("https://www.compass.com/listing/109-20-queens-boulevard-unit-6d-queens-ny-11375/1811659707270661281/view?agent_id=610d3f3370540700019b0833","109-20 Queens Boulevard, Unit 6D")</f>
        <v>109-20 Queens Boulevard, Unit 6D</v>
      </c>
      <c r="C1715" s="25" t="s">
        <v>22</v>
      </c>
      <c r="D1715" s="26" t="s">
        <v>23</v>
      </c>
      <c r="E1715" s="27" t="str">
        <f>HYPERLINK("https://www.compass.com/building/109-20-queens-blvd-queens-ny-11375/293534558706528789/","109-20 Queens Blvd")</f>
        <v>109-20 Queens Blvd</v>
      </c>
      <c r="F1715" s="25" t="s">
        <v>83</v>
      </c>
      <c r="G1715" s="28">
        <v>595000.0</v>
      </c>
      <c r="H1715" s="28">
        <v>758.0</v>
      </c>
      <c r="I1715" s="28">
        <v>1102.0</v>
      </c>
      <c r="J1715" s="28">
        <v>5361.0</v>
      </c>
      <c r="K1715" s="25" t="s">
        <v>28</v>
      </c>
      <c r="L1715" s="26">
        <v>4.0</v>
      </c>
      <c r="M1715" s="26">
        <v>2.0</v>
      </c>
      <c r="N1715" s="26">
        <v>1.0</v>
      </c>
      <c r="O1715" s="30"/>
      <c r="P1715" s="26">
        <v>785.0</v>
      </c>
      <c r="Q1715" s="35">
        <v>111.0</v>
      </c>
      <c r="R1715" s="32">
        <v>45851.0</v>
      </c>
      <c r="S1715" s="32">
        <v>45751.0</v>
      </c>
      <c r="T1715" s="29"/>
      <c r="U1715" s="33"/>
      <c r="V1715" s="1"/>
    </row>
    <row r="1716" ht="24.0" customHeight="1">
      <c r="A1716" s="1"/>
      <c r="B1716" s="24" t="str">
        <f>HYPERLINK("https://www.compass.com/listing/50-bradley-court-unit-52-staten-island-ny-10314/1837242024374678841/view?agent_id=610d3f3370540700019b0833","50 Bradley Court, Unit 52")</f>
        <v>50 Bradley Court, Unit 52</v>
      </c>
      <c r="C1716" s="25" t="s">
        <v>22</v>
      </c>
      <c r="D1716" s="26" t="s">
        <v>23</v>
      </c>
      <c r="E1716" s="27" t="str">
        <f>HYPERLINK("https://www.compass.com/building/50-bradley-ct-staten-island-ny-10314/358732060777936901/","50 Bradley Ct")</f>
        <v>50 Bradley Ct</v>
      </c>
      <c r="F1716" s="25" t="s">
        <v>192</v>
      </c>
      <c r="G1716" s="28">
        <v>429000.0</v>
      </c>
      <c r="H1716" s="28">
        <v>476.0</v>
      </c>
      <c r="I1716" s="28">
        <v>494.0</v>
      </c>
      <c r="J1716" s="28">
        <v>2926.0</v>
      </c>
      <c r="K1716" s="25" t="s">
        <v>28</v>
      </c>
      <c r="L1716" s="26">
        <v>4.0</v>
      </c>
      <c r="M1716" s="26">
        <v>2.0</v>
      </c>
      <c r="N1716" s="26">
        <v>1.0</v>
      </c>
      <c r="O1716" s="30"/>
      <c r="P1716" s="26">
        <v>901.0</v>
      </c>
      <c r="Q1716" s="35">
        <v>77.0</v>
      </c>
      <c r="R1716" s="32">
        <v>45851.0</v>
      </c>
      <c r="S1716" s="32">
        <v>45786.0</v>
      </c>
      <c r="T1716" s="29"/>
      <c r="U1716" s="33"/>
      <c r="V1716" s="1"/>
    </row>
    <row r="1717" ht="24.0" customHeight="1">
      <c r="A1717" s="1"/>
      <c r="B1717" s="24" t="str">
        <f>HYPERLINK("https://www.compass.com/listing/131-02-40th-road-unit-6h-queens-ny-11354/1390616252319686337/view?agent_id=610d3f3370540700019b0833","131-02 40th Road, Unit 6H")</f>
        <v>131-02 40th Road, Unit 6H</v>
      </c>
      <c r="C1717" s="25" t="s">
        <v>22</v>
      </c>
      <c r="D1717" s="26" t="s">
        <v>23</v>
      </c>
      <c r="E1717" s="27" t="str">
        <f t="shared" ref="E1717:E1718" si="15">HYPERLINK("https://www.compass.com/building/131-02-a-40-road-queens-ny/1730069412592616725/","131-02 A 40 Road")</f>
        <v>131-02 A 40 Road</v>
      </c>
      <c r="F1717" s="25" t="s">
        <v>185</v>
      </c>
      <c r="G1717" s="28">
        <v>827000.0</v>
      </c>
      <c r="H1717" s="28">
        <v>1101.0</v>
      </c>
      <c r="I1717" s="28">
        <v>1181.0</v>
      </c>
      <c r="J1717" s="28">
        <v>8337.0</v>
      </c>
      <c r="K1717" s="25" t="s">
        <v>28</v>
      </c>
      <c r="L1717" s="26">
        <v>4.0</v>
      </c>
      <c r="M1717" s="26">
        <v>2.0</v>
      </c>
      <c r="N1717" s="26">
        <v>1.0</v>
      </c>
      <c r="O1717" s="30"/>
      <c r="P1717" s="26">
        <v>751.0</v>
      </c>
      <c r="Q1717" s="35">
        <v>228.0</v>
      </c>
      <c r="R1717" s="32">
        <v>45758.0</v>
      </c>
      <c r="S1717" s="32">
        <v>45635.0</v>
      </c>
      <c r="T1717" s="29"/>
      <c r="U1717" s="33"/>
      <c r="V1717" s="1"/>
    </row>
    <row r="1718" ht="24.0" customHeight="1">
      <c r="A1718" s="1"/>
      <c r="B1718" s="24" t="str">
        <f>HYPERLINK("https://www.compass.com/listing/131-02-40th-road-unit-5h-queens-ny-11354/1764936726129531425/view?agent_id=610d3f3370540700019b0833","131-02 40th Road, Unit 5H")</f>
        <v>131-02 40th Road, Unit 5H</v>
      </c>
      <c r="C1718" s="25" t="s">
        <v>22</v>
      </c>
      <c r="D1718" s="26" t="s">
        <v>23</v>
      </c>
      <c r="E1718" s="27" t="str">
        <f t="shared" si="15"/>
        <v>131-02 A 40 Road</v>
      </c>
      <c r="F1718" s="25" t="s">
        <v>185</v>
      </c>
      <c r="G1718" s="28">
        <v>820000.0</v>
      </c>
      <c r="H1718" s="28">
        <v>1092.0</v>
      </c>
      <c r="I1718" s="28">
        <v>545.0</v>
      </c>
      <c r="J1718" s="28">
        <v>695.0</v>
      </c>
      <c r="K1718" s="25" t="s">
        <v>28</v>
      </c>
      <c r="L1718" s="26">
        <v>4.0</v>
      </c>
      <c r="M1718" s="26">
        <v>2.0</v>
      </c>
      <c r="N1718" s="26">
        <v>1.0</v>
      </c>
      <c r="O1718" s="30"/>
      <c r="P1718" s="26">
        <v>751.0</v>
      </c>
      <c r="Q1718" s="35">
        <v>230.0</v>
      </c>
      <c r="R1718" s="32">
        <v>45820.0</v>
      </c>
      <c r="S1718" s="32">
        <v>45633.0</v>
      </c>
      <c r="T1718" s="29"/>
      <c r="U1718" s="33"/>
      <c r="V1718" s="1"/>
    </row>
    <row r="1719" ht="24.0" customHeight="1">
      <c r="A1719" s="1"/>
      <c r="B1719" s="24" t="str">
        <f>HYPERLINK("https://www.compass.com/listing/2930-west-5th-street-unit-15k-brooklyn-ny-11224/1367781429264827281/view?agent_id=610d3f3370540700019b0833","2930 West 5th Street, Unit 15K")</f>
        <v>2930 West 5th Street, Unit 15K</v>
      </c>
      <c r="C1719" s="25" t="s">
        <v>22</v>
      </c>
      <c r="D1719" s="26" t="s">
        <v>23</v>
      </c>
      <c r="E1719" s="27" t="str">
        <f>HYPERLINK("https://www.compass.com/building/2930-w-5th-st-brooklyn-ny-11224/293535414059291925/","2930 W 5th St")</f>
        <v>2930 W 5th St</v>
      </c>
      <c r="F1719" s="25" t="s">
        <v>183</v>
      </c>
      <c r="G1719" s="28">
        <v>475000.0</v>
      </c>
      <c r="H1719" s="28">
        <v>432.0</v>
      </c>
      <c r="I1719" s="28">
        <v>1113.0</v>
      </c>
      <c r="J1719" s="28">
        <v>0.0</v>
      </c>
      <c r="K1719" s="25" t="s">
        <v>25</v>
      </c>
      <c r="L1719" s="26">
        <v>6.0</v>
      </c>
      <c r="M1719" s="26">
        <v>2.0</v>
      </c>
      <c r="N1719" s="30"/>
      <c r="O1719" s="30"/>
      <c r="P1719" s="34">
        <v>1100.0</v>
      </c>
      <c r="Q1719" s="35">
        <v>725.0</v>
      </c>
      <c r="R1719" s="32">
        <v>45139.0</v>
      </c>
      <c r="S1719" s="32">
        <v>45138.0</v>
      </c>
      <c r="T1719" s="29"/>
      <c r="U1719" s="33"/>
      <c r="V1719" s="1"/>
    </row>
    <row r="1720" ht="24.0" customHeight="1">
      <c r="A1720" s="1"/>
      <c r="B1720" s="24" t="str">
        <f>HYPERLINK("https://www.compass.com/listing/76-04-springfield-boulevard-unit-1-queens-ny-11364/1684220171599132201/view?agent_id=610d3f3370540700019b0833","76-04 Springfield Boulevard, Unit 1")</f>
        <v>76-04 Springfield Boulevard, Unit 1</v>
      </c>
      <c r="C1720" s="25" t="s">
        <v>22</v>
      </c>
      <c r="D1720" s="26" t="s">
        <v>23</v>
      </c>
      <c r="E1720" s="27" t="str">
        <f>HYPERLINK("https://www.compass.com/building/76-04-springfield-blvd-queens-ny-11364/441159651795711197/","76-04 Springfield Blvd")</f>
        <v>76-04 Springfield Blvd</v>
      </c>
      <c r="F1720" s="25" t="s">
        <v>37</v>
      </c>
      <c r="G1720" s="28">
        <v>345000.0</v>
      </c>
      <c r="H1720" s="28">
        <v>493.0</v>
      </c>
      <c r="I1720" s="28">
        <v>1216.0</v>
      </c>
      <c r="J1720" s="28">
        <v>0.0</v>
      </c>
      <c r="K1720" s="25" t="s">
        <v>25</v>
      </c>
      <c r="L1720" s="26">
        <v>4.0</v>
      </c>
      <c r="M1720" s="26">
        <v>2.0</v>
      </c>
      <c r="N1720" s="26">
        <v>1.0</v>
      </c>
      <c r="O1720" s="30"/>
      <c r="P1720" s="26">
        <v>700.0</v>
      </c>
      <c r="Q1720" s="35">
        <v>278.0</v>
      </c>
      <c r="R1720" s="32">
        <v>45861.0</v>
      </c>
      <c r="S1720" s="32">
        <v>45575.0</v>
      </c>
      <c r="T1720" s="29"/>
      <c r="U1720" s="33"/>
      <c r="V1720" s="1"/>
    </row>
    <row r="1721" ht="24.0" customHeight="1">
      <c r="A1721" s="1"/>
      <c r="B1721" s="24" t="str">
        <f>HYPERLINK("https://www.compass.com/listing/110-45-queens-boulevard-unit-215-queens-ny-11375/1795139734095178873/view?agent_id=610d3f3370540700019b0833","110-45 Queens Boulevard, Unit 215")</f>
        <v>110-45 Queens Boulevard, Unit 215</v>
      </c>
      <c r="C1721" s="25" t="s">
        <v>22</v>
      </c>
      <c r="D1721" s="26" t="s">
        <v>23</v>
      </c>
      <c r="E1721" s="27" t="str">
        <f>HYPERLINK("https://www.compass.com/building/110-45-queens-blvd-queens-ny-11375/293528186090712133/","110-45 Queens Blvd")</f>
        <v>110-45 Queens Blvd</v>
      </c>
      <c r="F1721" s="25" t="s">
        <v>83</v>
      </c>
      <c r="G1721" s="28">
        <v>515000.0</v>
      </c>
      <c r="H1721" s="28">
        <v>468.0</v>
      </c>
      <c r="I1721" s="28">
        <v>2934.0</v>
      </c>
      <c r="J1721" s="29"/>
      <c r="K1721" s="25" t="s">
        <v>25</v>
      </c>
      <c r="L1721" s="26">
        <v>5.0</v>
      </c>
      <c r="M1721" s="26">
        <v>2.0</v>
      </c>
      <c r="N1721" s="26">
        <v>1.0</v>
      </c>
      <c r="O1721" s="30"/>
      <c r="P1721" s="34">
        <v>1100.0</v>
      </c>
      <c r="Q1721" s="35">
        <v>135.0</v>
      </c>
      <c r="R1721" s="32">
        <v>45860.0</v>
      </c>
      <c r="S1721" s="32">
        <v>45728.0</v>
      </c>
      <c r="T1721" s="29"/>
      <c r="U1721" s="33"/>
      <c r="V1721" s="1"/>
    </row>
    <row r="1722" ht="24.0" customHeight="1">
      <c r="A1722" s="1"/>
      <c r="B1722" s="24" t="str">
        <f>HYPERLINK("https://www.compass.com/listing/61-20-grand-central-parkway-unit-a1402-queens-ny-11375/1810279972857848633/view?agent_id=610d3f3370540700019b0833","61-20 Grand Central Parkway, Unit A1402")</f>
        <v>61-20 Grand Central Parkway, Unit A1402</v>
      </c>
      <c r="C1722" s="25" t="s">
        <v>22</v>
      </c>
      <c r="D1722" s="26" t="s">
        <v>23</v>
      </c>
      <c r="E1722" s="27" t="str">
        <f>HYPERLINK("https://www.compass.com/building/61-20-grand-central-pkwy-queens-ny-11375/294847679905375861/","61-20 Grand Central Pkwy")</f>
        <v>61-20 Grand Central Pkwy</v>
      </c>
      <c r="F1722" s="25" t="s">
        <v>83</v>
      </c>
      <c r="G1722" s="28">
        <v>387000.0</v>
      </c>
      <c r="H1722" s="28">
        <v>352.0</v>
      </c>
      <c r="I1722" s="28">
        <v>1604.0</v>
      </c>
      <c r="J1722" s="29"/>
      <c r="K1722" s="25" t="s">
        <v>25</v>
      </c>
      <c r="L1722" s="26">
        <v>4.0</v>
      </c>
      <c r="M1722" s="26">
        <v>2.0</v>
      </c>
      <c r="N1722" s="26">
        <v>1.0</v>
      </c>
      <c r="O1722" s="30"/>
      <c r="P1722" s="34">
        <v>1100.0</v>
      </c>
      <c r="Q1722" s="35">
        <v>114.0</v>
      </c>
      <c r="R1722" s="32">
        <v>45862.0</v>
      </c>
      <c r="S1722" s="32">
        <v>45749.0</v>
      </c>
      <c r="T1722" s="29"/>
      <c r="U1722" s="33"/>
      <c r="V1722" s="1"/>
    </row>
    <row r="1723" ht="24.0" customHeight="1">
      <c r="A1723" s="1"/>
      <c r="B1723" s="24" t="str">
        <f>HYPERLINK("https://www.compass.com/listing/41-25-kissena-boulevard-unit-2s-queens-ny-11355/1717175608142829785/view?agent_id=610d3f3370540700019b0833","41-25 Kissena Boulevard, Unit 2S")</f>
        <v>41-25 Kissena Boulevard, Unit 2S</v>
      </c>
      <c r="C1723" s="25" t="s">
        <v>22</v>
      </c>
      <c r="D1723" s="26" t="s">
        <v>23</v>
      </c>
      <c r="E1723" s="27" t="str">
        <f>HYPERLINK("https://www.compass.com/building/41-25-kissena-blvd-queens-ny-11355/293418174337036981/","41-25 Kissena Blvd")</f>
        <v>41-25 Kissena Blvd</v>
      </c>
      <c r="F1723" s="25" t="s">
        <v>221</v>
      </c>
      <c r="G1723" s="28">
        <v>766000.0</v>
      </c>
      <c r="H1723" s="28">
        <v>752.0</v>
      </c>
      <c r="I1723" s="28">
        <v>1253.0</v>
      </c>
      <c r="J1723" s="28">
        <v>4600.0</v>
      </c>
      <c r="K1723" s="25" t="s">
        <v>28</v>
      </c>
      <c r="L1723" s="26">
        <v>5.0</v>
      </c>
      <c r="M1723" s="26">
        <v>2.0</v>
      </c>
      <c r="N1723" s="26">
        <v>1.0</v>
      </c>
      <c r="O1723" s="30"/>
      <c r="P1723" s="34">
        <v>1019.0</v>
      </c>
      <c r="Q1723" s="35">
        <v>253.0</v>
      </c>
      <c r="R1723" s="32">
        <v>45851.0</v>
      </c>
      <c r="S1723" s="32">
        <v>45610.0</v>
      </c>
      <c r="T1723" s="29"/>
      <c r="U1723" s="33"/>
      <c r="V1723" s="1"/>
    </row>
    <row r="1724" ht="24.0" customHeight="1">
      <c r="A1724" s="1"/>
      <c r="B1724" s="24" t="str">
        <f>HYPERLINK("https://www.compass.com/listing/2727-ocean-parkway-unit-f24-brooklyn-ny-11235/1852231844715868881/view?agent_id=610d3f3370540700019b0833","2727 Ocean Parkway, Unit F24")</f>
        <v>2727 Ocean Parkway, Unit F24</v>
      </c>
      <c r="C1724" s="25" t="s">
        <v>22</v>
      </c>
      <c r="D1724" s="26" t="s">
        <v>23</v>
      </c>
      <c r="E1724" s="27" t="str">
        <f>HYPERLINK("https://www.compass.com/building/2727-ocean-pkwy-brooklyn-ny-11235/293535315518409861/","2727 Ocean Pkwy")</f>
        <v>2727 Ocean Pkwy</v>
      </c>
      <c r="F1724" s="25" t="s">
        <v>74</v>
      </c>
      <c r="G1724" s="28">
        <v>399000.0</v>
      </c>
      <c r="H1724" s="28">
        <v>347.0</v>
      </c>
      <c r="I1724" s="28">
        <v>1238.0</v>
      </c>
      <c r="J1724" s="29"/>
      <c r="K1724" s="25" t="s">
        <v>25</v>
      </c>
      <c r="L1724" s="26">
        <v>4.0</v>
      </c>
      <c r="M1724" s="26">
        <v>2.0</v>
      </c>
      <c r="N1724" s="26">
        <v>1.0</v>
      </c>
      <c r="O1724" s="30"/>
      <c r="P1724" s="34">
        <v>1150.0</v>
      </c>
      <c r="Q1724" s="35">
        <v>56.0</v>
      </c>
      <c r="R1724" s="32">
        <v>45834.0</v>
      </c>
      <c r="S1724" s="32">
        <v>45807.0</v>
      </c>
      <c r="T1724" s="29"/>
      <c r="U1724" s="33"/>
      <c r="V1724" s="1"/>
    </row>
    <row r="1725" ht="24.0" customHeight="1">
      <c r="A1725" s="1"/>
      <c r="B1725" s="24" t="str">
        <f>HYPERLINK("https://www.compass.com/listing/30-eleanor-place-staten-island-ny-10303/1576743617429860185/view?agent_id=610d3f3370540700019b0833","30 Eleanor Place")</f>
        <v>30 Eleanor Place</v>
      </c>
      <c r="C1725" s="25" t="s">
        <v>22</v>
      </c>
      <c r="D1725" s="26" t="s">
        <v>23</v>
      </c>
      <c r="E1725" s="27" t="str">
        <f>HYPERLINK("https://www.compass.com/building/30-eleanor-pl-staten-island-ny-10303/293532193202911141/","30 Eleanor Pl")</f>
        <v>30 Eleanor Pl</v>
      </c>
      <c r="F1725" s="25" t="s">
        <v>190</v>
      </c>
      <c r="G1725" s="28">
        <v>429999.0</v>
      </c>
      <c r="H1725" s="28">
        <v>435.0</v>
      </c>
      <c r="I1725" s="28">
        <v>318.0</v>
      </c>
      <c r="J1725" s="28">
        <v>3816.0</v>
      </c>
      <c r="K1725" s="25" t="s">
        <v>93</v>
      </c>
      <c r="L1725" s="26">
        <v>5.0</v>
      </c>
      <c r="M1725" s="26">
        <v>2.0</v>
      </c>
      <c r="N1725" s="30"/>
      <c r="O1725" s="30"/>
      <c r="P1725" s="26">
        <v>988.0</v>
      </c>
      <c r="Q1725" s="35">
        <v>437.0</v>
      </c>
      <c r="R1725" s="32">
        <v>45427.0</v>
      </c>
      <c r="S1725" s="32">
        <v>45426.0</v>
      </c>
      <c r="T1725" s="29"/>
      <c r="U1725" s="33"/>
      <c r="V1725" s="1"/>
    </row>
    <row r="1726" ht="24.0" customHeight="1">
      <c r="A1726" s="1"/>
      <c r="B1726" s="24" t="str">
        <f>HYPERLINK("https://www.compass.com/listing/61-20-grand-central-parkway-unit-b401-queens-ny-11375/1643121707753545097/view?agent_id=610d3f3370540700019b0833","61-20 Grand Central Parkway, Unit B401")</f>
        <v>61-20 Grand Central Parkway, Unit B401</v>
      </c>
      <c r="C1726" s="25" t="s">
        <v>22</v>
      </c>
      <c r="D1726" s="26" t="s">
        <v>23</v>
      </c>
      <c r="E1726" s="27" t="str">
        <f>HYPERLINK("https://www.compass.com/building/61-20-grand-central-pkwy-queens-ny-11375/294847679905375861/","61-20 Grand Central Pkwy")</f>
        <v>61-20 Grand Central Pkwy</v>
      </c>
      <c r="F1726" s="25" t="s">
        <v>83</v>
      </c>
      <c r="G1726" s="28">
        <v>397000.0</v>
      </c>
      <c r="H1726" s="28">
        <v>397.0</v>
      </c>
      <c r="I1726" s="28">
        <v>1390.0</v>
      </c>
      <c r="J1726" s="28">
        <v>0.0</v>
      </c>
      <c r="K1726" s="25" t="s">
        <v>25</v>
      </c>
      <c r="L1726" s="26">
        <v>4.0</v>
      </c>
      <c r="M1726" s="26">
        <v>2.0</v>
      </c>
      <c r="N1726" s="26">
        <v>1.0</v>
      </c>
      <c r="O1726" s="30"/>
      <c r="P1726" s="34">
        <v>1000.0</v>
      </c>
      <c r="Q1726" s="35">
        <v>143.0</v>
      </c>
      <c r="R1726" s="32">
        <v>45862.0</v>
      </c>
      <c r="S1726" s="32">
        <v>45518.0</v>
      </c>
      <c r="T1726" s="29"/>
      <c r="U1726" s="33"/>
      <c r="V1726" s="1"/>
    </row>
    <row r="1727" ht="24.0" customHeight="1">
      <c r="A1727" s="1"/>
      <c r="B1727" s="24" t="str">
        <f>HYPERLINK("https://www.compass.com/listing/1000-clove-road-unit-2o-staten-island-ny-10301/1811122703457978753/view?agent_id=610d3f3370540700019b0833","1000 Clove Road, Unit 2O")</f>
        <v>1000 Clove Road, Unit 2O</v>
      </c>
      <c r="C1727" s="25" t="s">
        <v>22</v>
      </c>
      <c r="D1727" s="26" t="s">
        <v>23</v>
      </c>
      <c r="E1727" s="27" t="str">
        <f>HYPERLINK("https://www.compass.com/building/1000-clove-rd-staten-island-ny-10301/293526321068299461/","1000 Clove Rd")</f>
        <v>1000 Clove Rd</v>
      </c>
      <c r="F1727" s="25" t="s">
        <v>333</v>
      </c>
      <c r="G1727" s="28">
        <v>179000.0</v>
      </c>
      <c r="H1727" s="28">
        <v>199.0</v>
      </c>
      <c r="I1727" s="28">
        <v>1705.0</v>
      </c>
      <c r="J1727" s="29"/>
      <c r="K1727" s="25" t="s">
        <v>25</v>
      </c>
      <c r="L1727" s="26">
        <v>4.0</v>
      </c>
      <c r="M1727" s="26">
        <v>2.0</v>
      </c>
      <c r="N1727" s="26">
        <v>1.0</v>
      </c>
      <c r="O1727" s="26">
        <v>0.0</v>
      </c>
      <c r="P1727" s="26">
        <v>900.0</v>
      </c>
      <c r="Q1727" s="35">
        <v>113.0</v>
      </c>
      <c r="R1727" s="32">
        <v>45858.0</v>
      </c>
      <c r="S1727" s="32">
        <v>45749.0</v>
      </c>
      <c r="T1727" s="29"/>
      <c r="U1727" s="33"/>
      <c r="V1727" s="1"/>
    </row>
    <row r="1728" ht="24.0" customHeight="1">
      <c r="A1728" s="1"/>
      <c r="B1728" s="24" t="str">
        <f>HYPERLINK("https://www.compass.com/listing/34-20-parsons-boulevard-unit-6v-queens-ny-11354/1740045869723922625/view?agent_id=610d3f3370540700019b0833","34-20 Parsons Boulevard, Unit 6V")</f>
        <v>34-20 Parsons Boulevard, Unit 6V</v>
      </c>
      <c r="C1728" s="25" t="s">
        <v>22</v>
      </c>
      <c r="D1728" s="26" t="s">
        <v>23</v>
      </c>
      <c r="E1728" s="27" t="str">
        <f>HYPERLINK("https://www.compass.com/building/34-20-parsons-blvd-queens-ny-11354/293527726621562373/","34-20 Parsons Blvd")</f>
        <v>34-20 Parsons Blvd</v>
      </c>
      <c r="F1728" s="25" t="s">
        <v>185</v>
      </c>
      <c r="G1728" s="28">
        <v>418000.0</v>
      </c>
      <c r="H1728" s="28">
        <v>418.0</v>
      </c>
      <c r="I1728" s="28">
        <v>870.0</v>
      </c>
      <c r="J1728" s="29"/>
      <c r="K1728" s="25" t="s">
        <v>25</v>
      </c>
      <c r="L1728" s="26">
        <v>5.0</v>
      </c>
      <c r="M1728" s="26">
        <v>2.0</v>
      </c>
      <c r="N1728" s="26">
        <v>1.0</v>
      </c>
      <c r="O1728" s="30"/>
      <c r="P1728" s="34">
        <v>1000.0</v>
      </c>
      <c r="Q1728" s="35">
        <v>210.0</v>
      </c>
      <c r="R1728" s="32">
        <v>45857.0</v>
      </c>
      <c r="S1728" s="32">
        <v>45652.0</v>
      </c>
      <c r="T1728" s="29"/>
      <c r="U1728" s="33"/>
      <c r="V1728" s="1"/>
    </row>
    <row r="1729" ht="24.0" customHeight="1">
      <c r="A1729" s="1"/>
      <c r="B1729" s="24" t="str">
        <f>HYPERLINK("https://www.compass.com/listing/42-45-kissena-boulevard-unit-1z-queens-ny-11355/1698161226967947753/view?agent_id=610d3f3370540700019b0833","42-45 Kissena Boulevard, Unit 1Z")</f>
        <v>42-45 Kissena Boulevard, Unit 1Z</v>
      </c>
      <c r="C1729" s="25" t="s">
        <v>22</v>
      </c>
      <c r="D1729" s="26" t="s">
        <v>23</v>
      </c>
      <c r="E1729" s="27" t="str">
        <f>HYPERLINK("https://www.compass.com/building/42-45-kissena-blvd-queens-ny-11355/293532808314357269/","42-45 Kissena Blvd")</f>
        <v>42-45 Kissena Blvd</v>
      </c>
      <c r="F1729" s="25" t="s">
        <v>185</v>
      </c>
      <c r="G1729" s="28">
        <v>350000.0</v>
      </c>
      <c r="H1729" s="28">
        <v>350.0</v>
      </c>
      <c r="I1729" s="28">
        <v>711.0</v>
      </c>
      <c r="J1729" s="28">
        <v>0.0</v>
      </c>
      <c r="K1729" s="25" t="s">
        <v>25</v>
      </c>
      <c r="L1729" s="26">
        <v>5.0</v>
      </c>
      <c r="M1729" s="26">
        <v>2.0</v>
      </c>
      <c r="N1729" s="26">
        <v>1.0</v>
      </c>
      <c r="O1729" s="30"/>
      <c r="P1729" s="34">
        <v>1000.0</v>
      </c>
      <c r="Q1729" s="35">
        <v>265.0</v>
      </c>
      <c r="R1729" s="32">
        <v>45817.0</v>
      </c>
      <c r="S1729" s="32">
        <v>45593.0</v>
      </c>
      <c r="T1729" s="29"/>
      <c r="U1729" s="33"/>
      <c r="V1729" s="1"/>
    </row>
    <row r="1730" ht="24.0" customHeight="1">
      <c r="A1730" s="1"/>
      <c r="B1730" s="24" t="str">
        <f>HYPERLINK("https://www.compass.com/listing/107-40-queens-boulevard-unit-14c-queens-ny-11375/1798628239223904185/view?agent_id=610d3f3370540700019b0833","107-40 Queens Boulevard, Unit 14C")</f>
        <v>107-40 Queens Boulevard, Unit 14C</v>
      </c>
      <c r="C1730" s="25" t="s">
        <v>22</v>
      </c>
      <c r="D1730" s="26" t="s">
        <v>23</v>
      </c>
      <c r="E1730" s="27" t="str">
        <f>HYPERLINK("https://www.compass.com/building/lane-towers-queens-ny/293529844048812629/","Lane Towers")</f>
        <v>Lane Towers</v>
      </c>
      <c r="F1730" s="25" t="s">
        <v>83</v>
      </c>
      <c r="G1730" s="28">
        <v>515000.0</v>
      </c>
      <c r="H1730" s="28">
        <v>644.0</v>
      </c>
      <c r="I1730" s="28">
        <v>1920.0</v>
      </c>
      <c r="J1730" s="29"/>
      <c r="K1730" s="25" t="s">
        <v>25</v>
      </c>
      <c r="L1730" s="26">
        <v>5.0</v>
      </c>
      <c r="M1730" s="26">
        <v>2.0</v>
      </c>
      <c r="N1730" s="26">
        <v>1.0</v>
      </c>
      <c r="O1730" s="30"/>
      <c r="P1730" s="26">
        <v>800.0</v>
      </c>
      <c r="Q1730" s="35">
        <v>130.0</v>
      </c>
      <c r="R1730" s="32">
        <v>45862.0</v>
      </c>
      <c r="S1730" s="32">
        <v>45733.0</v>
      </c>
      <c r="T1730" s="29"/>
      <c r="U1730" s="33"/>
      <c r="V1730" s="1"/>
    </row>
    <row r="1731" ht="24.0" customHeight="1">
      <c r="A1731" s="1"/>
      <c r="B1731" s="24" t="str">
        <f>HYPERLINK("https://www.compass.com/listing/139-50-35th-avenue-unit-7f-queens-ny-11354/1706002822634465665/view?agent_id=610d3f3370540700019b0833","139-50 35th Avenue, Unit 7F")</f>
        <v>139-50 35th Avenue, Unit 7F</v>
      </c>
      <c r="C1731" s="25" t="s">
        <v>22</v>
      </c>
      <c r="D1731" s="26" t="s">
        <v>23</v>
      </c>
      <c r="E1731" s="27" t="str">
        <f>HYPERLINK("https://www.compass.com/building/139-50-35th-ave-queens-ny-11354/293527338614867317/","139-50 35th Ave")</f>
        <v>139-50 35th Ave</v>
      </c>
      <c r="F1731" s="25" t="s">
        <v>185</v>
      </c>
      <c r="G1731" s="28">
        <v>300000.0</v>
      </c>
      <c r="H1731" s="29"/>
      <c r="I1731" s="28">
        <v>1650.0</v>
      </c>
      <c r="J1731" s="28">
        <v>0.0</v>
      </c>
      <c r="K1731" s="25" t="s">
        <v>25</v>
      </c>
      <c r="L1731" s="26">
        <v>5.0</v>
      </c>
      <c r="M1731" s="26">
        <v>2.0</v>
      </c>
      <c r="N1731" s="26">
        <v>1.0</v>
      </c>
      <c r="O1731" s="30"/>
      <c r="P1731" s="30"/>
      <c r="Q1731" s="35">
        <v>257.0</v>
      </c>
      <c r="R1731" s="32">
        <v>45678.0</v>
      </c>
      <c r="S1731" s="32">
        <v>45605.0</v>
      </c>
      <c r="T1731" s="29"/>
      <c r="U1731" s="33"/>
      <c r="V1731" s="1"/>
    </row>
    <row r="1732" ht="24.0" customHeight="1">
      <c r="A1732" s="1"/>
      <c r="B1732" s="24" t="str">
        <f>HYPERLINK("https://www.compass.com/listing/65-45-yellowstone-boulevard-unit-6e-queens-ny-11375/1836417648891506713/view?agent_id=610d3f3370540700019b0833","65-45 Yellowstone Boulevard, Unit 6E")</f>
        <v>65-45 Yellowstone Boulevard, Unit 6E</v>
      </c>
      <c r="C1732" s="25" t="s">
        <v>22</v>
      </c>
      <c r="D1732" s="26" t="s">
        <v>23</v>
      </c>
      <c r="E1732" s="27" t="str">
        <f>HYPERLINK("https://www.compass.com/building/65-45-yellowstone-blvd-queens-ny-11375/294840549269641541/","65-45 Yellowstone Blvd")</f>
        <v>65-45 Yellowstone Blvd</v>
      </c>
      <c r="F1732" s="25" t="s">
        <v>83</v>
      </c>
      <c r="G1732" s="28">
        <v>450000.0</v>
      </c>
      <c r="H1732" s="29"/>
      <c r="I1732" s="28">
        <v>1372.0</v>
      </c>
      <c r="J1732" s="28">
        <v>0.0</v>
      </c>
      <c r="K1732" s="25" t="s">
        <v>25</v>
      </c>
      <c r="L1732" s="26">
        <v>4.0</v>
      </c>
      <c r="M1732" s="26">
        <v>2.0</v>
      </c>
      <c r="N1732" s="26">
        <v>0.0</v>
      </c>
      <c r="O1732" s="26">
        <v>0.0</v>
      </c>
      <c r="P1732" s="30"/>
      <c r="Q1732" s="35">
        <v>78.0</v>
      </c>
      <c r="R1732" s="32">
        <v>45812.0</v>
      </c>
      <c r="S1732" s="32">
        <v>45785.0</v>
      </c>
      <c r="T1732" s="29"/>
      <c r="U1732" s="33"/>
      <c r="V1732" s="1"/>
    </row>
    <row r="1733" ht="24.0" customHeight="1">
      <c r="A1733" s="1"/>
      <c r="B1733" s="24" t="str">
        <f>HYPERLINK("https://www.compass.com/listing/61-20-grand-central-parkway-unit-b1501-queens-ny-11375/1405199405295452057/view?agent_id=610d3f3370540700019b0833","61-20 Grand Central Parkway, Unit B1501")</f>
        <v>61-20 Grand Central Parkway, Unit B1501</v>
      </c>
      <c r="C1733" s="25" t="s">
        <v>22</v>
      </c>
      <c r="D1733" s="26" t="s">
        <v>23</v>
      </c>
      <c r="E1733" s="27" t="str">
        <f t="shared" ref="E1733:E1734" si="16">HYPERLINK("https://www.compass.com/building/61-20-grand-central-pkwy-queens-ny-11375/294847679905375861/","61-20 Grand Central Pkwy")</f>
        <v>61-20 Grand Central Pkwy</v>
      </c>
      <c r="F1733" s="25" t="s">
        <v>83</v>
      </c>
      <c r="G1733" s="28">
        <v>449000.0</v>
      </c>
      <c r="H1733" s="28">
        <v>468.0</v>
      </c>
      <c r="I1733" s="28">
        <v>1544.0</v>
      </c>
      <c r="J1733" s="28">
        <v>0.0</v>
      </c>
      <c r="K1733" s="25" t="s">
        <v>25</v>
      </c>
      <c r="L1733" s="26">
        <v>4.0</v>
      </c>
      <c r="M1733" s="26">
        <v>2.0</v>
      </c>
      <c r="N1733" s="26">
        <v>1.0</v>
      </c>
      <c r="O1733" s="30"/>
      <c r="P1733" s="26">
        <v>959.0</v>
      </c>
      <c r="Q1733" s="35">
        <v>673.0</v>
      </c>
      <c r="R1733" s="32">
        <v>45862.0</v>
      </c>
      <c r="S1733" s="32">
        <v>45190.0</v>
      </c>
      <c r="T1733" s="29"/>
      <c r="U1733" s="33"/>
      <c r="V1733" s="1"/>
    </row>
    <row r="1734" ht="24.0" customHeight="1">
      <c r="A1734" s="1"/>
      <c r="B1734" s="24" t="str">
        <f>HYPERLINK("https://www.compass.com/listing/61-20-grand-central-parkway-unit-b1402-queens-ny-11375/1511153621766951361/view?agent_id=610d3f3370540700019b0833","61-20 Grand Central Parkway, Unit B1402")</f>
        <v>61-20 Grand Central Parkway, Unit B1402</v>
      </c>
      <c r="C1734" s="25" t="s">
        <v>22</v>
      </c>
      <c r="D1734" s="26" t="s">
        <v>23</v>
      </c>
      <c r="E1734" s="27" t="str">
        <f t="shared" si="16"/>
        <v>61-20 Grand Central Pkwy</v>
      </c>
      <c r="F1734" s="25" t="s">
        <v>83</v>
      </c>
      <c r="G1734" s="28">
        <v>408000.0</v>
      </c>
      <c r="H1734" s="28">
        <v>371.0</v>
      </c>
      <c r="I1734" s="28">
        <v>1530.0</v>
      </c>
      <c r="J1734" s="28">
        <v>0.0</v>
      </c>
      <c r="K1734" s="25" t="s">
        <v>25</v>
      </c>
      <c r="L1734" s="26">
        <v>4.0</v>
      </c>
      <c r="M1734" s="26">
        <v>2.0</v>
      </c>
      <c r="N1734" s="26">
        <v>1.0</v>
      </c>
      <c r="O1734" s="30"/>
      <c r="P1734" s="34">
        <v>1100.0</v>
      </c>
      <c r="Q1734" s="35">
        <v>526.0</v>
      </c>
      <c r="R1734" s="32">
        <v>45862.0</v>
      </c>
      <c r="S1734" s="32">
        <v>45336.0</v>
      </c>
      <c r="T1734" s="29"/>
      <c r="U1734" s="33"/>
      <c r="V1734" s="1"/>
    </row>
    <row r="1735" ht="24.0" customHeight="1">
      <c r="A1735" s="1"/>
      <c r="B1735" s="24" t="str">
        <f>HYPERLINK("https://www.compass.com/listing/132-30-sanford-avenue-unit-4bf-queens-ny-11355/1826972201044147593/view?agent_id=610d3f3370540700019b0833","132-30 Sanford Avenue, Unit 4BF")</f>
        <v>132-30 Sanford Avenue, Unit 4BF</v>
      </c>
      <c r="C1735" s="25" t="s">
        <v>22</v>
      </c>
      <c r="D1735" s="26" t="s">
        <v>23</v>
      </c>
      <c r="E1735" s="27" t="str">
        <f>HYPERLINK("https://www.compass.com/building/132-30-sanford-ave-queens-ny-11355/293531399690991717/","132-30 Sanford Ave")</f>
        <v>132-30 Sanford Ave</v>
      </c>
      <c r="F1735" s="25" t="s">
        <v>185</v>
      </c>
      <c r="G1735" s="28">
        <v>669000.0</v>
      </c>
      <c r="H1735" s="28">
        <v>805.0</v>
      </c>
      <c r="I1735" s="28">
        <v>947.0</v>
      </c>
      <c r="J1735" s="28">
        <v>6235.0</v>
      </c>
      <c r="K1735" s="25" t="s">
        <v>28</v>
      </c>
      <c r="L1735" s="26">
        <v>3.0</v>
      </c>
      <c r="M1735" s="26">
        <v>2.0</v>
      </c>
      <c r="N1735" s="26">
        <v>1.0</v>
      </c>
      <c r="O1735" s="30"/>
      <c r="P1735" s="26">
        <v>831.0</v>
      </c>
      <c r="Q1735" s="35">
        <v>91.0</v>
      </c>
      <c r="R1735" s="32">
        <v>45862.0</v>
      </c>
      <c r="S1735" s="32">
        <v>45772.0</v>
      </c>
      <c r="T1735" s="29"/>
      <c r="U1735" s="33"/>
      <c r="V1735" s="1"/>
    </row>
    <row r="1736" ht="24.0" customHeight="1">
      <c r="A1736" s="1"/>
      <c r="B1736" s="24" t="str">
        <f>HYPERLINK("https://www.compass.com/listing/135-10-35th-avenue-unit-6b-queens-ny-11354/1763733337906973505/view?agent_id=610d3f3370540700019b0833","135-10 35th Avenue, Unit 6B")</f>
        <v>135-10 35th Avenue, Unit 6B</v>
      </c>
      <c r="C1736" s="25" t="s">
        <v>22</v>
      </c>
      <c r="D1736" s="26" t="s">
        <v>23</v>
      </c>
      <c r="E1736" s="27" t="str">
        <f>HYPERLINK("https://www.compass.com/building/135-10-35th-ave-queens-ny-11354/293528837264815829/","135-10 35th Ave")</f>
        <v>135-10 35th Ave</v>
      </c>
      <c r="F1736" s="25" t="s">
        <v>185</v>
      </c>
      <c r="G1736" s="28">
        <v>620000.0</v>
      </c>
      <c r="H1736" s="28">
        <v>775.0</v>
      </c>
      <c r="I1736" s="28">
        <v>891.0</v>
      </c>
      <c r="J1736" s="28">
        <v>7090.0</v>
      </c>
      <c r="K1736" s="25" t="s">
        <v>127</v>
      </c>
      <c r="L1736" s="26">
        <v>4.0</v>
      </c>
      <c r="M1736" s="26">
        <v>2.0</v>
      </c>
      <c r="N1736" s="26">
        <v>1.0</v>
      </c>
      <c r="O1736" s="30"/>
      <c r="P1736" s="26">
        <v>800.0</v>
      </c>
      <c r="Q1736" s="35">
        <v>177.0</v>
      </c>
      <c r="R1736" s="32">
        <v>45823.0</v>
      </c>
      <c r="S1736" s="32">
        <v>45686.0</v>
      </c>
      <c r="T1736" s="29"/>
      <c r="U1736" s="33"/>
      <c r="V1736" s="1"/>
    </row>
    <row r="1737" ht="24.0" customHeight="1">
      <c r="A1737" s="1"/>
      <c r="B1737" s="24" t="str">
        <f>HYPERLINK("https://www.compass.com/listing/72-81-113th-street-unit-3v-queens-ny-11375/1815508671423374129/view?agent_id=610d3f3370540700019b0833","72-81 113th Street, Unit 3V")</f>
        <v>72-81 113th Street, Unit 3V</v>
      </c>
      <c r="C1737" s="25" t="s">
        <v>22</v>
      </c>
      <c r="D1737" s="26" t="s">
        <v>23</v>
      </c>
      <c r="E1737" s="27" t="str">
        <f>HYPERLINK("https://www.compass.com/building/72-81-113th-st-queens-ny-11375/293533541990446373/","72-81 113th St")</f>
        <v>72-81 113th St</v>
      </c>
      <c r="F1737" s="25" t="s">
        <v>83</v>
      </c>
      <c r="G1737" s="28">
        <v>418000.0</v>
      </c>
      <c r="H1737" s="28">
        <v>492.0</v>
      </c>
      <c r="I1737" s="28">
        <v>1233.0</v>
      </c>
      <c r="J1737" s="29"/>
      <c r="K1737" s="25" t="s">
        <v>25</v>
      </c>
      <c r="L1737" s="26">
        <v>4.0</v>
      </c>
      <c r="M1737" s="26">
        <v>2.0</v>
      </c>
      <c r="N1737" s="26">
        <v>1.0</v>
      </c>
      <c r="O1737" s="30"/>
      <c r="P1737" s="26">
        <v>850.0</v>
      </c>
      <c r="Q1737" s="35">
        <v>106.0</v>
      </c>
      <c r="R1737" s="32">
        <v>45862.0</v>
      </c>
      <c r="S1737" s="32">
        <v>45756.0</v>
      </c>
      <c r="T1737" s="29"/>
      <c r="U1737" s="33"/>
      <c r="V1737" s="1"/>
    </row>
    <row r="1738" ht="24.0" customHeight="1">
      <c r="A1738" s="1"/>
      <c r="B1738" s="24" t="str">
        <f>HYPERLINK("https://www.compass.com/listing/38-34-parsons-boulevard-unit-6c-queens-ny-11354/1763998861349617433/view?agent_id=610d3f3370540700019b0833","38-34 Parsons Boulevard, Unit 6C")</f>
        <v>38-34 Parsons Boulevard, Unit 6C</v>
      </c>
      <c r="C1738" s="25" t="s">
        <v>22</v>
      </c>
      <c r="D1738" s="26" t="s">
        <v>23</v>
      </c>
      <c r="E1738" s="27" t="str">
        <f>HYPERLINK("https://www.compass.com/building/38-34-parsons-blvd-queens-ny-11354/293527832980635877/","38-34 Parsons Blvd")</f>
        <v>38-34 Parsons Blvd</v>
      </c>
      <c r="F1738" s="25" t="s">
        <v>221</v>
      </c>
      <c r="G1738" s="28">
        <v>685000.0</v>
      </c>
      <c r="H1738" s="28">
        <v>864.0</v>
      </c>
      <c r="I1738" s="28">
        <v>1645.0</v>
      </c>
      <c r="J1738" s="28">
        <v>9720.0</v>
      </c>
      <c r="K1738" s="25" t="s">
        <v>28</v>
      </c>
      <c r="L1738" s="26">
        <v>4.0</v>
      </c>
      <c r="M1738" s="26">
        <v>2.0</v>
      </c>
      <c r="N1738" s="30"/>
      <c r="O1738" s="30"/>
      <c r="P1738" s="26">
        <v>793.0</v>
      </c>
      <c r="Q1738" s="35">
        <v>178.0</v>
      </c>
      <c r="R1738" s="32">
        <v>45863.0</v>
      </c>
      <c r="S1738" s="32">
        <v>45685.0</v>
      </c>
      <c r="T1738" s="29"/>
      <c r="U1738" s="33"/>
      <c r="V1738" s="1"/>
    </row>
    <row r="1739" ht="24.0" customHeight="1">
      <c r="A1739" s="1"/>
      <c r="B1739" s="24" t="str">
        <f>HYPERLINK("https://www.compass.com/listing/1680-ocean-avenue-unit-6a-brooklyn-ny-11230/1707468447668866905/view?agent_id=610d3f3370540700019b0833","1680 Ocean Avenue, Unit 6A")</f>
        <v>1680 Ocean Avenue, Unit 6A</v>
      </c>
      <c r="C1739" s="25" t="s">
        <v>22</v>
      </c>
      <c r="D1739" s="26" t="s">
        <v>23</v>
      </c>
      <c r="E1739" s="27" t="str">
        <f>HYPERLINK("https://www.compass.com/building/1680-ocean-ave-brooklyn-ny-11230/293534422710365157/","1680 Ocean Ave")</f>
        <v>1680 Ocean Ave</v>
      </c>
      <c r="F1739" s="25" t="s">
        <v>34</v>
      </c>
      <c r="G1739" s="28">
        <v>399000.0</v>
      </c>
      <c r="H1739" s="28">
        <v>333.0</v>
      </c>
      <c r="I1739" s="28">
        <v>774.0</v>
      </c>
      <c r="J1739" s="29"/>
      <c r="K1739" s="25" t="s">
        <v>25</v>
      </c>
      <c r="L1739" s="26">
        <v>4.0</v>
      </c>
      <c r="M1739" s="26">
        <v>2.0</v>
      </c>
      <c r="N1739" s="26">
        <v>1.0</v>
      </c>
      <c r="O1739" s="30"/>
      <c r="P1739" s="34">
        <v>1200.0</v>
      </c>
      <c r="Q1739" s="35">
        <v>256.0</v>
      </c>
      <c r="R1739" s="32">
        <v>45854.0</v>
      </c>
      <c r="S1739" s="32">
        <v>45607.0</v>
      </c>
      <c r="T1739" s="29"/>
      <c r="U1739" s="33"/>
      <c r="V1739" s="1"/>
    </row>
    <row r="1740" ht="24.0" customHeight="1">
      <c r="A1740" s="1"/>
      <c r="B1740" s="24" t="str">
        <f>HYPERLINK("https://www.compass.com/listing/61-20-grand-central-parkway-unit-a901-queens-ny-11375/1799364193463301953/view?agent_id=610d3f3370540700019b0833","61-20 Grand Central Parkway, Unit A901")</f>
        <v>61-20 Grand Central Parkway, Unit A901</v>
      </c>
      <c r="C1740" s="25" t="s">
        <v>22</v>
      </c>
      <c r="D1740" s="26" t="s">
        <v>23</v>
      </c>
      <c r="E1740" s="27" t="str">
        <f>HYPERLINK("https://www.compass.com/building/61-20-grand-central-pkwy-queens-ny-11375/294847679905375861/","61-20 Grand Central Pkwy")</f>
        <v>61-20 Grand Central Pkwy</v>
      </c>
      <c r="F1740" s="25" t="s">
        <v>83</v>
      </c>
      <c r="G1740" s="28">
        <v>460000.0</v>
      </c>
      <c r="H1740" s="28">
        <v>466.0</v>
      </c>
      <c r="I1740" s="28">
        <v>1866.0</v>
      </c>
      <c r="J1740" s="29"/>
      <c r="K1740" s="25" t="s">
        <v>25</v>
      </c>
      <c r="L1740" s="26">
        <v>5.0</v>
      </c>
      <c r="M1740" s="26">
        <v>2.0</v>
      </c>
      <c r="N1740" s="26">
        <v>1.0</v>
      </c>
      <c r="O1740" s="26">
        <v>0.0</v>
      </c>
      <c r="P1740" s="26">
        <v>987.0</v>
      </c>
      <c r="Q1740" s="35">
        <v>128.0</v>
      </c>
      <c r="R1740" s="32">
        <v>45822.0</v>
      </c>
      <c r="S1740" s="32">
        <v>45735.0</v>
      </c>
      <c r="T1740" s="29"/>
      <c r="U1740" s="33"/>
      <c r="V1740" s="1"/>
    </row>
    <row r="1741" ht="24.0" customHeight="1">
      <c r="A1741" s="1"/>
      <c r="B1741" s="24" t="str">
        <f>HYPERLINK("https://www.compass.com/listing/1360-ocean-parkway-unit-12h-brooklyn-ny-11230/1774138925419301617/view?agent_id=610d3f3370540700019b0833","1360 Ocean Parkway, Unit 12H")</f>
        <v>1360 Ocean Parkway, Unit 12H</v>
      </c>
      <c r="C1741" s="25" t="s">
        <v>22</v>
      </c>
      <c r="D1741" s="26" t="s">
        <v>23</v>
      </c>
      <c r="E1741" s="27" t="str">
        <f>HYPERLINK("https://www.compass.com/building/1360-ocean-pkwy-brooklyn-ny-11230/293531265255099621/","1360 Ocean Pkwy")</f>
        <v>1360 Ocean Pkwy</v>
      </c>
      <c r="F1741" s="25" t="s">
        <v>171</v>
      </c>
      <c r="G1741" s="28">
        <v>440000.0</v>
      </c>
      <c r="H1741" s="28">
        <v>454.0</v>
      </c>
      <c r="I1741" s="28">
        <v>1378.0</v>
      </c>
      <c r="J1741" s="29"/>
      <c r="K1741" s="25" t="s">
        <v>25</v>
      </c>
      <c r="L1741" s="26">
        <v>4.0</v>
      </c>
      <c r="M1741" s="26">
        <v>2.0</v>
      </c>
      <c r="N1741" s="26">
        <v>1.0</v>
      </c>
      <c r="O1741" s="30"/>
      <c r="P1741" s="26">
        <v>970.0</v>
      </c>
      <c r="Q1741" s="35">
        <v>164.0</v>
      </c>
      <c r="R1741" s="32">
        <v>45863.0</v>
      </c>
      <c r="S1741" s="32">
        <v>45699.0</v>
      </c>
      <c r="T1741" s="29"/>
      <c r="U1741" s="33"/>
      <c r="V1741" s="1"/>
    </row>
    <row r="1742" ht="24.0" customHeight="1">
      <c r="A1742" s="1"/>
      <c r="B1742" s="24" t="str">
        <f>HYPERLINK("https://www.compass.com/listing/920-east-17th-street-unit-122-brooklyn-ny-11230/1632058307711253497/view?agent_id=610d3f3370540700019b0833","920 East 17th Street, Unit 122")</f>
        <v>920 East 17th Street, Unit 122</v>
      </c>
      <c r="C1742" s="25" t="s">
        <v>22</v>
      </c>
      <c r="D1742" s="26" t="s">
        <v>23</v>
      </c>
      <c r="E1742" s="27" t="str">
        <f>HYPERLINK("https://www.compass.com/building/terrace-gardens-plaza-brooklyn-ny/293416523777812613/","Terrace Gardens Plaza")</f>
        <v>Terrace Gardens Plaza</v>
      </c>
      <c r="F1742" s="25" t="s">
        <v>34</v>
      </c>
      <c r="G1742" s="28">
        <v>370000.0</v>
      </c>
      <c r="H1742" s="28">
        <v>336.0</v>
      </c>
      <c r="I1742" s="28">
        <v>1088.0</v>
      </c>
      <c r="J1742" s="29"/>
      <c r="K1742" s="25" t="s">
        <v>25</v>
      </c>
      <c r="L1742" s="26">
        <v>5.0</v>
      </c>
      <c r="M1742" s="26">
        <v>2.0</v>
      </c>
      <c r="N1742" s="26">
        <v>1.0</v>
      </c>
      <c r="O1742" s="30"/>
      <c r="P1742" s="34">
        <v>1100.0</v>
      </c>
      <c r="Q1742" s="35">
        <v>360.0</v>
      </c>
      <c r="R1742" s="32">
        <v>45825.0</v>
      </c>
      <c r="S1742" s="32">
        <v>45503.0</v>
      </c>
      <c r="T1742" s="29"/>
      <c r="U1742" s="33"/>
      <c r="V1742" s="1"/>
    </row>
    <row r="1743" ht="24.0" customHeight="1">
      <c r="A1743" s="1"/>
      <c r="B1743" s="24" t="str">
        <f>HYPERLINK("https://www.compass.com/listing/131-02-b-40th-road-unit-6t-queens-ny-11354/1634564088320110201/view?agent_id=610d3f3370540700019b0833","131-02 B 40th Road, Unit 6T")</f>
        <v>131-02 B 40th Road, Unit 6T</v>
      </c>
      <c r="C1743" s="25" t="s">
        <v>22</v>
      </c>
      <c r="D1743" s="26" t="s">
        <v>23</v>
      </c>
      <c r="E1743" s="26" t="s">
        <v>347</v>
      </c>
      <c r="F1743" s="25" t="s">
        <v>185</v>
      </c>
      <c r="G1743" s="28">
        <v>801000.0</v>
      </c>
      <c r="H1743" s="28">
        <v>1088.0</v>
      </c>
      <c r="I1743" s="28">
        <v>1159.0</v>
      </c>
      <c r="J1743" s="28">
        <v>8184.0</v>
      </c>
      <c r="K1743" s="25" t="s">
        <v>28</v>
      </c>
      <c r="L1743" s="26">
        <v>4.0</v>
      </c>
      <c r="M1743" s="26">
        <v>2.0</v>
      </c>
      <c r="N1743" s="26">
        <v>1.0</v>
      </c>
      <c r="O1743" s="30"/>
      <c r="P1743" s="26">
        <v>736.0</v>
      </c>
      <c r="Q1743" s="35">
        <v>357.0</v>
      </c>
      <c r="R1743" s="32">
        <v>45545.0</v>
      </c>
      <c r="S1743" s="32">
        <v>45506.0</v>
      </c>
      <c r="T1743" s="29"/>
      <c r="U1743" s="33"/>
      <c r="V1743" s="1"/>
    </row>
    <row r="1744" ht="24.0" customHeight="1">
      <c r="A1744" s="1"/>
      <c r="B1744" s="24" t="str">
        <f>HYPERLINK("https://www.compass.com/listing/151-63-12th-avenue-queens-ny-11357/1793668321105246937/view?agent_id=610d3f3370540700019b0833","151-63 12th Avenue")</f>
        <v>151-63 12th Avenue</v>
      </c>
      <c r="C1744" s="25" t="s">
        <v>22</v>
      </c>
      <c r="D1744" s="26" t="s">
        <v>23</v>
      </c>
      <c r="E1744" s="27" t="str">
        <f>HYPERLINK("https://www.compass.com/building/151-63-12th-ave-queens-ny-11357/293531769276308357/","151-63 12th Ave")</f>
        <v>151-63 12th Ave</v>
      </c>
      <c r="F1744" s="25" t="s">
        <v>219</v>
      </c>
      <c r="G1744" s="28">
        <v>699000.0</v>
      </c>
      <c r="H1744" s="28">
        <v>728.0</v>
      </c>
      <c r="I1744" s="28">
        <v>0.0</v>
      </c>
      <c r="J1744" s="28">
        <v>0.0</v>
      </c>
      <c r="K1744" s="25" t="s">
        <v>97</v>
      </c>
      <c r="L1744" s="26">
        <v>5.0</v>
      </c>
      <c r="M1744" s="26">
        <v>2.0</v>
      </c>
      <c r="N1744" s="26">
        <v>1.0</v>
      </c>
      <c r="O1744" s="30"/>
      <c r="P1744" s="26">
        <v>960.0</v>
      </c>
      <c r="Q1744" s="35">
        <v>138.0</v>
      </c>
      <c r="R1744" s="32">
        <v>45801.0</v>
      </c>
      <c r="S1744" s="32">
        <v>45725.0</v>
      </c>
      <c r="T1744" s="29"/>
      <c r="U1744" s="33"/>
      <c r="V1744" s="1"/>
    </row>
    <row r="1745" ht="24.0" customHeight="1">
      <c r="A1745" s="1"/>
      <c r="B1745" s="24" t="str">
        <f>HYPERLINK("https://www.compass.com/listing/1000-clove-road-unit-8c-staten-island-ny-10301/1702504845523848577/view?agent_id=610d3f3370540700019b0833","1000 Clove Road, Unit 8C")</f>
        <v>1000 Clove Road, Unit 8C</v>
      </c>
      <c r="C1745" s="25" t="s">
        <v>22</v>
      </c>
      <c r="D1745" s="26" t="s">
        <v>23</v>
      </c>
      <c r="E1745" s="27" t="str">
        <f>HYPERLINK("https://www.compass.com/building/1000-clove-rd-staten-island-ny-10301/293526321068299461/","1000 Clove Rd")</f>
        <v>1000 Clove Rd</v>
      </c>
      <c r="F1745" s="25" t="s">
        <v>333</v>
      </c>
      <c r="G1745" s="28">
        <v>284900.0</v>
      </c>
      <c r="H1745" s="28">
        <v>285.0</v>
      </c>
      <c r="I1745" s="28">
        <v>1851.0</v>
      </c>
      <c r="J1745" s="29"/>
      <c r="K1745" s="25" t="s">
        <v>25</v>
      </c>
      <c r="L1745" s="26">
        <v>5.0</v>
      </c>
      <c r="M1745" s="26">
        <v>2.0</v>
      </c>
      <c r="N1745" s="26">
        <v>1.0</v>
      </c>
      <c r="O1745" s="26">
        <v>0.0</v>
      </c>
      <c r="P1745" s="34">
        <v>1000.0</v>
      </c>
      <c r="Q1745" s="35">
        <v>263.0</v>
      </c>
      <c r="R1745" s="32">
        <v>45858.0</v>
      </c>
      <c r="S1745" s="32">
        <v>45600.0</v>
      </c>
      <c r="T1745" s="29"/>
      <c r="U1745" s="33"/>
      <c r="V1745" s="1"/>
    </row>
    <row r="1746" ht="24.0" customHeight="1">
      <c r="A1746" s="1"/>
      <c r="B1746" s="24" t="str">
        <f>HYPERLINK("https://www.compass.com/listing/3834-parsons-boulevard-unit-6c-queens-ny-11354/1763397192702834281/view?agent_id=610d3f3370540700019b0833","3834 Parsons Boulevard, Unit 6C")</f>
        <v>3834 Parsons Boulevard, Unit 6C</v>
      </c>
      <c r="C1746" s="25" t="s">
        <v>22</v>
      </c>
      <c r="D1746" s="26" t="s">
        <v>23</v>
      </c>
      <c r="E1746" s="26" t="s">
        <v>348</v>
      </c>
      <c r="F1746" s="25" t="s">
        <v>221</v>
      </c>
      <c r="G1746" s="28">
        <v>685000.0</v>
      </c>
      <c r="H1746" s="28">
        <v>864.0</v>
      </c>
      <c r="I1746" s="28">
        <v>1645.0</v>
      </c>
      <c r="J1746" s="28">
        <v>9715.0</v>
      </c>
      <c r="K1746" s="25" t="s">
        <v>28</v>
      </c>
      <c r="L1746" s="26">
        <v>4.0</v>
      </c>
      <c r="M1746" s="26">
        <v>2.0</v>
      </c>
      <c r="N1746" s="26">
        <v>1.0</v>
      </c>
      <c r="O1746" s="30"/>
      <c r="P1746" s="26">
        <v>793.0</v>
      </c>
      <c r="Q1746" s="35">
        <v>179.0</v>
      </c>
      <c r="R1746" s="32">
        <v>45838.0</v>
      </c>
      <c r="S1746" s="32">
        <v>45684.0</v>
      </c>
      <c r="T1746" s="29"/>
      <c r="U1746" s="33"/>
      <c r="V1746" s="1"/>
    </row>
    <row r="1747" ht="24.0" customHeight="1">
      <c r="A1747" s="1"/>
      <c r="B1747" s="24" t="str">
        <f>HYPERLINK("https://www.compass.com/listing/144-76-sanford-avenue-unit-1b-queens-ny-11355/1736151437144681601/view?agent_id=610d3f3370540700019b0833","144-76 Sanford Avenue, Unit 1B")</f>
        <v>144-76 Sanford Avenue, Unit 1B</v>
      </c>
      <c r="C1747" s="25" t="s">
        <v>22</v>
      </c>
      <c r="D1747" s="26" t="s">
        <v>23</v>
      </c>
      <c r="E1747" s="27" t="str">
        <f>HYPERLINK("https://www.compass.com/building/144-76-sanford-ave-queens-ny-11355/293535420443026501/","144-76 Sanford Ave")</f>
        <v>144-76 Sanford Ave</v>
      </c>
      <c r="F1747" s="25" t="s">
        <v>185</v>
      </c>
      <c r="G1747" s="28">
        <v>478000.0</v>
      </c>
      <c r="H1747" s="28">
        <v>371.0</v>
      </c>
      <c r="I1747" s="28">
        <v>858.0</v>
      </c>
      <c r="J1747" s="28">
        <v>0.0</v>
      </c>
      <c r="K1747" s="25" t="s">
        <v>25</v>
      </c>
      <c r="L1747" s="26">
        <v>5.0</v>
      </c>
      <c r="M1747" s="26">
        <v>2.0</v>
      </c>
      <c r="N1747" s="26">
        <v>1.0</v>
      </c>
      <c r="O1747" s="30"/>
      <c r="P1747" s="34">
        <v>1288.0</v>
      </c>
      <c r="Q1747" s="35">
        <v>232.0</v>
      </c>
      <c r="R1747" s="32">
        <v>45647.0</v>
      </c>
      <c r="S1747" s="32">
        <v>45631.0</v>
      </c>
      <c r="T1747" s="29"/>
      <c r="U1747" s="33"/>
      <c r="V1747" s="1"/>
    </row>
    <row r="1748" ht="24.0" customHeight="1">
      <c r="A1748" s="1"/>
      <c r="B1748" s="24" t="str">
        <f>HYPERLINK("https://www.compass.com/listing/61-20-grand-central-parkway-unit-a106-queens-ny-11375/1662605950814669337/view?agent_id=610d3f3370540700019b0833","61-20 Grand Central Parkway, Unit A106")</f>
        <v>61-20 Grand Central Parkway, Unit A106</v>
      </c>
      <c r="C1748" s="25" t="s">
        <v>22</v>
      </c>
      <c r="D1748" s="26" t="s">
        <v>23</v>
      </c>
      <c r="E1748" s="27" t="str">
        <f>HYPERLINK("https://www.compass.com/building/61-20-grand-central-pkwy-queens-ny-11375/294847679905375861/","61-20 Grand Central Pkwy")</f>
        <v>61-20 Grand Central Pkwy</v>
      </c>
      <c r="F1748" s="25" t="s">
        <v>83</v>
      </c>
      <c r="G1748" s="28">
        <v>365000.0</v>
      </c>
      <c r="H1748" s="28">
        <v>281.0</v>
      </c>
      <c r="I1748" s="28">
        <v>2207.0</v>
      </c>
      <c r="J1748" s="28">
        <v>0.0</v>
      </c>
      <c r="K1748" s="25" t="s">
        <v>25</v>
      </c>
      <c r="L1748" s="26">
        <v>6.0</v>
      </c>
      <c r="M1748" s="26">
        <v>2.0</v>
      </c>
      <c r="N1748" s="26">
        <v>1.0</v>
      </c>
      <c r="O1748" s="30"/>
      <c r="P1748" s="34">
        <v>1300.0</v>
      </c>
      <c r="Q1748" s="35">
        <v>317.0</v>
      </c>
      <c r="R1748" s="32">
        <v>45699.0</v>
      </c>
      <c r="S1748" s="32">
        <v>45545.0</v>
      </c>
      <c r="T1748" s="29"/>
      <c r="U1748" s="33"/>
      <c r="V1748" s="1"/>
    </row>
    <row r="1749" ht="24.0" customHeight="1">
      <c r="A1749" s="1"/>
      <c r="B1749" s="24" t="str">
        <f>HYPERLINK("https://www.compass.com/listing/107-05-monterey-street-queens-ny-11429/1723565209834104377/view?agent_id=610d3f3370540700019b0833","107-05 Monterey Street")</f>
        <v>107-05 Monterey Street</v>
      </c>
      <c r="C1749" s="25" t="s">
        <v>22</v>
      </c>
      <c r="D1749" s="26" t="s">
        <v>23</v>
      </c>
      <c r="E1749" s="27" t="str">
        <f>HYPERLINK("https://www.compass.com/building/107-05-monterey-st-queens-ny-11429/293534531250602517/","107-05 Monterey St")</f>
        <v>107-05 Monterey St</v>
      </c>
      <c r="F1749" s="25" t="s">
        <v>98</v>
      </c>
      <c r="G1749" s="28">
        <v>1279000.0</v>
      </c>
      <c r="H1749" s="28">
        <v>334.0</v>
      </c>
      <c r="I1749" s="28">
        <v>582.0</v>
      </c>
      <c r="J1749" s="28">
        <v>6981.0</v>
      </c>
      <c r="K1749" s="25" t="s">
        <v>149</v>
      </c>
      <c r="L1749" s="30"/>
      <c r="M1749" s="26">
        <v>2.0</v>
      </c>
      <c r="N1749" s="26">
        <v>1.0</v>
      </c>
      <c r="O1749" s="30"/>
      <c r="P1749" s="34">
        <v>3828.0</v>
      </c>
      <c r="Q1749" s="35">
        <v>234.0</v>
      </c>
      <c r="R1749" s="32">
        <v>45759.0</v>
      </c>
      <c r="S1749" s="32">
        <v>45629.0</v>
      </c>
      <c r="T1749" s="29"/>
      <c r="U1749" s="33"/>
      <c r="V1749" s="1"/>
    </row>
    <row r="1750" ht="24.0" customHeight="1">
      <c r="A1750" s="1"/>
      <c r="B1750" s="24" t="str">
        <f>HYPERLINK("https://www.compass.com/listing/2944-west-5th-street-unit-14f-brooklyn-ny-11224/1816261531929282913/view?agent_id=610d3f3370540700019b0833","2944 West 5th Street, Unit 14F")</f>
        <v>2944 West 5th Street, Unit 14F</v>
      </c>
      <c r="C1750" s="25" t="s">
        <v>22</v>
      </c>
      <c r="D1750" s="26" t="s">
        <v>23</v>
      </c>
      <c r="E1750" s="27" t="str">
        <f>HYPERLINK("https://www.compass.com/building/2944-w-5th-st-brooklyn-ny-11224/307448453273538981/","2944 W 5th St")</f>
        <v>2944 W 5th St</v>
      </c>
      <c r="F1750" s="25" t="s">
        <v>183</v>
      </c>
      <c r="G1750" s="28">
        <v>370000.0</v>
      </c>
      <c r="H1750" s="28">
        <v>463.0</v>
      </c>
      <c r="I1750" s="28">
        <v>1077.0</v>
      </c>
      <c r="J1750" s="29"/>
      <c r="K1750" s="25" t="s">
        <v>25</v>
      </c>
      <c r="L1750" s="26">
        <v>4.0</v>
      </c>
      <c r="M1750" s="26">
        <v>2.0</v>
      </c>
      <c r="N1750" s="26">
        <v>1.0</v>
      </c>
      <c r="O1750" s="30"/>
      <c r="P1750" s="26">
        <v>800.0</v>
      </c>
      <c r="Q1750" s="35">
        <v>106.0</v>
      </c>
      <c r="R1750" s="32">
        <v>45834.0</v>
      </c>
      <c r="S1750" s="32">
        <v>45757.0</v>
      </c>
      <c r="T1750" s="29"/>
      <c r="U1750" s="33"/>
      <c r="V1750" s="1"/>
    </row>
    <row r="1751" ht="24.0" customHeight="1">
      <c r="A1751" s="1"/>
      <c r="B1751" s="24" t="str">
        <f>HYPERLINK("https://www.compass.com/listing/41-25-kissena-boulevard-unit-2-queens-ny-11355/1884164768233568073/view?agent_id=610d3f3370540700019b0833","41-25 Kissena Boulevard, Unit 2")</f>
        <v>41-25 Kissena Boulevard, Unit 2</v>
      </c>
      <c r="C1751" s="25" t="s">
        <v>22</v>
      </c>
      <c r="D1751" s="26" t="s">
        <v>23</v>
      </c>
      <c r="E1751" s="27" t="str">
        <f>HYPERLINK("https://www.compass.com/building/41-25-kissena-blvd-queens-ny-11355/293418174337036981/","41-25 Kissena Blvd")</f>
        <v>41-25 Kissena Blvd</v>
      </c>
      <c r="F1751" s="25" t="s">
        <v>221</v>
      </c>
      <c r="G1751" s="28">
        <v>860000.0</v>
      </c>
      <c r="H1751" s="28">
        <v>844.0</v>
      </c>
      <c r="I1751" s="28">
        <v>1253.0</v>
      </c>
      <c r="J1751" s="28">
        <v>4600.0</v>
      </c>
      <c r="K1751" s="25" t="s">
        <v>28</v>
      </c>
      <c r="L1751" s="26">
        <v>5.0</v>
      </c>
      <c r="M1751" s="26">
        <v>2.0</v>
      </c>
      <c r="N1751" s="26">
        <v>1.0</v>
      </c>
      <c r="O1751" s="30"/>
      <c r="P1751" s="34">
        <v>1019.0</v>
      </c>
      <c r="Q1751" s="35">
        <v>253.0</v>
      </c>
      <c r="R1751" s="32">
        <v>45616.0</v>
      </c>
      <c r="S1751" s="32">
        <v>45610.0</v>
      </c>
      <c r="T1751" s="29"/>
      <c r="U1751" s="33"/>
      <c r="V1751" s="1"/>
    </row>
    <row r="1752" ht="24.0" customHeight="1">
      <c r="A1752" s="1"/>
      <c r="B1752" s="24" t="str">
        <f>HYPERLINK("https://www.compass.com/listing/2929-brighton-5th-street-unit-3d-brooklyn-ny-11235/1749156072101173001/view?agent_id=610d3f3370540700019b0833","2929 Brighton 5th Street, Unit 3D")</f>
        <v>2929 Brighton 5th Street, Unit 3D</v>
      </c>
      <c r="C1752" s="25" t="s">
        <v>22</v>
      </c>
      <c r="D1752" s="26" t="s">
        <v>23</v>
      </c>
      <c r="E1752" s="26" t="s">
        <v>241</v>
      </c>
      <c r="F1752" s="25" t="s">
        <v>74</v>
      </c>
      <c r="G1752" s="28">
        <v>610000.0</v>
      </c>
      <c r="H1752" s="29"/>
      <c r="I1752" s="28">
        <v>178.0</v>
      </c>
      <c r="J1752" s="28">
        <v>240.0</v>
      </c>
      <c r="K1752" s="25" t="s">
        <v>28</v>
      </c>
      <c r="L1752" s="26">
        <v>4.0</v>
      </c>
      <c r="M1752" s="26">
        <v>2.0</v>
      </c>
      <c r="N1752" s="26">
        <v>1.0</v>
      </c>
      <c r="O1752" s="30"/>
      <c r="P1752" s="30"/>
      <c r="Q1752" s="35">
        <v>199.0</v>
      </c>
      <c r="R1752" s="32">
        <v>45685.0</v>
      </c>
      <c r="S1752" s="32">
        <v>45664.0</v>
      </c>
      <c r="T1752" s="29"/>
      <c r="U1752" s="33"/>
      <c r="V1752" s="1"/>
    </row>
    <row r="1753" ht="24.0" customHeight="1">
      <c r="A1753" s="1"/>
      <c r="B1753" s="24" t="str">
        <f>HYPERLINK("https://www.compass.com/listing/119-49-union-turnpike-unit-7e-queens-ny-11375/1721941779882667833/view?agent_id=610d3f3370540700019b0833","119-49 Union Turnpike, Unit 7E")</f>
        <v>119-49 Union Turnpike, Unit 7E</v>
      </c>
      <c r="C1753" s="25" t="s">
        <v>22</v>
      </c>
      <c r="D1753" s="26" t="s">
        <v>23</v>
      </c>
      <c r="E1753" s="27" t="str">
        <f>HYPERLINK("https://www.compass.com/building/119-49-union-tpke-queens-ny-11375/294836882760326133/","119-49 Union Tpke")</f>
        <v>119-49 Union Tpke</v>
      </c>
      <c r="F1753" s="25" t="s">
        <v>83</v>
      </c>
      <c r="G1753" s="28">
        <v>595000.0</v>
      </c>
      <c r="H1753" s="29"/>
      <c r="I1753" s="28">
        <v>1418.0</v>
      </c>
      <c r="J1753" s="28">
        <v>5589.0</v>
      </c>
      <c r="K1753" s="25" t="s">
        <v>28</v>
      </c>
      <c r="L1753" s="26">
        <v>5.0</v>
      </c>
      <c r="M1753" s="26">
        <v>2.0</v>
      </c>
      <c r="N1753" s="26">
        <v>1.0</v>
      </c>
      <c r="O1753" s="30"/>
      <c r="P1753" s="30"/>
      <c r="Q1753" s="35">
        <v>232.0</v>
      </c>
      <c r="R1753" s="32">
        <v>45860.0</v>
      </c>
      <c r="S1753" s="32">
        <v>45627.0</v>
      </c>
      <c r="T1753" s="29"/>
      <c r="U1753" s="33"/>
      <c r="V1753" s="1"/>
    </row>
    <row r="1754" ht="24.0" customHeight="1">
      <c r="A1754" s="1"/>
      <c r="B1754" s="24" t="str">
        <f>HYPERLINK("https://www.compass.com/listing/108-50-62nd-drive-unit-3f-queens-ny-11375/1674094440145980713/view?agent_id=610d3f3370540700019b0833","108-50 62nd Drive, Unit 3F")</f>
        <v>108-50 62nd Drive, Unit 3F</v>
      </c>
      <c r="C1754" s="25" t="s">
        <v>22</v>
      </c>
      <c r="D1754" s="26" t="s">
        <v>23</v>
      </c>
      <c r="E1754" s="27" t="str">
        <f>HYPERLINK("https://www.compass.com/building/108-50-62nd-dr-queens-ny-11375/293531182551906741/","108-50 62nd Dr")</f>
        <v>108-50 62nd Dr</v>
      </c>
      <c r="F1754" s="25" t="s">
        <v>83</v>
      </c>
      <c r="G1754" s="28">
        <v>385000.0</v>
      </c>
      <c r="H1754" s="29"/>
      <c r="I1754" s="28">
        <v>1072.0</v>
      </c>
      <c r="J1754" s="28">
        <v>0.0</v>
      </c>
      <c r="K1754" s="25" t="s">
        <v>25</v>
      </c>
      <c r="L1754" s="26">
        <v>5.0</v>
      </c>
      <c r="M1754" s="26">
        <v>2.0</v>
      </c>
      <c r="N1754" s="26">
        <v>1.0</v>
      </c>
      <c r="O1754" s="30"/>
      <c r="P1754" s="30"/>
      <c r="Q1754" s="35">
        <v>294.0</v>
      </c>
      <c r="R1754" s="32">
        <v>45862.0</v>
      </c>
      <c r="S1754" s="32">
        <v>45561.0</v>
      </c>
      <c r="T1754" s="29"/>
      <c r="U1754" s="33"/>
      <c r="V1754" s="1"/>
    </row>
    <row r="1755" ht="24.0" customHeight="1">
      <c r="A1755" s="1"/>
      <c r="B1755" s="24" t="str">
        <f>HYPERLINK("https://www.compass.com/listing/133-47-sanford-avenue-unit-6h-queens-ny-11355/1816173070282403513/view?agent_id=610d3f3370540700019b0833","133-47 Sanford Avenue, Unit 6H")</f>
        <v>133-47 Sanford Avenue, Unit 6H</v>
      </c>
      <c r="C1755" s="25" t="s">
        <v>22</v>
      </c>
      <c r="D1755" s="26" t="s">
        <v>23</v>
      </c>
      <c r="E1755" s="27" t="str">
        <f>HYPERLINK("https://www.compass.com/building/133-47-sanford-ave-queens-ny-11355/293533441712985589/","133-47 Sanford Ave")</f>
        <v>133-47 Sanford Ave</v>
      </c>
      <c r="F1755" s="25" t="s">
        <v>221</v>
      </c>
      <c r="G1755" s="28">
        <v>755000.0</v>
      </c>
      <c r="H1755" s="28">
        <v>855.0</v>
      </c>
      <c r="I1755" s="28">
        <v>1016.0</v>
      </c>
      <c r="J1755" s="28">
        <v>5609.0</v>
      </c>
      <c r="K1755" s="25" t="s">
        <v>28</v>
      </c>
      <c r="L1755" s="26">
        <v>4.0</v>
      </c>
      <c r="M1755" s="26">
        <v>2.0</v>
      </c>
      <c r="N1755" s="26">
        <v>1.0</v>
      </c>
      <c r="O1755" s="30"/>
      <c r="P1755" s="26">
        <v>883.0</v>
      </c>
      <c r="Q1755" s="35">
        <v>106.0</v>
      </c>
      <c r="R1755" s="32">
        <v>45794.0</v>
      </c>
      <c r="S1755" s="32">
        <v>45757.0</v>
      </c>
      <c r="T1755" s="29"/>
      <c r="U1755" s="33"/>
      <c r="V1755" s="1"/>
    </row>
    <row r="1756" ht="24.0" customHeight="1">
      <c r="A1756" s="1"/>
      <c r="B1756" s="24" t="str">
        <f>HYPERLINK("https://www.compass.com/listing/1620-avenue-i-unit-502-brooklyn-ny-11230/1786048718416805209/view?agent_id=610d3f3370540700019b0833","1620 Avenue I, Unit 502")</f>
        <v>1620 Avenue I, Unit 502</v>
      </c>
      <c r="C1756" s="25" t="s">
        <v>22</v>
      </c>
      <c r="D1756" s="26" t="s">
        <v>23</v>
      </c>
      <c r="E1756" s="27" t="str">
        <f>HYPERLINK("https://www.compass.com/building/1620-avenue-i-brooklyn-ny-11230/389283081193471925/","1620 Avenue I")</f>
        <v>1620 Avenue I</v>
      </c>
      <c r="F1756" s="25" t="s">
        <v>34</v>
      </c>
      <c r="G1756" s="28">
        <v>439000.0</v>
      </c>
      <c r="H1756" s="28">
        <v>472.0</v>
      </c>
      <c r="I1756" s="28">
        <v>1036.0</v>
      </c>
      <c r="J1756" s="29"/>
      <c r="K1756" s="25" t="s">
        <v>25</v>
      </c>
      <c r="L1756" s="26">
        <v>5.0</v>
      </c>
      <c r="M1756" s="26">
        <v>2.0</v>
      </c>
      <c r="N1756" s="26">
        <v>1.0</v>
      </c>
      <c r="O1756" s="30"/>
      <c r="P1756" s="26">
        <v>930.0</v>
      </c>
      <c r="Q1756" s="35">
        <v>144.0</v>
      </c>
      <c r="R1756" s="32">
        <v>45816.0</v>
      </c>
      <c r="S1756" s="32">
        <v>45719.0</v>
      </c>
      <c r="T1756" s="29"/>
      <c r="U1756" s="33"/>
      <c r="V1756" s="1"/>
    </row>
    <row r="1757" ht="24.0" customHeight="1">
      <c r="A1757" s="1"/>
      <c r="B1757" s="24" t="str">
        <f>HYPERLINK("https://www.compass.com/listing/110-35-72nd-road-unit-202-queens-ny-11375/1724744100602677785/view?agent_id=610d3f3370540700019b0833","110-35 72nd Rd, Unit 202")</f>
        <v>110-35 72nd Rd, Unit 202</v>
      </c>
      <c r="C1757" s="25" t="s">
        <v>22</v>
      </c>
      <c r="D1757" s="26" t="s">
        <v>23</v>
      </c>
      <c r="E1757" s="27" t="str">
        <f>HYPERLINK("https://www.compass.com/building/110-35-72nd-rd-queens-ny-11375/293526538719081637/","110-35 72nd Rd")</f>
        <v>110-35 72nd Rd</v>
      </c>
      <c r="F1757" s="25" t="s">
        <v>83</v>
      </c>
      <c r="G1757" s="28">
        <v>505000.0</v>
      </c>
      <c r="H1757" s="28">
        <v>521.0</v>
      </c>
      <c r="I1757" s="28">
        <v>894.0</v>
      </c>
      <c r="J1757" s="29"/>
      <c r="K1757" s="25" t="s">
        <v>25</v>
      </c>
      <c r="L1757" s="26">
        <v>4.0</v>
      </c>
      <c r="M1757" s="26">
        <v>2.0</v>
      </c>
      <c r="N1757" s="26">
        <v>1.0</v>
      </c>
      <c r="O1757" s="30"/>
      <c r="P1757" s="26">
        <v>969.0</v>
      </c>
      <c r="Q1757" s="35">
        <v>227.0</v>
      </c>
      <c r="R1757" s="32">
        <v>45839.0</v>
      </c>
      <c r="S1757" s="32">
        <v>45631.0</v>
      </c>
      <c r="T1757" s="29"/>
      <c r="U1757" s="33"/>
      <c r="V1757" s="1"/>
    </row>
    <row r="1758" ht="24.0" customHeight="1">
      <c r="A1758" s="1"/>
      <c r="B1758" s="24" t="str">
        <f>HYPERLINK("https://www.compass.com/listing/75-40-austin-street-unit-4hr-queens-ny-11375/1717940749058743305/view?agent_id=610d3f3370540700019b0833","75-40 Austin St, Unit 4HR")</f>
        <v>75-40 Austin St, Unit 4HR</v>
      </c>
      <c r="C1758" s="25" t="s">
        <v>22</v>
      </c>
      <c r="D1758" s="26" t="s">
        <v>23</v>
      </c>
      <c r="E1758" s="27" t="str">
        <f>HYPERLINK("https://www.compass.com/building/75-40-austin-st-queens-ny-11375/293528581135465205/","75-40 Austin St")</f>
        <v>75-40 Austin St</v>
      </c>
      <c r="F1758" s="25" t="s">
        <v>83</v>
      </c>
      <c r="G1758" s="28">
        <v>380000.0</v>
      </c>
      <c r="H1758" s="28">
        <v>452.0</v>
      </c>
      <c r="I1758" s="28">
        <v>1200.0</v>
      </c>
      <c r="J1758" s="28">
        <v>0.0</v>
      </c>
      <c r="K1758" s="25" t="s">
        <v>25</v>
      </c>
      <c r="L1758" s="26">
        <v>4.0</v>
      </c>
      <c r="M1758" s="26">
        <v>2.0</v>
      </c>
      <c r="N1758" s="26">
        <v>1.0</v>
      </c>
      <c r="O1758" s="30"/>
      <c r="P1758" s="26">
        <v>841.0</v>
      </c>
      <c r="Q1758" s="35">
        <v>242.0</v>
      </c>
      <c r="R1758" s="32">
        <v>45622.0</v>
      </c>
      <c r="S1758" s="32">
        <v>45621.0</v>
      </c>
      <c r="T1758" s="29"/>
      <c r="U1758" s="33"/>
      <c r="V1758" s="1"/>
    </row>
    <row r="1759" ht="24.0" customHeight="1">
      <c r="A1759" s="1"/>
      <c r="B1759" s="24" t="str">
        <f>HYPERLINK("https://www.compass.com/listing/117-17-139th-street-queens-ny-11436/1683420213513764753/view?agent_id=610d3f3370540700019b0833","117-17 139th St")</f>
        <v>117-17 139th St</v>
      </c>
      <c r="C1759" s="25" t="s">
        <v>22</v>
      </c>
      <c r="D1759" s="26" t="s">
        <v>23</v>
      </c>
      <c r="E1759" s="27" t="str">
        <f>HYPERLINK("https://www.compass.com/building/117-17-139th-st-queens-ny-11436/293531271588499973/","117-17 139th St")</f>
        <v>117-17 139th St</v>
      </c>
      <c r="F1759" s="25" t="s">
        <v>222</v>
      </c>
      <c r="G1759" s="28">
        <v>699000.0</v>
      </c>
      <c r="H1759" s="28">
        <v>536.0</v>
      </c>
      <c r="I1759" s="28">
        <v>474.0</v>
      </c>
      <c r="J1759" s="28">
        <v>5688.0</v>
      </c>
      <c r="K1759" s="25" t="s">
        <v>97</v>
      </c>
      <c r="L1759" s="26">
        <v>5.0</v>
      </c>
      <c r="M1759" s="26">
        <v>2.0</v>
      </c>
      <c r="N1759" s="26">
        <v>1.0</v>
      </c>
      <c r="O1759" s="30"/>
      <c r="P1759" s="34">
        <v>1303.0</v>
      </c>
      <c r="Q1759" s="35">
        <v>288.0</v>
      </c>
      <c r="R1759" s="32">
        <v>45628.0</v>
      </c>
      <c r="S1759" s="32">
        <v>45574.0</v>
      </c>
      <c r="T1759" s="29"/>
      <c r="U1759" s="33"/>
      <c r="V1759" s="1"/>
    </row>
    <row r="1760" ht="24.0" customHeight="1">
      <c r="A1760" s="1"/>
      <c r="B1760" s="24" t="str">
        <f>HYPERLINK("https://www.compass.com/listing/105-20-66th-avenue-unit-1a-queens-ny-11375/1749457627669317657/view?agent_id=610d3f3370540700019b0833","105-20 66th Ave, Unit 1A")</f>
        <v>105-20 66th Ave, Unit 1A</v>
      </c>
      <c r="C1760" s="25" t="s">
        <v>22</v>
      </c>
      <c r="D1760" s="26" t="s">
        <v>23</v>
      </c>
      <c r="E1760" s="27" t="str">
        <f>HYPERLINK("https://www.compass.com/building/105-20-66th-ave-queens-ny-11375/307437794003425669/","105-20 66th Ave")</f>
        <v>105-20 66th Ave</v>
      </c>
      <c r="F1760" s="25" t="s">
        <v>83</v>
      </c>
      <c r="G1760" s="28">
        <v>359999.0</v>
      </c>
      <c r="H1760" s="28">
        <v>327.0</v>
      </c>
      <c r="I1760" s="28">
        <v>1024.0</v>
      </c>
      <c r="J1760" s="29"/>
      <c r="K1760" s="25" t="s">
        <v>25</v>
      </c>
      <c r="L1760" s="26">
        <v>4.0</v>
      </c>
      <c r="M1760" s="26">
        <v>2.0</v>
      </c>
      <c r="N1760" s="26">
        <v>1.0</v>
      </c>
      <c r="O1760" s="30"/>
      <c r="P1760" s="34">
        <v>1100.0</v>
      </c>
      <c r="Q1760" s="35">
        <v>197.0</v>
      </c>
      <c r="R1760" s="32">
        <v>45809.0</v>
      </c>
      <c r="S1760" s="32">
        <v>45666.0</v>
      </c>
      <c r="T1760" s="29"/>
      <c r="U1760" s="33"/>
      <c r="V1760" s="1"/>
    </row>
    <row r="1761" ht="24.0" customHeight="1">
      <c r="A1761" s="1"/>
      <c r="B1761" s="24" t="str">
        <f>HYPERLINK("https://www.compass.com/listing/137-11-32nd-avenue-unit-4w-queens-ny-11354/1765059797296826953/view?agent_id=610d3f3370540700019b0833","137-11 32nd Ave, Unit 4W")</f>
        <v>137-11 32nd Ave, Unit 4W</v>
      </c>
      <c r="C1761" s="25" t="s">
        <v>22</v>
      </c>
      <c r="D1761" s="26" t="s">
        <v>23</v>
      </c>
      <c r="E1761" s="27" t="str">
        <f>HYPERLINK("https://www.compass.com/building/137-11-32nd-ave-queens-ny-11354/293534094900340309/","137-11 32nd Ave")</f>
        <v>137-11 32nd Ave</v>
      </c>
      <c r="F1761" s="25" t="s">
        <v>185</v>
      </c>
      <c r="G1761" s="28">
        <v>580000.0</v>
      </c>
      <c r="H1761" s="28">
        <v>797.0</v>
      </c>
      <c r="I1761" s="28">
        <v>802.0</v>
      </c>
      <c r="J1761" s="28">
        <v>4872.0</v>
      </c>
      <c r="K1761" s="25" t="s">
        <v>28</v>
      </c>
      <c r="L1761" s="30"/>
      <c r="M1761" s="26">
        <v>2.0</v>
      </c>
      <c r="N1761" s="30"/>
      <c r="O1761" s="30"/>
      <c r="P1761" s="26">
        <v>728.0</v>
      </c>
      <c r="Q1761" s="35">
        <v>1826.0</v>
      </c>
      <c r="R1761" s="32">
        <v>44037.0</v>
      </c>
      <c r="S1761" s="32">
        <v>44037.0</v>
      </c>
      <c r="T1761" s="29"/>
      <c r="U1761" s="33"/>
      <c r="V1761" s="1"/>
    </row>
    <row r="1762" ht="24.0" customHeight="1">
      <c r="A1762" s="1"/>
      <c r="B1762" s="24" t="str">
        <f>HYPERLINK("https://www.compass.com/listing/116-16-139th-street-queens-ny-11436/1808025938919213665/view?agent_id=610d3f3370540700019b0833","116-16 139th St")</f>
        <v>116-16 139th St</v>
      </c>
      <c r="C1762" s="25" t="s">
        <v>22</v>
      </c>
      <c r="D1762" s="26" t="s">
        <v>23</v>
      </c>
      <c r="E1762" s="27" t="str">
        <f>HYPERLINK("https://www.compass.com/building/116-16-139th-st-queens-ny-11436/293528313547279733/","116-16 139th St")</f>
        <v>116-16 139th St</v>
      </c>
      <c r="F1762" s="25" t="s">
        <v>222</v>
      </c>
      <c r="G1762" s="28">
        <v>580000.0</v>
      </c>
      <c r="H1762" s="28">
        <v>458.0</v>
      </c>
      <c r="I1762" s="28">
        <v>373.0</v>
      </c>
      <c r="J1762" s="28">
        <v>4474.0</v>
      </c>
      <c r="K1762" s="25" t="s">
        <v>97</v>
      </c>
      <c r="L1762" s="26">
        <v>6.0</v>
      </c>
      <c r="M1762" s="26">
        <v>2.0</v>
      </c>
      <c r="N1762" s="26">
        <v>1.0</v>
      </c>
      <c r="O1762" s="30"/>
      <c r="P1762" s="34">
        <v>1266.0</v>
      </c>
      <c r="Q1762" s="35">
        <v>32.0</v>
      </c>
      <c r="R1762" s="32">
        <v>45852.0</v>
      </c>
      <c r="S1762" s="32">
        <v>45746.0</v>
      </c>
      <c r="T1762" s="29"/>
      <c r="U1762" s="33"/>
      <c r="V1762" s="1"/>
    </row>
    <row r="1763" ht="24.0" customHeight="1">
      <c r="A1763" s="1"/>
      <c r="B1763" s="24" t="str">
        <f>HYPERLINK("https://www.compass.com/listing/114-20-queens-boulevard-unit-8a-queens-ny-11375/1556047423842228481/view?agent_id=610d3f3370540700019b0833","114-20 Queens Blvd, Unit 8A")</f>
        <v>114-20 Queens Blvd, Unit 8A</v>
      </c>
      <c r="C1763" s="25" t="s">
        <v>22</v>
      </c>
      <c r="D1763" s="26" t="s">
        <v>23</v>
      </c>
      <c r="E1763" s="27" t="str">
        <f>HYPERLINK("https://www.compass.com/building/114-20-queens-blvd-queens-ny-11375/293531453713649589/","114-20 Queens Blvd")</f>
        <v>114-20 Queens Blvd</v>
      </c>
      <c r="F1763" s="25" t="s">
        <v>83</v>
      </c>
      <c r="G1763" s="28">
        <v>408900.0</v>
      </c>
      <c r="H1763" s="28">
        <v>356.0</v>
      </c>
      <c r="I1763" s="28">
        <v>1274.0</v>
      </c>
      <c r="J1763" s="28">
        <v>0.0</v>
      </c>
      <c r="K1763" s="25" t="s">
        <v>25</v>
      </c>
      <c r="L1763" s="26">
        <v>5.0</v>
      </c>
      <c r="M1763" s="26">
        <v>2.0</v>
      </c>
      <c r="N1763" s="26">
        <v>1.0</v>
      </c>
      <c r="O1763" s="30"/>
      <c r="P1763" s="34">
        <v>1150.0</v>
      </c>
      <c r="Q1763" s="35">
        <v>464.0</v>
      </c>
      <c r="R1763" s="32">
        <v>45398.0</v>
      </c>
      <c r="S1763" s="32">
        <v>45398.0</v>
      </c>
      <c r="T1763" s="29"/>
      <c r="U1763" s="33"/>
      <c r="V1763" s="1"/>
    </row>
    <row r="1764" ht="24.0" customHeight="1">
      <c r="A1764" s="1"/>
      <c r="B1764" s="24" t="str">
        <f>HYPERLINK("https://www.compass.com/listing/3045-ocean-parkway-unit-4d-brooklyn-ny-11235/1471970738829574161/view?agent_id=610d3f3370540700019b0833","3045 Ocean Pkwy, Unit 4D")</f>
        <v>3045 Ocean Pkwy, Unit 4D</v>
      </c>
      <c r="C1764" s="25" t="s">
        <v>22</v>
      </c>
      <c r="D1764" s="26" t="s">
        <v>23</v>
      </c>
      <c r="E1764" s="27" t="str">
        <f>HYPERLINK("https://www.compass.com/building/3045-ocean-pkwy-brooklyn-ny-11235/293530625908951653/","3045 Ocean Pkwy")</f>
        <v>3045 Ocean Pkwy</v>
      </c>
      <c r="F1764" s="25" t="s">
        <v>74</v>
      </c>
      <c r="G1764" s="28">
        <v>330000.0</v>
      </c>
      <c r="H1764" s="28">
        <v>367.0</v>
      </c>
      <c r="I1764" s="28">
        <v>757.0</v>
      </c>
      <c r="J1764" s="29"/>
      <c r="K1764" s="25" t="s">
        <v>25</v>
      </c>
      <c r="L1764" s="26">
        <v>4.0</v>
      </c>
      <c r="M1764" s="26">
        <v>2.0</v>
      </c>
      <c r="N1764" s="26">
        <v>1.0</v>
      </c>
      <c r="O1764" s="30"/>
      <c r="P1764" s="26">
        <v>900.0</v>
      </c>
      <c r="Q1764" s="35">
        <v>581.0</v>
      </c>
      <c r="R1764" s="32">
        <v>45820.0</v>
      </c>
      <c r="S1764" s="32">
        <v>45282.0</v>
      </c>
      <c r="T1764" s="29"/>
      <c r="U1764" s="33"/>
      <c r="V1764" s="1"/>
    </row>
    <row r="1765" ht="24.0" customHeight="1">
      <c r="A1765" s="1"/>
      <c r="B1765" s="24" t="str">
        <f>HYPERLINK("https://www.compass.com/listing/3145-brighton-4th-street-unit-418-brooklyn-ny-11235/1622712199483297297/view?agent_id=610d3f3370540700019b0833","3145 Brighton 4th St, Unit 418")</f>
        <v>3145 Brighton 4th St, Unit 418</v>
      </c>
      <c r="C1765" s="25" t="s">
        <v>22</v>
      </c>
      <c r="D1765" s="26" t="s">
        <v>23</v>
      </c>
      <c r="E1765" s="27" t="str">
        <f>HYPERLINK("https://www.compass.com/building/3145-brighton-4th-st-brooklyn-ny-11235/307438771276354053/","3145 Brighton 4th St")</f>
        <v>3145 Brighton 4th St</v>
      </c>
      <c r="F1765" s="25" t="s">
        <v>74</v>
      </c>
      <c r="G1765" s="28">
        <v>585000.0</v>
      </c>
      <c r="H1765" s="28">
        <v>532.0</v>
      </c>
      <c r="I1765" s="28">
        <v>936.0</v>
      </c>
      <c r="J1765" s="28">
        <v>0.0</v>
      </c>
      <c r="K1765" s="25" t="s">
        <v>25</v>
      </c>
      <c r="L1765" s="26">
        <v>4.0</v>
      </c>
      <c r="M1765" s="26">
        <v>2.0</v>
      </c>
      <c r="N1765" s="26">
        <v>1.0</v>
      </c>
      <c r="O1765" s="30"/>
      <c r="P1765" s="34">
        <v>1100.0</v>
      </c>
      <c r="Q1765" s="35">
        <v>374.0</v>
      </c>
      <c r="R1765" s="32">
        <v>45682.0</v>
      </c>
      <c r="S1765" s="32">
        <v>45489.0</v>
      </c>
      <c r="T1765" s="29"/>
      <c r="U1765" s="33"/>
      <c r="V1765" s="1"/>
    </row>
    <row r="1766" ht="24.0" customHeight="1">
      <c r="A1766" s="1"/>
      <c r="B1766" s="24" t="str">
        <f>HYPERLINK("https://www.compass.com/listing/116-25-168th-street-queens-ny-11434/1789029770919784433/view?agent_id=610d3f3370540700019b0833","116-25 168th St")</f>
        <v>116-25 168th St</v>
      </c>
      <c r="C1766" s="25" t="s">
        <v>22</v>
      </c>
      <c r="D1766" s="26" t="s">
        <v>23</v>
      </c>
      <c r="E1766" s="27" t="str">
        <f>HYPERLINK("https://www.compass.com/building/116-25-168th-st-queens-ny-11434/293528666430869813/","116-25 168th St")</f>
        <v>116-25 168th St</v>
      </c>
      <c r="F1766" s="25" t="s">
        <v>174</v>
      </c>
      <c r="G1766" s="28">
        <v>404300.0</v>
      </c>
      <c r="H1766" s="28">
        <v>453.0</v>
      </c>
      <c r="I1766" s="28">
        <v>322.0</v>
      </c>
      <c r="J1766" s="28">
        <v>3860.0</v>
      </c>
      <c r="K1766" s="25" t="s">
        <v>97</v>
      </c>
      <c r="L1766" s="26">
        <v>4.0</v>
      </c>
      <c r="M1766" s="26">
        <v>2.0</v>
      </c>
      <c r="N1766" s="26">
        <v>1.0</v>
      </c>
      <c r="O1766" s="30"/>
      <c r="P1766" s="26">
        <v>892.0</v>
      </c>
      <c r="Q1766" s="35">
        <v>142.0</v>
      </c>
      <c r="R1766" s="32">
        <v>45841.0</v>
      </c>
      <c r="S1766" s="32">
        <v>45720.0</v>
      </c>
      <c r="T1766" s="29"/>
      <c r="U1766" s="33"/>
      <c r="V1766" s="1"/>
    </row>
    <row r="1767" ht="24.0" customHeight="1">
      <c r="A1767" s="1"/>
      <c r="B1767" s="24" t="str">
        <f>HYPERLINK("https://www.compass.com/listing/109-20-queens-boulevard-unit-2g-queens-ny-11375/1784224553870678793/view?agent_id=610d3f3370540700019b0833","109-20 Queens Blvd, Unit 2G")</f>
        <v>109-20 Queens Blvd, Unit 2G</v>
      </c>
      <c r="C1767" s="25" t="s">
        <v>22</v>
      </c>
      <c r="D1767" s="26" t="s">
        <v>23</v>
      </c>
      <c r="E1767" s="27" t="str">
        <f>HYPERLINK("https://www.compass.com/building/109-20-queens-blvd-queens-ny-11375/293534558706528789/","109-20 Queens Blvd")</f>
        <v>109-20 Queens Blvd</v>
      </c>
      <c r="F1767" s="25" t="s">
        <v>83</v>
      </c>
      <c r="G1767" s="28">
        <v>649000.0</v>
      </c>
      <c r="H1767" s="28">
        <v>744.0</v>
      </c>
      <c r="I1767" s="28">
        <v>1269.0</v>
      </c>
      <c r="J1767" s="28">
        <v>7260.0</v>
      </c>
      <c r="K1767" s="25" t="s">
        <v>28</v>
      </c>
      <c r="L1767" s="26">
        <v>4.0</v>
      </c>
      <c r="M1767" s="26">
        <v>2.0</v>
      </c>
      <c r="N1767" s="26">
        <v>1.0</v>
      </c>
      <c r="O1767" s="30"/>
      <c r="P1767" s="26">
        <v>872.0</v>
      </c>
      <c r="Q1767" s="35">
        <v>149.0</v>
      </c>
      <c r="R1767" s="32">
        <v>45861.0</v>
      </c>
      <c r="S1767" s="32">
        <v>45713.0</v>
      </c>
      <c r="T1767" s="29"/>
      <c r="U1767" s="33"/>
      <c r="V1767" s="1"/>
    </row>
    <row r="1768" ht="24.0" customHeight="1">
      <c r="A1768" s="1"/>
      <c r="B1768" s="24" t="str">
        <f>HYPERLINK("https://www.compass.com/listing/140-75-ash-avenue-unit-4b-queens-ny-11355/1798944433625931497/view?agent_id=610d3f3370540700019b0833","140-75 Ash Ave, Unit 4B")</f>
        <v>140-75 Ash Ave, Unit 4B</v>
      </c>
      <c r="C1768" s="25" t="s">
        <v>22</v>
      </c>
      <c r="D1768" s="26" t="s">
        <v>23</v>
      </c>
      <c r="E1768" s="27" t="str">
        <f>HYPERLINK("https://www.compass.com/building/140-75-ash-ave-queens-ny-11355/293530857048751429/","140-75 Ash Ave")</f>
        <v>140-75 Ash Ave</v>
      </c>
      <c r="F1768" s="25" t="s">
        <v>185</v>
      </c>
      <c r="G1768" s="28">
        <v>720000.0</v>
      </c>
      <c r="H1768" s="28">
        <v>814.0</v>
      </c>
      <c r="I1768" s="28">
        <v>907.0</v>
      </c>
      <c r="J1768" s="28">
        <v>5337.0</v>
      </c>
      <c r="K1768" s="25" t="s">
        <v>28</v>
      </c>
      <c r="L1768" s="26">
        <v>4.0</v>
      </c>
      <c r="M1768" s="26">
        <v>2.0</v>
      </c>
      <c r="N1768" s="26">
        <v>1.0</v>
      </c>
      <c r="O1768" s="30"/>
      <c r="P1768" s="26">
        <v>885.0</v>
      </c>
      <c r="Q1768" s="35">
        <v>127.0</v>
      </c>
      <c r="R1768" s="32">
        <v>45862.0</v>
      </c>
      <c r="S1768" s="32">
        <v>45736.0</v>
      </c>
      <c r="T1768" s="29"/>
      <c r="U1768" s="33"/>
      <c r="V1768" s="1"/>
    </row>
    <row r="1769" ht="24.0" customHeight="1">
      <c r="A1769" s="1"/>
      <c r="B1769" s="24" t="str">
        <f>HYPERLINK("https://www.compass.com/listing/138-35-elder-avenue-unit-9e-queens-ny-11355/1824173449354503929/view?agent_id=610d3f3370540700019b0833","138-35 Elder Ave, Unit 9E")</f>
        <v>138-35 Elder Ave, Unit 9E</v>
      </c>
      <c r="C1769" s="25" t="s">
        <v>22</v>
      </c>
      <c r="D1769" s="26" t="s">
        <v>23</v>
      </c>
      <c r="E1769" s="27" t="str">
        <f>HYPERLINK("https://www.compass.com/building/138-35-elder-ave-queens-ny-11355/293527974706222949/","138-35 Elder Ave")</f>
        <v>138-35 Elder Ave</v>
      </c>
      <c r="F1769" s="25" t="s">
        <v>185</v>
      </c>
      <c r="G1769" s="28">
        <v>749900.0</v>
      </c>
      <c r="H1769" s="28">
        <v>902.0</v>
      </c>
      <c r="I1769" s="28">
        <v>1052.0</v>
      </c>
      <c r="J1769" s="28">
        <v>4244.0</v>
      </c>
      <c r="K1769" s="25" t="s">
        <v>28</v>
      </c>
      <c r="L1769" s="26">
        <v>5.0</v>
      </c>
      <c r="M1769" s="26">
        <v>2.0</v>
      </c>
      <c r="N1769" s="26">
        <v>1.0</v>
      </c>
      <c r="O1769" s="30"/>
      <c r="P1769" s="26">
        <v>831.0</v>
      </c>
      <c r="Q1769" s="35">
        <v>81.0</v>
      </c>
      <c r="R1769" s="32">
        <v>45857.0</v>
      </c>
      <c r="S1769" s="32">
        <v>45768.0</v>
      </c>
      <c r="T1769" s="29"/>
      <c r="U1769" s="33"/>
      <c r="V1769" s="1"/>
    </row>
    <row r="1770" ht="24.0" customHeight="1">
      <c r="A1770" s="1"/>
      <c r="B1770" s="24" t="str">
        <f>HYPERLINK("https://www.compass.com/listing/515-avenue-i-unit-5h-brooklyn-ny-11230/1861840532168712393/view?agent_id=610d3f3370540700019b0833","515 Avenue I, Unit 5H")</f>
        <v>515 Avenue I, Unit 5H</v>
      </c>
      <c r="C1770" s="25" t="s">
        <v>22</v>
      </c>
      <c r="D1770" s="26" t="s">
        <v>23</v>
      </c>
      <c r="E1770" s="27" t="str">
        <f>HYPERLINK("https://www.compass.com/building/515-avenue-i-brooklyn-ny-11230/389274490446872165/","515 Avenue I")</f>
        <v>515 Avenue I</v>
      </c>
      <c r="F1770" s="25" t="s">
        <v>34</v>
      </c>
      <c r="G1770" s="28">
        <v>539000.0</v>
      </c>
      <c r="H1770" s="29"/>
      <c r="I1770" s="28">
        <v>850.0</v>
      </c>
      <c r="J1770" s="28">
        <v>0.0</v>
      </c>
      <c r="K1770" s="25" t="s">
        <v>25</v>
      </c>
      <c r="L1770" s="26">
        <v>4.0</v>
      </c>
      <c r="M1770" s="26">
        <v>2.0</v>
      </c>
      <c r="N1770" s="26">
        <v>1.0</v>
      </c>
      <c r="O1770" s="30"/>
      <c r="P1770" s="30"/>
      <c r="Q1770" s="35">
        <v>1491.0</v>
      </c>
      <c r="R1770" s="32">
        <v>44382.0</v>
      </c>
      <c r="S1770" s="32">
        <v>44372.0</v>
      </c>
      <c r="T1770" s="29"/>
      <c r="U1770" s="33"/>
      <c r="V1770" s="1"/>
    </row>
    <row r="1771" ht="24.0" customHeight="1">
      <c r="A1771" s="1"/>
      <c r="B1771" s="24" t="str">
        <f>HYPERLINK("https://www.compass.com/listing/1130-brighton-beach-avenue-unit-5x-brooklyn-ny-11235/1820433201302939617/view?agent_id=610d3f3370540700019b0833","1130 Brighton Beach Ave, Unit 5X")</f>
        <v>1130 Brighton Beach Ave, Unit 5X</v>
      </c>
      <c r="C1771" s="25" t="s">
        <v>22</v>
      </c>
      <c r="D1771" s="26" t="s">
        <v>23</v>
      </c>
      <c r="E1771" s="27" t="str">
        <f>HYPERLINK("https://www.compass.com/building/1130-brighton-beach-ave-brooklyn-ny-11235/293531507358824053/","1130 Brighton Beach Ave")</f>
        <v>1130 Brighton Beach Ave</v>
      </c>
      <c r="F1771" s="25" t="s">
        <v>74</v>
      </c>
      <c r="G1771" s="28">
        <v>598000.0</v>
      </c>
      <c r="H1771" s="28">
        <v>605.0</v>
      </c>
      <c r="I1771" s="28">
        <v>720.0</v>
      </c>
      <c r="J1771" s="29"/>
      <c r="K1771" s="25" t="s">
        <v>25</v>
      </c>
      <c r="L1771" s="26">
        <v>4.0</v>
      </c>
      <c r="M1771" s="26">
        <v>2.0</v>
      </c>
      <c r="N1771" s="26">
        <v>1.0</v>
      </c>
      <c r="O1771" s="26">
        <v>0.0</v>
      </c>
      <c r="P1771" s="26">
        <v>989.0</v>
      </c>
      <c r="Q1771" s="35">
        <v>100.0</v>
      </c>
      <c r="R1771" s="32">
        <v>45833.0</v>
      </c>
      <c r="S1771" s="32">
        <v>45763.0</v>
      </c>
      <c r="T1771" s="29"/>
      <c r="U1771" s="33"/>
      <c r="V1771" s="1"/>
    </row>
    <row r="1772" ht="24.0" customHeight="1">
      <c r="A1772" s="1"/>
      <c r="B1772" s="24" t="str">
        <f>HYPERLINK("https://www.compass.com/listing/138-15-franklin-avenue-unit-221-queens-ny-11355/1634982884374008857/view?agent_id=610d3f3370540700019b0833","138-15 Franklin Ave, Unit 221")</f>
        <v>138-15 Franklin Ave, Unit 221</v>
      </c>
      <c r="C1772" s="25" t="s">
        <v>22</v>
      </c>
      <c r="D1772" s="26" t="s">
        <v>23</v>
      </c>
      <c r="E1772" s="27" t="str">
        <f>HYPERLINK("https://www.compass.com/building/138-15-franklin-ave-queens-ny-11355/293528591327629477/","138-15 Franklin Ave")</f>
        <v>138-15 Franklin Ave</v>
      </c>
      <c r="F1772" s="25" t="s">
        <v>185</v>
      </c>
      <c r="G1772" s="28">
        <v>488000.0</v>
      </c>
      <c r="H1772" s="29"/>
      <c r="I1772" s="28">
        <v>800.0</v>
      </c>
      <c r="J1772" s="28">
        <v>0.0</v>
      </c>
      <c r="K1772" s="25" t="s">
        <v>25</v>
      </c>
      <c r="L1772" s="26">
        <v>5.0</v>
      </c>
      <c r="M1772" s="26">
        <v>2.0</v>
      </c>
      <c r="N1772" s="26">
        <v>1.0</v>
      </c>
      <c r="O1772" s="30"/>
      <c r="P1772" s="30"/>
      <c r="Q1772" s="35">
        <v>355.0</v>
      </c>
      <c r="R1772" s="32">
        <v>45730.0</v>
      </c>
      <c r="S1772" s="32">
        <v>45507.0</v>
      </c>
      <c r="T1772" s="29"/>
      <c r="U1772" s="33"/>
      <c r="V1772" s="1"/>
    </row>
    <row r="1773" ht="24.0" customHeight="1">
      <c r="A1773" s="1"/>
      <c r="B1773" s="24" t="str">
        <f>HYPERLINK("https://www.compass.com/listing/42-42-colden-street-unit-b23-queens-ny-11355/1774212693311504145/view?agent_id=610d3f3370540700019b0833","42-42 Colden St, Unit B23")</f>
        <v>42-42 Colden St, Unit B23</v>
      </c>
      <c r="C1773" s="25" t="s">
        <v>22</v>
      </c>
      <c r="D1773" s="26" t="s">
        <v>23</v>
      </c>
      <c r="E1773" s="27" t="str">
        <f>HYPERLINK("https://www.compass.com/building/42-42-colden-st-queens-ny-11355/293531944866592757/","42-42 Colden St")</f>
        <v>42-42 Colden St</v>
      </c>
      <c r="F1773" s="25" t="s">
        <v>185</v>
      </c>
      <c r="G1773" s="28">
        <v>659000.0</v>
      </c>
      <c r="H1773" s="28">
        <v>549.0</v>
      </c>
      <c r="I1773" s="28">
        <v>914.0</v>
      </c>
      <c r="J1773" s="29"/>
      <c r="K1773" s="25" t="s">
        <v>25</v>
      </c>
      <c r="L1773" s="26">
        <v>5.0</v>
      </c>
      <c r="M1773" s="26">
        <v>2.0</v>
      </c>
      <c r="N1773" s="26">
        <v>1.0</v>
      </c>
      <c r="O1773" s="30"/>
      <c r="P1773" s="34">
        <v>1200.0</v>
      </c>
      <c r="Q1773" s="35">
        <v>164.0</v>
      </c>
      <c r="R1773" s="32">
        <v>45758.0</v>
      </c>
      <c r="S1773" s="32">
        <v>45699.0</v>
      </c>
      <c r="T1773" s="29"/>
      <c r="U1773" s="33"/>
      <c r="V1773" s="1"/>
    </row>
    <row r="1774" ht="24.0" customHeight="1">
      <c r="A1774" s="1"/>
      <c r="B1774" s="24" t="str">
        <f>HYPERLINK("https://www.compass.com/listing/2815-ocean-parkway-unit-4-brooklyn-ny-11235/1446108783646041569/view?agent_id=610d3f3370540700019b0833","2815 Ocean Pkwy, Unit 4")</f>
        <v>2815 Ocean Pkwy, Unit 4</v>
      </c>
      <c r="C1774" s="25" t="s">
        <v>22</v>
      </c>
      <c r="D1774" s="26" t="s">
        <v>23</v>
      </c>
      <c r="E1774" s="27" t="str">
        <f>HYPERLINK("https://www.compass.com/building/2815-ocean-pkwy-brooklyn-ny-11235/293535381905746997/","2815 Ocean Pkwy")</f>
        <v>2815 Ocean Pkwy</v>
      </c>
      <c r="F1774" s="25" t="s">
        <v>74</v>
      </c>
      <c r="G1774" s="28">
        <v>516000.0</v>
      </c>
      <c r="H1774" s="28">
        <v>430.0</v>
      </c>
      <c r="I1774" s="28">
        <v>1045.0</v>
      </c>
      <c r="J1774" s="28">
        <v>0.0</v>
      </c>
      <c r="K1774" s="25" t="s">
        <v>25</v>
      </c>
      <c r="L1774" s="26">
        <v>4.0</v>
      </c>
      <c r="M1774" s="26">
        <v>2.0</v>
      </c>
      <c r="N1774" s="30"/>
      <c r="O1774" s="30"/>
      <c r="P1774" s="34">
        <v>1200.0</v>
      </c>
      <c r="Q1774" s="35">
        <v>261.0</v>
      </c>
      <c r="R1774" s="32">
        <v>45601.0</v>
      </c>
      <c r="S1774" s="32">
        <v>45601.0</v>
      </c>
      <c r="T1774" s="29"/>
      <c r="U1774" s="33"/>
      <c r="V1774" s="1"/>
    </row>
    <row r="1775" ht="24.0" customHeight="1">
      <c r="A1775" s="1"/>
      <c r="B1775" s="24" t="str">
        <f>HYPERLINK("https://www.compass.com/listing/11156-145th-street-queens-ny-11435/1781607726136316433/view?agent_id=610d3f3370540700019b0833","11156 145th St")</f>
        <v>11156 145th St</v>
      </c>
      <c r="C1775" s="25" t="s">
        <v>22</v>
      </c>
      <c r="D1775" s="26" t="s">
        <v>23</v>
      </c>
      <c r="E1775" s="26" t="s">
        <v>349</v>
      </c>
      <c r="F1775" s="25" t="s">
        <v>200</v>
      </c>
      <c r="G1775" s="28">
        <v>470000.0</v>
      </c>
      <c r="H1775" s="28">
        <v>599.0</v>
      </c>
      <c r="I1775" s="28">
        <v>307.0</v>
      </c>
      <c r="J1775" s="28">
        <v>3683.0</v>
      </c>
      <c r="K1775" s="25" t="s">
        <v>36</v>
      </c>
      <c r="L1775" s="26">
        <v>2.0</v>
      </c>
      <c r="M1775" s="26">
        <v>2.0</v>
      </c>
      <c r="N1775" s="26">
        <v>1.0</v>
      </c>
      <c r="O1775" s="30"/>
      <c r="P1775" s="26">
        <v>784.0</v>
      </c>
      <c r="Q1775" s="35">
        <v>153.0</v>
      </c>
      <c r="R1775" s="32">
        <v>45712.0</v>
      </c>
      <c r="S1775" s="32">
        <v>45709.0</v>
      </c>
      <c r="T1775" s="29"/>
      <c r="U1775" s="33"/>
      <c r="V1775" s="1"/>
    </row>
    <row r="1776" ht="24.0" customHeight="1">
      <c r="A1776" s="1"/>
      <c r="B1776" s="24" t="str">
        <f>HYPERLINK("https://www.compass.com/listing/110-45-71st-road-queens-ny-11375/1581356438604975249/view?agent_id=610d3f3370540700019b0833","110-45 71st Rd")</f>
        <v>110-45 71st Rd</v>
      </c>
      <c r="C1776" s="25" t="s">
        <v>22</v>
      </c>
      <c r="D1776" s="26" t="s">
        <v>23</v>
      </c>
      <c r="E1776" s="27" t="str">
        <f>HYPERLINK("https://www.compass.com/building/110-45-71st-rd-queens-ny-11375/293528559450903493/","110-45 71st Rd")</f>
        <v>110-45 71st Rd</v>
      </c>
      <c r="F1776" s="25" t="s">
        <v>83</v>
      </c>
      <c r="G1776" s="28">
        <v>320000.0</v>
      </c>
      <c r="H1776" s="29"/>
      <c r="I1776" s="28">
        <v>798.0</v>
      </c>
      <c r="J1776" s="28">
        <v>0.0</v>
      </c>
      <c r="K1776" s="25" t="s">
        <v>156</v>
      </c>
      <c r="L1776" s="26">
        <v>4.0</v>
      </c>
      <c r="M1776" s="26">
        <v>2.0</v>
      </c>
      <c r="N1776" s="26">
        <v>1.0</v>
      </c>
      <c r="O1776" s="30"/>
      <c r="P1776" s="30"/>
      <c r="Q1776" s="35">
        <v>429.0</v>
      </c>
      <c r="R1776" s="32">
        <v>45433.0</v>
      </c>
      <c r="S1776" s="32">
        <v>45433.0</v>
      </c>
      <c r="T1776" s="29"/>
      <c r="U1776" s="33"/>
      <c r="V1776" s="1"/>
    </row>
    <row r="1777" ht="24.0" customHeight="1">
      <c r="A1777" s="1"/>
      <c r="B1777" s="24" t="str">
        <f>HYPERLINK("https://www.compass.com/listing/35-seacoast-terrace-unit-20a-brooklyn-ny-11235/1648099354531949993/view?agent_id=610d3f3370540700019b0833","35 Seacoast Ter, Unit 20A")</f>
        <v>35 Seacoast Ter, Unit 20A</v>
      </c>
      <c r="C1777" s="25" t="s">
        <v>22</v>
      </c>
      <c r="D1777" s="26" t="s">
        <v>23</v>
      </c>
      <c r="E1777" s="27" t="str">
        <f>HYPERLINK("https://www.compass.com/building/seacoast-towers-brooklyn-ny/307454594850262149/","Seacoast Towers")</f>
        <v>Seacoast Towers</v>
      </c>
      <c r="F1777" s="25" t="s">
        <v>74</v>
      </c>
      <c r="G1777" s="28">
        <v>604450.0</v>
      </c>
      <c r="H1777" s="28">
        <v>636.0</v>
      </c>
      <c r="I1777" s="28">
        <v>1320.0</v>
      </c>
      <c r="J1777" s="29"/>
      <c r="K1777" s="25" t="s">
        <v>25</v>
      </c>
      <c r="L1777" s="26">
        <v>4.0</v>
      </c>
      <c r="M1777" s="26">
        <v>2.0</v>
      </c>
      <c r="N1777" s="26">
        <v>0.0</v>
      </c>
      <c r="O1777" s="30"/>
      <c r="P1777" s="26">
        <v>950.0</v>
      </c>
      <c r="Q1777" s="35">
        <v>338.0</v>
      </c>
      <c r="R1777" s="32">
        <v>45756.0</v>
      </c>
      <c r="S1777" s="32">
        <v>45525.0</v>
      </c>
      <c r="T1777" s="29"/>
      <c r="U1777" s="33"/>
      <c r="V1777" s="1"/>
    </row>
    <row r="1778" ht="24.0" customHeight="1">
      <c r="A1778" s="1"/>
      <c r="B1778" s="24" t="str">
        <f>HYPERLINK("https://www.compass.com/listing/137-10-franklin-avenue-unit-616-queens-ny-11355/1805998545026866281/view?agent_id=610d3f3370540700019b0833","137-10 Franklin Ave, Unit 616")</f>
        <v>137-10 Franklin Ave, Unit 616</v>
      </c>
      <c r="C1778" s="25" t="s">
        <v>22</v>
      </c>
      <c r="D1778" s="26" t="s">
        <v>23</v>
      </c>
      <c r="E1778" s="27" t="str">
        <f>HYPERLINK("https://www.compass.com/building/137-10-franklin-ave-queens-ny-11355/293532378415062581/","137-10 Franklin Ave")</f>
        <v>137-10 Franklin Ave</v>
      </c>
      <c r="F1778" s="25" t="s">
        <v>185</v>
      </c>
      <c r="G1778" s="28">
        <v>859000.0</v>
      </c>
      <c r="H1778" s="28">
        <v>884.0</v>
      </c>
      <c r="I1778" s="28">
        <v>777.0</v>
      </c>
      <c r="J1778" s="28">
        <v>3851.0</v>
      </c>
      <c r="K1778" s="25" t="s">
        <v>28</v>
      </c>
      <c r="L1778" s="26">
        <v>4.0</v>
      </c>
      <c r="M1778" s="26">
        <v>2.0</v>
      </c>
      <c r="N1778" s="26">
        <v>1.0</v>
      </c>
      <c r="O1778" s="30"/>
      <c r="P1778" s="26">
        <v>972.0</v>
      </c>
      <c r="Q1778" s="35">
        <v>120.0</v>
      </c>
      <c r="R1778" s="32">
        <v>45833.0</v>
      </c>
      <c r="S1778" s="32">
        <v>45743.0</v>
      </c>
      <c r="T1778" s="29"/>
      <c r="U1778" s="33"/>
      <c r="V1778" s="1"/>
    </row>
    <row r="1779" ht="24.0" customHeight="1">
      <c r="A1779" s="1"/>
      <c r="B1779" s="24" t="str">
        <f>HYPERLINK("https://www.compass.com/listing/105-18-metropolitan-avenue-unit-1-queens-ny-11375/1484554248470348665/view?agent_id=610d3f3370540700019b0833","105-18 Metropolitan Ave, Unit 1")</f>
        <v>105-18 Metropolitan Ave, Unit 1</v>
      </c>
      <c r="C1779" s="25" t="s">
        <v>22</v>
      </c>
      <c r="D1779" s="26" t="s">
        <v>23</v>
      </c>
      <c r="E1779" s="27" t="str">
        <f>HYPERLINK("https://www.compass.com/building/105-18-metropolitan-ave-queens-ny-11375/293526743191489813/","105-18 Metropolitan Ave")</f>
        <v>105-18 Metropolitan Ave</v>
      </c>
      <c r="F1779" s="25" t="s">
        <v>83</v>
      </c>
      <c r="G1779" s="28">
        <v>1449000.0</v>
      </c>
      <c r="H1779" s="28">
        <v>805.0</v>
      </c>
      <c r="I1779" s="28">
        <v>540.0</v>
      </c>
      <c r="J1779" s="28">
        <v>6480.0</v>
      </c>
      <c r="K1779" s="25" t="s">
        <v>62</v>
      </c>
      <c r="L1779" s="26">
        <v>4.0</v>
      </c>
      <c r="M1779" s="26">
        <v>2.0</v>
      </c>
      <c r="N1779" s="30"/>
      <c r="O1779" s="30"/>
      <c r="P1779" s="34">
        <v>1800.0</v>
      </c>
      <c r="Q1779" s="35">
        <v>564.0</v>
      </c>
      <c r="R1779" s="32">
        <v>45300.0</v>
      </c>
      <c r="S1779" s="32">
        <v>45299.0</v>
      </c>
      <c r="T1779" s="29"/>
      <c r="U1779" s="33"/>
      <c r="V1779" s="1"/>
    </row>
    <row r="1780" ht="24.0" customHeight="1">
      <c r="A1780" s="1"/>
      <c r="B1780" s="24" t="str">
        <f>HYPERLINK("https://www.compass.com/listing/111-56-145th-street-queens-ny-11435/1783418891489445673/view?agent_id=610d3f3370540700019b0833","111-56 145th St")</f>
        <v>111-56 145th St</v>
      </c>
      <c r="C1780" s="25" t="s">
        <v>22</v>
      </c>
      <c r="D1780" s="26" t="s">
        <v>23</v>
      </c>
      <c r="E1780" s="27" t="str">
        <f>HYPERLINK("https://www.compass.com/building/111-56-145th-st-queens-ny-11435/293417731854704773/","111-56 145th St")</f>
        <v>111-56 145th St</v>
      </c>
      <c r="F1780" s="25" t="s">
        <v>200</v>
      </c>
      <c r="G1780" s="28">
        <v>470000.0</v>
      </c>
      <c r="H1780" s="28">
        <v>599.0</v>
      </c>
      <c r="I1780" s="28">
        <v>307.0</v>
      </c>
      <c r="J1780" s="28">
        <v>3683.0</v>
      </c>
      <c r="K1780" s="25" t="s">
        <v>36</v>
      </c>
      <c r="L1780" s="26">
        <v>0.0</v>
      </c>
      <c r="M1780" s="26">
        <v>2.0</v>
      </c>
      <c r="N1780" s="30"/>
      <c r="O1780" s="30"/>
      <c r="P1780" s="26">
        <v>784.0</v>
      </c>
      <c r="Q1780" s="35">
        <v>151.0</v>
      </c>
      <c r="R1780" s="32">
        <v>45863.0</v>
      </c>
      <c r="S1780" s="32">
        <v>45712.0</v>
      </c>
      <c r="T1780" s="29"/>
      <c r="U1780" s="33"/>
      <c r="V1780" s="1"/>
    </row>
    <row r="1781" ht="24.0" customHeight="1">
      <c r="A1781" s="1"/>
      <c r="B1781" s="24" t="str">
        <f>HYPERLINK("https://www.compass.com/listing/35-seacoast-terrace-unit-18v-brooklyn-ny-11235/1769011574014955457/view?agent_id=610d3f3370540700019b0833","35 Seacoast Ter, Unit 18V")</f>
        <v>35 Seacoast Ter, Unit 18V</v>
      </c>
      <c r="C1781" s="25" t="s">
        <v>22</v>
      </c>
      <c r="D1781" s="26" t="s">
        <v>23</v>
      </c>
      <c r="E1781" s="27" t="str">
        <f>HYPERLINK("https://www.compass.com/building/seacoast-towers-brooklyn-ny/307454594850262149/","Seacoast Towers")</f>
        <v>Seacoast Towers</v>
      </c>
      <c r="F1781" s="25" t="s">
        <v>74</v>
      </c>
      <c r="G1781" s="28">
        <v>549000.0</v>
      </c>
      <c r="H1781" s="28">
        <v>549.0</v>
      </c>
      <c r="I1781" s="28">
        <v>1129.0</v>
      </c>
      <c r="J1781" s="28">
        <v>0.0</v>
      </c>
      <c r="K1781" s="25" t="s">
        <v>25</v>
      </c>
      <c r="L1781" s="26">
        <v>4.0</v>
      </c>
      <c r="M1781" s="26">
        <v>2.0</v>
      </c>
      <c r="N1781" s="26">
        <v>1.0</v>
      </c>
      <c r="O1781" s="30"/>
      <c r="P1781" s="34">
        <v>1000.0</v>
      </c>
      <c r="Q1781" s="35">
        <v>170.0</v>
      </c>
      <c r="R1781" s="32">
        <v>45692.0</v>
      </c>
      <c r="S1781" s="32">
        <v>45692.0</v>
      </c>
      <c r="T1781" s="29"/>
      <c r="U1781" s="33"/>
      <c r="V1781" s="1"/>
    </row>
    <row r="1782" ht="24.0" customHeight="1">
      <c r="A1782" s="1"/>
      <c r="B1782" s="24" t="str">
        <f>HYPERLINK("https://www.compass.com/listing/1120-1130-brighton-beach-avenue-unit-5x-brooklyn-ny-11235/1516775424551709137/view?agent_id=610d3f3370540700019b0833","1120-1130 Brighton Beach Ave, Unit 5X")</f>
        <v>1120-1130 Brighton Beach Ave, Unit 5X</v>
      </c>
      <c r="C1782" s="25" t="s">
        <v>22</v>
      </c>
      <c r="D1782" s="26" t="s">
        <v>23</v>
      </c>
      <c r="E1782" s="27" t="str">
        <f>HYPERLINK("https://www.compass.com/building/1120-1130-brighton-beach-ave-brooklyn-ny-11235/405241647714154149/","1120-1130 Brighton Beach Ave")</f>
        <v>1120-1130 Brighton Beach Ave</v>
      </c>
      <c r="F1782" s="25" t="s">
        <v>74</v>
      </c>
      <c r="G1782" s="28">
        <v>598000.0</v>
      </c>
      <c r="H1782" s="28">
        <v>605.0</v>
      </c>
      <c r="I1782" s="28">
        <v>720.0</v>
      </c>
      <c r="J1782" s="29"/>
      <c r="K1782" s="25" t="s">
        <v>25</v>
      </c>
      <c r="L1782" s="26">
        <v>4.0</v>
      </c>
      <c r="M1782" s="26">
        <v>2.0</v>
      </c>
      <c r="N1782" s="30"/>
      <c r="O1782" s="30"/>
      <c r="P1782" s="26">
        <v>989.0</v>
      </c>
      <c r="Q1782" s="35">
        <v>317.0</v>
      </c>
      <c r="R1782" s="32">
        <v>45863.0</v>
      </c>
      <c r="S1782" s="32">
        <v>45546.0</v>
      </c>
      <c r="T1782" s="29"/>
      <c r="U1782" s="33"/>
      <c r="V1782" s="1"/>
    </row>
    <row r="1783" ht="24.0" customHeight="1">
      <c r="A1783" s="1"/>
      <c r="B1783" s="24" t="str">
        <f>HYPERLINK("https://www.compass.com/listing/134-43-maple-avenue-unit-4d-queens-ny-11355/1648611409852541513/view?agent_id=610d3f3370540700019b0833","134-43 Maple Ave, Unit 4D")</f>
        <v>134-43 Maple Ave, Unit 4D</v>
      </c>
      <c r="C1783" s="25" t="s">
        <v>22</v>
      </c>
      <c r="D1783" s="26" t="s">
        <v>23</v>
      </c>
      <c r="E1783" s="27" t="str">
        <f>HYPERLINK("https://www.compass.com/building/134-43-maple-ave-queens-ny-11355/293530811859302245/","134-43 Maple Ave")</f>
        <v>134-43 Maple Ave</v>
      </c>
      <c r="F1783" s="25" t="s">
        <v>185</v>
      </c>
      <c r="G1783" s="28">
        <v>628000.0</v>
      </c>
      <c r="H1783" s="28">
        <v>911.0</v>
      </c>
      <c r="I1783" s="28">
        <v>1313.0</v>
      </c>
      <c r="J1783" s="28">
        <v>13317.0</v>
      </c>
      <c r="K1783" s="25" t="s">
        <v>28</v>
      </c>
      <c r="L1783" s="26">
        <v>4.0</v>
      </c>
      <c r="M1783" s="26">
        <v>2.0</v>
      </c>
      <c r="N1783" s="26">
        <v>1.0</v>
      </c>
      <c r="O1783" s="30"/>
      <c r="P1783" s="26">
        <v>689.0</v>
      </c>
      <c r="Q1783" s="35">
        <v>323.0</v>
      </c>
      <c r="R1783" s="32">
        <v>45860.0</v>
      </c>
      <c r="S1783" s="32">
        <v>45540.0</v>
      </c>
      <c r="T1783" s="29"/>
      <c r="U1783" s="33"/>
      <c r="V1783" s="1"/>
    </row>
    <row r="1784" ht="24.0" customHeight="1">
      <c r="A1784" s="1"/>
      <c r="B1784" s="24" t="str">
        <f>HYPERLINK("https://www.compass.com/listing/1311-brightwater-avenue-unit-15c-brooklyn-ny-11235/1471923546224846289/view?agent_id=610d3f3370540700019b0833","1311 Brightwater Ave, Unit 15C")</f>
        <v>1311 Brightwater Ave, Unit 15C</v>
      </c>
      <c r="C1784" s="25" t="s">
        <v>22</v>
      </c>
      <c r="D1784" s="26" t="s">
        <v>23</v>
      </c>
      <c r="E1784" s="27" t="str">
        <f>HYPERLINK("https://www.compass.com/building/1311-brightwater-ave-brooklyn-ny-11235/293534117566366885/","1311 Brightwater Ave")</f>
        <v>1311 Brightwater Ave</v>
      </c>
      <c r="F1784" s="25" t="s">
        <v>74</v>
      </c>
      <c r="G1784" s="28">
        <v>799000.0</v>
      </c>
      <c r="H1784" s="28">
        <v>639.0</v>
      </c>
      <c r="I1784" s="28">
        <v>998.0</v>
      </c>
      <c r="J1784" s="29"/>
      <c r="K1784" s="25" t="s">
        <v>25</v>
      </c>
      <c r="L1784" s="26">
        <v>4.0</v>
      </c>
      <c r="M1784" s="26">
        <v>2.0</v>
      </c>
      <c r="N1784" s="26">
        <v>1.0</v>
      </c>
      <c r="O1784" s="30"/>
      <c r="P1784" s="34">
        <v>1250.0</v>
      </c>
      <c r="Q1784" s="35">
        <v>559.0</v>
      </c>
      <c r="R1784" s="32">
        <v>45638.0</v>
      </c>
      <c r="S1784" s="32">
        <v>45304.0</v>
      </c>
      <c r="T1784" s="29"/>
      <c r="U1784" s="33"/>
      <c r="V1784" s="1"/>
    </row>
    <row r="1785" ht="24.0" customHeight="1">
      <c r="A1785" s="1"/>
      <c r="B1785" s="24" t="str">
        <f>HYPERLINK("https://www.compass.com/listing/131-11-fowler-avenue-unit-i-queens-ny-11355/1497676968458348401/view?agent_id=610d3f3370540700019b0833","131-11 Fowler Ave, Unit I")</f>
        <v>131-11 Fowler Ave, Unit I</v>
      </c>
      <c r="C1785" s="25" t="s">
        <v>22</v>
      </c>
      <c r="D1785" s="26" t="s">
        <v>23</v>
      </c>
      <c r="E1785" s="27" t="str">
        <f>HYPERLINK("https://www.compass.com/building/131-11-fowler-ave-queens-ny-11355/836964903596064821/","131-11 Fowler Ave")</f>
        <v>131-11 Fowler Ave</v>
      </c>
      <c r="F1785" s="25" t="s">
        <v>185</v>
      </c>
      <c r="G1785" s="28">
        <v>796000.0</v>
      </c>
      <c r="H1785" s="28">
        <v>970.0</v>
      </c>
      <c r="I1785" s="28">
        <v>6771.0</v>
      </c>
      <c r="J1785" s="28">
        <v>76692.0</v>
      </c>
      <c r="K1785" s="25" t="s">
        <v>28</v>
      </c>
      <c r="L1785" s="26">
        <v>5.0</v>
      </c>
      <c r="M1785" s="26">
        <v>2.0</v>
      </c>
      <c r="N1785" s="30"/>
      <c r="O1785" s="30"/>
      <c r="P1785" s="26">
        <v>821.0</v>
      </c>
      <c r="Q1785" s="35">
        <v>498.0</v>
      </c>
      <c r="R1785" s="32">
        <v>45498.0</v>
      </c>
      <c r="S1785" s="32">
        <v>45317.0</v>
      </c>
      <c r="T1785" s="29"/>
      <c r="U1785" s="33"/>
      <c r="V1785" s="1"/>
    </row>
    <row r="1786" ht="24.0" customHeight="1">
      <c r="A1786" s="3"/>
      <c r="B1786" s="37" t="s">
        <v>350</v>
      </c>
      <c r="C1786" s="38"/>
      <c r="D1786" s="39"/>
      <c r="E1786" s="39"/>
      <c r="F1786" s="38"/>
      <c r="G1786" s="40">
        <f>IFERROR(__xludf.DUMMYFUNCTION("TO_DOLLARS(IFERROR(AVERAGE(G7:G1785)))"),628855.815064643)</f>
        <v>628855.8151</v>
      </c>
      <c r="H1786" s="40">
        <f>IFERROR(__xludf.DUMMYFUNCTION("TO_DOLLARS(IFERROR(AVERAGE(H7:H1785)))"),641.2626188734455)</f>
        <v>641.2626189</v>
      </c>
      <c r="I1786" s="40">
        <f>IFERROR(__xludf.DUMMYFUNCTION("TO_DOLLARS(IFERROR(AVERAGE(I7:I1785)))"),1343.008431703204)</f>
        <v>1343.008432</v>
      </c>
      <c r="J1786" s="40">
        <f>IFERROR(__xludf.DUMMYFUNCTION("TO_DOLLARS(IFERROR(AVERAGE(J7:J1785)))"),3413.2645547945203)</f>
        <v>3413.264555</v>
      </c>
      <c r="K1786" s="38"/>
      <c r="L1786" s="39"/>
      <c r="M1786" s="39"/>
      <c r="N1786" s="39"/>
      <c r="O1786" s="39"/>
      <c r="P1786" s="39">
        <f t="shared" ref="P1786:Q1786" si="17">IFERROR(AVERAGE(P7:P1785),"")</f>
        <v>921.6083275</v>
      </c>
      <c r="Q1786" s="41">
        <f t="shared" si="17"/>
        <v>139.121506</v>
      </c>
      <c r="R1786" s="42"/>
      <c r="S1786" s="42"/>
      <c r="T1786" s="40" t="str">
        <f>IFERROR(__xludf.DUMMYFUNCTION("TO_DOLLARS(IFERROR(AVERAGE(T7:T1785)))"),"")</f>
        <v/>
      </c>
      <c r="U1786" s="42"/>
      <c r="V1786" s="1"/>
    </row>
    <row r="1787" ht="24.0" customHeight="1">
      <c r="A1787" s="3"/>
      <c r="B1787" s="43" t="s">
        <v>351</v>
      </c>
      <c r="C1787" s="44"/>
      <c r="D1787" s="45"/>
      <c r="E1787" s="45"/>
      <c r="F1787" s="44"/>
      <c r="G1787" s="46">
        <f>IFERROR(__xludf.DUMMYFUNCTION("TO_DOLLARS(IFERROR(MEDIAN(G7:G1785)))"),488000.0)</f>
        <v>488000</v>
      </c>
      <c r="H1787" s="46">
        <f>IFERROR(__xludf.DUMMYFUNCTION("TO_DOLLARS(IFERROR(MEDIAN(H7:H1785)))"),497.0)</f>
        <v>497</v>
      </c>
      <c r="I1787" s="46">
        <f>IFERROR(__xludf.DUMMYFUNCTION("TO_DOLLARS(IFERROR(MEDIAN(I7:I1785)))"),1126.0)</f>
        <v>1126</v>
      </c>
      <c r="J1787" s="46">
        <f>IFERROR(__xludf.DUMMYFUNCTION("TO_DOLLARS(IFERROR(MEDIAN(J7:J1785)))"),0.0)</f>
        <v>0</v>
      </c>
      <c r="K1787" s="44"/>
      <c r="L1787" s="45"/>
      <c r="M1787" s="45"/>
      <c r="N1787" s="45"/>
      <c r="O1787" s="45"/>
      <c r="P1787" s="45">
        <f t="shared" ref="P1787:Q1787" si="18">IFERROR(MEDIAN(P7:P1785),"")</f>
        <v>900</v>
      </c>
      <c r="Q1787" s="47">
        <f t="shared" si="18"/>
        <v>81</v>
      </c>
      <c r="R1787" s="48"/>
      <c r="S1787" s="48"/>
      <c r="T1787" s="46" t="str">
        <f>IFERROR(__xludf.DUMMYFUNCTION("TO_DOLLARS(IFERROR(MEDIAN(T7:T1785)))"),"")</f>
        <v/>
      </c>
      <c r="U1787" s="48"/>
      <c r="V1787" s="1"/>
    </row>
    <row r="1788">
      <c r="A1788" s="1"/>
      <c r="B1788" s="2"/>
      <c r="C1788" s="2"/>
      <c r="D1788" s="2"/>
      <c r="E1788" s="2"/>
      <c r="F1788" s="2"/>
      <c r="G1788" s="2"/>
      <c r="H1788" s="2"/>
      <c r="I1788" s="2"/>
      <c r="J1788" s="2"/>
      <c r="K1788" s="2"/>
      <c r="L1788" s="2"/>
      <c r="M1788" s="2"/>
      <c r="N1788" s="2"/>
      <c r="O1788" s="2"/>
      <c r="P1788" s="2"/>
      <c r="Q1788" s="2"/>
      <c r="R1788" s="2"/>
      <c r="S1788" s="2"/>
      <c r="T1788" s="2"/>
      <c r="U1788" s="2"/>
      <c r="V1788" s="1"/>
    </row>
    <row r="1789" ht="24.0" customHeight="1">
      <c r="A1789" s="3"/>
      <c r="B1789" s="10" t="s">
        <v>352</v>
      </c>
      <c r="C1789" s="5"/>
      <c r="D1789" s="5"/>
      <c r="E1789" s="5"/>
      <c r="F1789" s="5"/>
      <c r="G1789" s="5"/>
      <c r="H1789" s="5"/>
      <c r="I1789" s="5"/>
      <c r="J1789" s="5"/>
      <c r="K1789" s="5"/>
      <c r="L1789" s="5"/>
      <c r="M1789" s="5"/>
      <c r="N1789" s="5"/>
      <c r="O1789" s="5"/>
      <c r="P1789" s="5"/>
      <c r="Q1789" s="5"/>
      <c r="R1789" s="5"/>
      <c r="S1789" s="5"/>
      <c r="T1789" s="5"/>
      <c r="U1789" s="6"/>
      <c r="V1789" s="1"/>
    </row>
    <row r="1790" ht="24.0" customHeight="1">
      <c r="A1790" s="3"/>
      <c r="B1790" s="11" t="s">
        <v>2</v>
      </c>
      <c r="C1790" s="11" t="s">
        <v>3</v>
      </c>
      <c r="D1790" s="12" t="s">
        <v>4</v>
      </c>
      <c r="E1790" s="12" t="s">
        <v>5</v>
      </c>
      <c r="F1790" s="11" t="s">
        <v>6</v>
      </c>
      <c r="G1790" s="13" t="s">
        <v>7</v>
      </c>
      <c r="H1790" s="13" t="s">
        <v>8</v>
      </c>
      <c r="I1790" s="13" t="s">
        <v>9</v>
      </c>
      <c r="J1790" s="13" t="s">
        <v>10</v>
      </c>
      <c r="K1790" s="11" t="s">
        <v>11</v>
      </c>
      <c r="L1790" s="12" t="s">
        <v>12</v>
      </c>
      <c r="M1790" s="12" t="s">
        <v>13</v>
      </c>
      <c r="N1790" s="12" t="s">
        <v>14</v>
      </c>
      <c r="O1790" s="12" t="s">
        <v>15</v>
      </c>
      <c r="P1790" s="12" t="s">
        <v>16</v>
      </c>
      <c r="Q1790" s="13" t="s">
        <v>17</v>
      </c>
      <c r="R1790" s="11" t="s">
        <v>18</v>
      </c>
      <c r="S1790" s="11" t="s">
        <v>19</v>
      </c>
      <c r="T1790" s="13" t="s">
        <v>20</v>
      </c>
      <c r="U1790" s="11" t="s">
        <v>21</v>
      </c>
      <c r="V1790" s="1"/>
    </row>
    <row r="1791" ht="24.0" customHeight="1">
      <c r="A1791" s="1"/>
      <c r="B1791" s="14" t="str">
        <f>HYPERLINK("https://www.compass.com/listing/121-prince-street-unit-2-west-manhattan-ny-10012/1758963646626069401/view?agent_id=610d3f3370540700019b0833","121 Prince St, Unit 2 West")</f>
        <v>121 Prince St, Unit 2 West</v>
      </c>
      <c r="C1791" s="15" t="s">
        <v>353</v>
      </c>
      <c r="D1791" s="16" t="s">
        <v>23</v>
      </c>
      <c r="E1791" s="17" t="str">
        <f>HYPERLINK("https://www.compass.com/building/121-prince-st-manhattan-ny-10012/989001125529590757/","121 Prince St")</f>
        <v>121 Prince St</v>
      </c>
      <c r="F1791" s="15" t="s">
        <v>53</v>
      </c>
      <c r="G1791" s="18">
        <v>3950000.0</v>
      </c>
      <c r="H1791" s="18">
        <v>1580.0</v>
      </c>
      <c r="I1791" s="18">
        <v>3600.0</v>
      </c>
      <c r="J1791" s="18">
        <v>0.0</v>
      </c>
      <c r="K1791" s="15" t="s">
        <v>25</v>
      </c>
      <c r="L1791" s="16">
        <v>5.0</v>
      </c>
      <c r="M1791" s="16">
        <v>2.0</v>
      </c>
      <c r="N1791" s="16">
        <v>1.0</v>
      </c>
      <c r="O1791" s="16">
        <v>0.0</v>
      </c>
      <c r="P1791" s="49">
        <v>2500.0</v>
      </c>
      <c r="Q1791" s="21"/>
      <c r="R1791" s="22">
        <v>45805.0</v>
      </c>
      <c r="S1791" s="23"/>
      <c r="T1791" s="19"/>
      <c r="U1791" s="23"/>
      <c r="V1791" s="1"/>
    </row>
    <row r="1792" ht="24.0" customHeight="1">
      <c r="A1792" s="1"/>
      <c r="B1792" s="24" t="str">
        <f>HYPERLINK("https://www.compass.com/listing/782-west-end-avenue-unit-82-manhattan-ny-10025/1870592187645284777/view?agent_id=610d3f3370540700019b0833","782 West End Ave, Unit 82")</f>
        <v>782 West End Ave, Unit 82</v>
      </c>
      <c r="C1792" s="25" t="s">
        <v>353</v>
      </c>
      <c r="D1792" s="26" t="s">
        <v>23</v>
      </c>
      <c r="E1792" s="27" t="str">
        <f>HYPERLINK("https://www.compass.com/building/782-west-end-ave-manhattan-ny-10025/281926004279125237/","782 West End Ave")</f>
        <v>782 West End Ave</v>
      </c>
      <c r="F1792" s="25" t="s">
        <v>29</v>
      </c>
      <c r="G1792" s="28">
        <v>995000.0</v>
      </c>
      <c r="H1792" s="29"/>
      <c r="I1792" s="28">
        <v>1750.0</v>
      </c>
      <c r="J1792" s="28">
        <v>0.0</v>
      </c>
      <c r="K1792" s="25" t="s">
        <v>25</v>
      </c>
      <c r="L1792" s="26">
        <v>5.0</v>
      </c>
      <c r="M1792" s="26">
        <v>2.0</v>
      </c>
      <c r="N1792" s="26">
        <v>1.0</v>
      </c>
      <c r="O1792" s="26">
        <v>0.0</v>
      </c>
      <c r="P1792" s="30"/>
      <c r="Q1792" s="31"/>
      <c r="R1792" s="32">
        <v>45855.0</v>
      </c>
      <c r="S1792" s="33"/>
      <c r="T1792" s="29"/>
      <c r="U1792" s="33"/>
      <c r="V1792" s="1"/>
    </row>
    <row r="1793" ht="24.0" customHeight="1">
      <c r="A1793" s="1"/>
      <c r="B1793" s="24" t="str">
        <f>HYPERLINK("https://www.compass.com/listing/677-west-end-avenue-unit-15a-manhattan-ny-10025/1890878176041090737/view?agent_id=610d3f3370540700019b0833","677 West End Ave, Unit 15A")</f>
        <v>677 West End Ave, Unit 15A</v>
      </c>
      <c r="C1793" s="25" t="s">
        <v>353</v>
      </c>
      <c r="D1793" s="26" t="s">
        <v>23</v>
      </c>
      <c r="E1793" s="27" t="str">
        <f>HYPERLINK("https://www.compass.com/building/677-west-end-ave-manhattan-ny-10025/281972922896177957/","677 West End Ave")</f>
        <v>677 West End Ave</v>
      </c>
      <c r="F1793" s="25" t="s">
        <v>29</v>
      </c>
      <c r="G1793" s="28">
        <v>1245000.0</v>
      </c>
      <c r="H1793" s="29"/>
      <c r="I1793" s="28">
        <v>2599.0</v>
      </c>
      <c r="J1793" s="28">
        <v>0.0</v>
      </c>
      <c r="K1793" s="25" t="s">
        <v>25</v>
      </c>
      <c r="L1793" s="26">
        <v>4.0</v>
      </c>
      <c r="M1793" s="26">
        <v>2.0</v>
      </c>
      <c r="N1793" s="26">
        <v>1.0</v>
      </c>
      <c r="O1793" s="30"/>
      <c r="P1793" s="30"/>
      <c r="Q1793" s="35">
        <v>0.0</v>
      </c>
      <c r="R1793" s="32">
        <v>45860.0</v>
      </c>
      <c r="S1793" s="32">
        <v>45860.0</v>
      </c>
      <c r="T1793" s="29"/>
      <c r="U1793" s="33"/>
      <c r="V1793" s="1"/>
    </row>
    <row r="1794" ht="24.0" customHeight="1">
      <c r="A1794" s="1"/>
      <c r="B1794" s="24" t="str">
        <f>HYPERLINK("https://www.compass.com/listing/702-hancock-street-unit-3a-brooklyn-ny-11233/1887185088365540793/view?agent_id=610d3f3370540700019b0833","702 Hancock St, Unit 3A")</f>
        <v>702 Hancock St, Unit 3A</v>
      </c>
      <c r="C1794" s="25" t="s">
        <v>353</v>
      </c>
      <c r="D1794" s="26" t="s">
        <v>23</v>
      </c>
      <c r="E1794" s="27" t="str">
        <f>HYPERLINK("https://www.compass.com/building/702-hancock-st-brooklyn-ny-11233/293533814049759589/","702 Hancock St")</f>
        <v>702 Hancock St</v>
      </c>
      <c r="F1794" s="25" t="s">
        <v>51</v>
      </c>
      <c r="G1794" s="28">
        <v>825000.0</v>
      </c>
      <c r="H1794" s="28">
        <v>1070.0</v>
      </c>
      <c r="I1794" s="28">
        <v>347.0</v>
      </c>
      <c r="J1794" s="28">
        <v>807.0</v>
      </c>
      <c r="K1794" s="25" t="s">
        <v>28</v>
      </c>
      <c r="L1794" s="26">
        <v>5.0</v>
      </c>
      <c r="M1794" s="26">
        <v>2.0</v>
      </c>
      <c r="N1794" s="26">
        <v>1.0</v>
      </c>
      <c r="O1794" s="30"/>
      <c r="P1794" s="26">
        <v>771.0</v>
      </c>
      <c r="Q1794" s="35">
        <v>0.0</v>
      </c>
      <c r="R1794" s="32">
        <v>45855.0</v>
      </c>
      <c r="S1794" s="32">
        <v>45855.0</v>
      </c>
      <c r="T1794" s="29"/>
      <c r="U1794" s="33"/>
      <c r="V1794" s="1"/>
    </row>
    <row r="1795" ht="24.0" customHeight="1">
      <c r="A1795" s="1"/>
      <c r="B1795" s="24" t="str">
        <f>HYPERLINK("https://www.compass.com/listing/250-mercer-street-unit-c302-manhattan-ny-10012/1864687935835599977/view?agent_id=610d3f3370540700019b0833","250 Mercer St, Unit C302")</f>
        <v>250 Mercer St, Unit C302</v>
      </c>
      <c r="C1795" s="25" t="s">
        <v>353</v>
      </c>
      <c r="D1795" s="26" t="s">
        <v>23</v>
      </c>
      <c r="E1795" s="27" t="str">
        <f>HYPERLINK("https://www.compass.com/building/mercer-square-owners-corp-manhattan-ny/281913053375656181/","Mercer Square Owners Corp")</f>
        <v>Mercer Square Owners Corp</v>
      </c>
      <c r="F1795" s="25" t="s">
        <v>43</v>
      </c>
      <c r="G1795" s="28">
        <v>1990000.0</v>
      </c>
      <c r="H1795" s="28">
        <v>1169.0</v>
      </c>
      <c r="I1795" s="28">
        <v>3096.0</v>
      </c>
      <c r="J1795" s="28">
        <v>0.0</v>
      </c>
      <c r="K1795" s="25" t="s">
        <v>25</v>
      </c>
      <c r="L1795" s="26">
        <v>4.0</v>
      </c>
      <c r="M1795" s="26">
        <v>2.0</v>
      </c>
      <c r="N1795" s="26">
        <v>1.0</v>
      </c>
      <c r="O1795" s="30"/>
      <c r="P1795" s="34">
        <v>1702.0</v>
      </c>
      <c r="Q1795" s="35">
        <v>24.0</v>
      </c>
      <c r="R1795" s="32">
        <v>45849.0</v>
      </c>
      <c r="S1795" s="32">
        <v>45824.0</v>
      </c>
      <c r="T1795" s="29"/>
      <c r="U1795" s="33"/>
      <c r="V1795" s="1"/>
    </row>
    <row r="1796" ht="24.0" customHeight="1">
      <c r="A1796" s="1"/>
      <c r="B1796" s="24" t="str">
        <f>HYPERLINK("https://www.compass.com/listing/39-1-2-washington-square-south-unit-9-manhattan-ny-10012/1809519579290035793/view?agent_id=610d3f3370540700019b0833","39 1/2 Washington Square S, Unit 9")</f>
        <v>39 1/2 Washington Square S, Unit 9</v>
      </c>
      <c r="C1796" s="25" t="s">
        <v>353</v>
      </c>
      <c r="D1796" s="26" t="s">
        <v>23</v>
      </c>
      <c r="E1796" s="27" t="str">
        <f>HYPERLINK("https://www.compass.com/building/39-1-2-washington-square-s-manhattan-ny-10012/567444506100370533/","39 1/2 Washington Square S")</f>
        <v>39 1/2 Washington Square S</v>
      </c>
      <c r="F1796" s="25" t="s">
        <v>43</v>
      </c>
      <c r="G1796" s="28">
        <v>2295000.0</v>
      </c>
      <c r="H1796" s="28">
        <v>1638.0</v>
      </c>
      <c r="I1796" s="28">
        <v>1899.0</v>
      </c>
      <c r="J1796" s="28">
        <v>0.0</v>
      </c>
      <c r="K1796" s="25" t="s">
        <v>25</v>
      </c>
      <c r="L1796" s="26">
        <v>6.0</v>
      </c>
      <c r="M1796" s="26">
        <v>2.0</v>
      </c>
      <c r="N1796" s="26">
        <v>1.0</v>
      </c>
      <c r="O1796" s="30"/>
      <c r="P1796" s="34">
        <v>1401.0</v>
      </c>
      <c r="Q1796" s="35">
        <v>62.0</v>
      </c>
      <c r="R1796" s="32">
        <v>45834.0</v>
      </c>
      <c r="S1796" s="32">
        <v>45772.0</v>
      </c>
      <c r="T1796" s="29"/>
      <c r="U1796" s="33"/>
      <c r="V1796" s="1"/>
    </row>
    <row r="1797" ht="24.0" customHeight="1">
      <c r="A1797" s="1"/>
      <c r="B1797" s="24" t="str">
        <f>HYPERLINK("https://www.compass.com/listing/23-east-10th-street-unit-815-manhattan-ny-10003/1836549499069597785/view?agent_id=610d3f3370540700019b0833","23 E 10th St, Unit 815")</f>
        <v>23 E 10th St, Unit 815</v>
      </c>
      <c r="C1797" s="25" t="s">
        <v>353</v>
      </c>
      <c r="D1797" s="26" t="s">
        <v>23</v>
      </c>
      <c r="E1797" s="27" t="str">
        <f>HYPERLINK("https://www.compass.com/building/the-albert-manhattan-ny/292786710872340549/","The Albert")</f>
        <v>The Albert</v>
      </c>
      <c r="F1797" s="25" t="s">
        <v>43</v>
      </c>
      <c r="G1797" s="28">
        <v>1250000.0</v>
      </c>
      <c r="H1797" s="29"/>
      <c r="I1797" s="28">
        <v>2783.0</v>
      </c>
      <c r="J1797" s="28">
        <v>0.0</v>
      </c>
      <c r="K1797" s="25" t="s">
        <v>25</v>
      </c>
      <c r="L1797" s="26">
        <v>4.0</v>
      </c>
      <c r="M1797" s="26">
        <v>2.0</v>
      </c>
      <c r="N1797" s="26">
        <v>1.0</v>
      </c>
      <c r="O1797" s="30"/>
      <c r="P1797" s="30"/>
      <c r="Q1797" s="35">
        <v>60.0</v>
      </c>
      <c r="R1797" s="32">
        <v>45855.0</v>
      </c>
      <c r="S1797" s="32">
        <v>45795.0</v>
      </c>
      <c r="T1797" s="29"/>
      <c r="U1797" s="33"/>
      <c r="V1797" s="1"/>
    </row>
    <row r="1798" ht="24.0" customHeight="1">
      <c r="A1798" s="1"/>
      <c r="B1798" s="24" t="str">
        <f>HYPERLINK("https://www.compass.com/listing/193-clinton-avenue-unit-9d-brooklyn-ny-11205/1866822780469063073/view?agent_id=610d3f3370540700019b0833","193 Clinton Ave, Unit 9D")</f>
        <v>193 Clinton Ave, Unit 9D</v>
      </c>
      <c r="C1798" s="25" t="s">
        <v>353</v>
      </c>
      <c r="D1798" s="26" t="s">
        <v>23</v>
      </c>
      <c r="E1798" s="27" t="str">
        <f>HYPERLINK("https://www.compass.com/building/193-clinton-ave-brooklyn-ny-11205/298444871479902885/","193 Clinton Ave")</f>
        <v>193 Clinton Ave</v>
      </c>
      <c r="F1798" s="25" t="s">
        <v>30</v>
      </c>
      <c r="G1798" s="28">
        <v>820000.0</v>
      </c>
      <c r="H1798" s="29"/>
      <c r="I1798" s="28">
        <v>1256.0</v>
      </c>
      <c r="J1798" s="28">
        <v>0.0</v>
      </c>
      <c r="K1798" s="25" t="s">
        <v>25</v>
      </c>
      <c r="L1798" s="26">
        <v>3.0</v>
      </c>
      <c r="M1798" s="26">
        <v>2.0</v>
      </c>
      <c r="N1798" s="26">
        <v>1.0</v>
      </c>
      <c r="O1798" s="30"/>
      <c r="P1798" s="30"/>
      <c r="Q1798" s="35">
        <v>7.0</v>
      </c>
      <c r="R1798" s="32">
        <v>45835.0</v>
      </c>
      <c r="S1798" s="32">
        <v>45827.0</v>
      </c>
      <c r="T1798" s="29"/>
      <c r="U1798" s="33"/>
      <c r="V1798" s="1"/>
    </row>
    <row r="1799" ht="24.0" customHeight="1">
      <c r="A1799" s="1"/>
      <c r="B1799" s="24" t="str">
        <f>HYPERLINK("https://www.compass.com/listing/315-3rd-street-unit-2a-brooklyn-ny-11215/1864934694733914225/view?agent_id=610d3f3370540700019b0833","315 3rd Street, Unit 2A")</f>
        <v>315 3rd Street, Unit 2A</v>
      </c>
      <c r="C1799" s="25" t="s">
        <v>353</v>
      </c>
      <c r="D1799" s="26" t="s">
        <v>23</v>
      </c>
      <c r="E1799" s="27" t="str">
        <f>HYPERLINK("https://www.compass.com/building/315-3rd-st-brooklyn-ny-11215/282500772061589877/","315 3rd St")</f>
        <v>315 3rd St</v>
      </c>
      <c r="F1799" s="25" t="s">
        <v>40</v>
      </c>
      <c r="G1799" s="28">
        <v>1150000.0</v>
      </c>
      <c r="H1799" s="29"/>
      <c r="I1799" s="28">
        <v>676.0</v>
      </c>
      <c r="J1799" s="28">
        <v>0.0</v>
      </c>
      <c r="K1799" s="25" t="s">
        <v>25</v>
      </c>
      <c r="L1799" s="26">
        <v>4.0</v>
      </c>
      <c r="M1799" s="26">
        <v>2.0</v>
      </c>
      <c r="N1799" s="26">
        <v>1.0</v>
      </c>
      <c r="O1799" s="30"/>
      <c r="P1799" s="30"/>
      <c r="Q1799" s="35">
        <v>30.0</v>
      </c>
      <c r="R1799" s="32">
        <v>45855.0</v>
      </c>
      <c r="S1799" s="32">
        <v>45824.0</v>
      </c>
      <c r="T1799" s="29"/>
      <c r="U1799" s="33"/>
      <c r="V1799" s="1"/>
    </row>
    <row r="1800" ht="24.0" customHeight="1">
      <c r="A1800" s="1"/>
      <c r="B1800" s="24" t="str">
        <f>HYPERLINK("https://www.compass.com/listing/162-garfield-place-unit-1l-brooklyn-ny-11215/1855915892769025329/view?agent_id=610d3f3370540700019b0833","162 Garfield Place, Unit 1L")</f>
        <v>162 Garfield Place, Unit 1L</v>
      </c>
      <c r="C1800" s="25" t="s">
        <v>353</v>
      </c>
      <c r="D1800" s="26" t="s">
        <v>23</v>
      </c>
      <c r="E1800" s="27" t="str">
        <f>HYPERLINK("https://www.compass.com/building/162-garfield-pl-brooklyn-ny-11215/282500021021128165/","162 Garfield Pl")</f>
        <v>162 Garfield Pl</v>
      </c>
      <c r="F1800" s="25" t="s">
        <v>40</v>
      </c>
      <c r="G1800" s="28">
        <v>899000.0</v>
      </c>
      <c r="H1800" s="29"/>
      <c r="I1800" s="28">
        <v>800.0</v>
      </c>
      <c r="J1800" s="28">
        <v>0.0</v>
      </c>
      <c r="K1800" s="25" t="s">
        <v>25</v>
      </c>
      <c r="L1800" s="26">
        <v>5.0</v>
      </c>
      <c r="M1800" s="26">
        <v>2.0</v>
      </c>
      <c r="N1800" s="26">
        <v>1.0</v>
      </c>
      <c r="O1800" s="30"/>
      <c r="P1800" s="30"/>
      <c r="Q1800" s="35">
        <v>28.0</v>
      </c>
      <c r="R1800" s="32">
        <v>45840.0</v>
      </c>
      <c r="S1800" s="32">
        <v>45812.0</v>
      </c>
      <c r="T1800" s="29"/>
      <c r="U1800" s="33"/>
      <c r="V1800" s="1"/>
    </row>
    <row r="1801" ht="24.0" customHeight="1">
      <c r="A1801" s="1"/>
      <c r="B1801" s="24" t="str">
        <f>HYPERLINK("https://www.compass.com/listing/80-perry-street-unit-5e-manhattan-ny-10014/1825581788772673289/view?agent_id=610d3f3370540700019b0833","80 Perry Street, Unit 5E")</f>
        <v>80 Perry Street, Unit 5E</v>
      </c>
      <c r="C1801" s="25" t="s">
        <v>353</v>
      </c>
      <c r="D1801" s="26" t="s">
        <v>23</v>
      </c>
      <c r="E1801" s="27" t="str">
        <f>HYPERLINK("https://www.compass.com/building/80-perry-st-manhattan-ny-10014/281922363346424037/","80 Perry St")</f>
        <v>80 Perry St</v>
      </c>
      <c r="F1801" s="25" t="s">
        <v>26</v>
      </c>
      <c r="G1801" s="28">
        <v>1900000.0</v>
      </c>
      <c r="H1801" s="29"/>
      <c r="I1801" s="28">
        <v>1474.0</v>
      </c>
      <c r="J1801" s="28">
        <v>0.0</v>
      </c>
      <c r="K1801" s="25" t="s">
        <v>25</v>
      </c>
      <c r="L1801" s="26">
        <v>6.0</v>
      </c>
      <c r="M1801" s="26">
        <v>2.0</v>
      </c>
      <c r="N1801" s="26">
        <v>1.0</v>
      </c>
      <c r="O1801" s="26">
        <v>0.0</v>
      </c>
      <c r="P1801" s="30"/>
      <c r="Q1801" s="35">
        <v>27.0</v>
      </c>
      <c r="R1801" s="32">
        <v>45798.0</v>
      </c>
      <c r="S1801" s="32">
        <v>45770.0</v>
      </c>
      <c r="T1801" s="29"/>
      <c r="U1801" s="33"/>
      <c r="V1801" s="1"/>
    </row>
    <row r="1802" ht="24.0" customHeight="1">
      <c r="A1802" s="1"/>
      <c r="B1802" s="24" t="str">
        <f>HYPERLINK("https://www.compass.com/listing/35-west-9th-street-unit-4c-manhattan-ny-10011/1826940421398434025/view?agent_id=610d3f3370540700019b0833","35 West 9th Street, Unit 4C")</f>
        <v>35 West 9th Street, Unit 4C</v>
      </c>
      <c r="C1802" s="25" t="s">
        <v>353</v>
      </c>
      <c r="D1802" s="26" t="s">
        <v>23</v>
      </c>
      <c r="E1802" s="27" t="str">
        <f>HYPERLINK("https://www.compass.com/building/35-w-9th-st-manhattan-ny-10011/281909497679602357/","35 W 9th St")</f>
        <v>35 W 9th St</v>
      </c>
      <c r="F1802" s="25" t="s">
        <v>43</v>
      </c>
      <c r="G1802" s="28">
        <v>1850000.0</v>
      </c>
      <c r="H1802" s="29"/>
      <c r="I1802" s="28">
        <v>2882.0</v>
      </c>
      <c r="J1802" s="28">
        <v>0.0</v>
      </c>
      <c r="K1802" s="25" t="s">
        <v>25</v>
      </c>
      <c r="L1802" s="26">
        <v>4.0</v>
      </c>
      <c r="M1802" s="26">
        <v>2.0</v>
      </c>
      <c r="N1802" s="26">
        <v>1.0</v>
      </c>
      <c r="O1802" s="30"/>
      <c r="P1802" s="30"/>
      <c r="Q1802" s="35">
        <v>12.0</v>
      </c>
      <c r="R1802" s="32">
        <v>45784.0</v>
      </c>
      <c r="S1802" s="32">
        <v>45772.0</v>
      </c>
      <c r="T1802" s="29"/>
      <c r="U1802" s="33"/>
      <c r="V1802" s="1"/>
    </row>
    <row r="1803" ht="24.0" customHeight="1">
      <c r="A1803" s="1"/>
      <c r="B1803" s="24" t="str">
        <f>HYPERLINK("https://www.compass.com/listing/23-east-10th-street-unit-5a-manhattan-ny-10003/1562376152257539577/view?agent_id=610d3f3370540700019b0833","23 East 10th Street, Unit 5A")</f>
        <v>23 East 10th Street, Unit 5A</v>
      </c>
      <c r="C1803" s="25" t="s">
        <v>353</v>
      </c>
      <c r="D1803" s="26" t="s">
        <v>23</v>
      </c>
      <c r="E1803" s="27" t="str">
        <f>HYPERLINK("https://www.compass.com/building/the-albert-manhattan-ny/292786710872340549/","The Albert")</f>
        <v>The Albert</v>
      </c>
      <c r="F1803" s="25" t="s">
        <v>43</v>
      </c>
      <c r="G1803" s="28">
        <v>1195000.0</v>
      </c>
      <c r="H1803" s="29"/>
      <c r="I1803" s="28">
        <v>2648.0</v>
      </c>
      <c r="J1803" s="28">
        <v>0.0</v>
      </c>
      <c r="K1803" s="25" t="s">
        <v>25</v>
      </c>
      <c r="L1803" s="26">
        <v>4.0</v>
      </c>
      <c r="M1803" s="26">
        <v>2.0</v>
      </c>
      <c r="N1803" s="26">
        <v>1.0</v>
      </c>
      <c r="O1803" s="30"/>
      <c r="P1803" s="30"/>
      <c r="Q1803" s="35">
        <v>407.0</v>
      </c>
      <c r="R1803" s="32">
        <v>45839.0</v>
      </c>
      <c r="S1803" s="32">
        <v>45407.0</v>
      </c>
      <c r="T1803" s="29"/>
      <c r="U1803" s="33"/>
      <c r="V1803" s="1"/>
    </row>
    <row r="1804" ht="24.0" customHeight="1">
      <c r="A1804" s="1"/>
      <c r="B1804" s="24" t="str">
        <f>HYPERLINK("https://www.compass.com/listing/72-perry-street-unit-garden-manhattan-ny-10014/1795067781112050377/view?agent_id=610d3f3370540700019b0833","72 Perry Street, Unit GARDEN")</f>
        <v>72 Perry Street, Unit GARDEN</v>
      </c>
      <c r="C1804" s="25" t="s">
        <v>353</v>
      </c>
      <c r="D1804" s="26" t="s">
        <v>23</v>
      </c>
      <c r="E1804" s="27" t="str">
        <f>HYPERLINK("https://www.compass.com/building/72-perry-st-manhattan-ny-10014/281935489529858053/","72 Perry St")</f>
        <v>72 Perry St</v>
      </c>
      <c r="F1804" s="25" t="s">
        <v>26</v>
      </c>
      <c r="G1804" s="28">
        <v>2995000.0</v>
      </c>
      <c r="H1804" s="29"/>
      <c r="I1804" s="28">
        <v>2240.0</v>
      </c>
      <c r="J1804" s="28">
        <v>0.0</v>
      </c>
      <c r="K1804" s="25" t="s">
        <v>25</v>
      </c>
      <c r="L1804" s="26">
        <v>3.0</v>
      </c>
      <c r="M1804" s="26">
        <v>2.0</v>
      </c>
      <c r="N1804" s="26">
        <v>1.0</v>
      </c>
      <c r="O1804" s="30"/>
      <c r="P1804" s="30"/>
      <c r="Q1804" s="35">
        <v>116.0</v>
      </c>
      <c r="R1804" s="32">
        <v>45853.0</v>
      </c>
      <c r="S1804" s="32">
        <v>45736.0</v>
      </c>
      <c r="T1804" s="29"/>
      <c r="U1804" s="33"/>
      <c r="V1804" s="1"/>
    </row>
    <row r="1805" ht="24.0" customHeight="1">
      <c r="A1805" s="1"/>
      <c r="B1805" s="24" t="str">
        <f>HYPERLINK("https://www.compass.com/listing/35-west-82nd-street-unit-4c-manhattan-ny-10024/1827618014481356441/view?agent_id=610d3f3370540700019b0833","35 West 82nd Street, Unit 4C")</f>
        <v>35 West 82nd Street, Unit 4C</v>
      </c>
      <c r="C1805" s="25" t="s">
        <v>353</v>
      </c>
      <c r="D1805" s="26" t="s">
        <v>23</v>
      </c>
      <c r="E1805" s="27" t="str">
        <f>HYPERLINK("https://www.compass.com/building/35-w-82nd-st-manhattan-ny-10024/281966225691591813/","35 W 82nd St")</f>
        <v>35 W 82nd St</v>
      </c>
      <c r="F1805" s="25" t="s">
        <v>29</v>
      </c>
      <c r="G1805" s="28">
        <v>1300000.0</v>
      </c>
      <c r="H1805" s="29"/>
      <c r="I1805" s="28">
        <v>2443.0</v>
      </c>
      <c r="J1805" s="28">
        <v>0.0</v>
      </c>
      <c r="K1805" s="25" t="s">
        <v>25</v>
      </c>
      <c r="L1805" s="26">
        <v>5.0</v>
      </c>
      <c r="M1805" s="26">
        <v>2.0</v>
      </c>
      <c r="N1805" s="26">
        <v>1.0</v>
      </c>
      <c r="O1805" s="30"/>
      <c r="P1805" s="30"/>
      <c r="Q1805" s="35">
        <v>11.0</v>
      </c>
      <c r="R1805" s="32">
        <v>45801.0</v>
      </c>
      <c r="S1805" s="32">
        <v>45775.0</v>
      </c>
      <c r="T1805" s="29"/>
      <c r="U1805" s="33"/>
      <c r="V1805" s="1"/>
    </row>
    <row r="1806" ht="24.0" customHeight="1">
      <c r="A1806" s="1"/>
      <c r="B1806" s="24" t="str">
        <f>HYPERLINK("https://www.compass.com/listing/422-west-20th-street-unit-parlor-h-manhattan-ny-10011/1371056770528105049/view?agent_id=610d3f3370540700019b0833","422 West 20th Street, Unit PARLOR H")</f>
        <v>422 West 20th Street, Unit PARLOR H</v>
      </c>
      <c r="C1806" s="25" t="s">
        <v>353</v>
      </c>
      <c r="D1806" s="26" t="s">
        <v>23</v>
      </c>
      <c r="E1806" s="27" t="str">
        <f>HYPERLINK("https://www.compass.com/building/422-w-20th-st-manhattan-ny-10011/281910243049367013/","422 W 20th St")</f>
        <v>422 W 20th St</v>
      </c>
      <c r="F1806" s="25" t="s">
        <v>27</v>
      </c>
      <c r="G1806" s="28">
        <v>1625000.0</v>
      </c>
      <c r="H1806" s="28">
        <v>1768.0</v>
      </c>
      <c r="I1806" s="28">
        <v>3002.0</v>
      </c>
      <c r="J1806" s="28">
        <v>17523.0</v>
      </c>
      <c r="K1806" s="25" t="s">
        <v>28</v>
      </c>
      <c r="L1806" s="26">
        <v>4.0</v>
      </c>
      <c r="M1806" s="26">
        <v>2.0</v>
      </c>
      <c r="N1806" s="26">
        <v>1.0</v>
      </c>
      <c r="O1806" s="30"/>
      <c r="P1806" s="26">
        <v>919.0</v>
      </c>
      <c r="Q1806" s="35">
        <v>198.0</v>
      </c>
      <c r="R1806" s="32">
        <v>45863.0</v>
      </c>
      <c r="S1806" s="32">
        <v>45664.0</v>
      </c>
      <c r="T1806" s="29"/>
      <c r="U1806" s="33"/>
      <c r="V1806" s="1"/>
    </row>
    <row r="1807" ht="24.0" customHeight="1">
      <c r="A1807" s="1"/>
      <c r="B1807" s="24" t="str">
        <f>HYPERLINK("https://www.compass.com/listing/173-175-riverside-drive-unit-2l-manhattan-ny-10024/1836312986553325545/view?agent_id=610d3f3370540700019b0833","173-175 Riverside Drive, Unit 2L")</f>
        <v>173-175 Riverside Drive, Unit 2L</v>
      </c>
      <c r="C1807" s="25" t="s">
        <v>353</v>
      </c>
      <c r="D1807" s="26" t="s">
        <v>23</v>
      </c>
      <c r="E1807" s="27" t="str">
        <f>HYPERLINK("https://www.compass.com/building/173-175-riverside-dr-manhattan-ny-10024/405234226019361557/","173-175 Riverside Dr")</f>
        <v>173-175 Riverside Dr</v>
      </c>
      <c r="F1807" s="25" t="s">
        <v>29</v>
      </c>
      <c r="G1807" s="28">
        <v>1095000.0</v>
      </c>
      <c r="H1807" s="29"/>
      <c r="I1807" s="28">
        <v>2041.0</v>
      </c>
      <c r="J1807" s="28">
        <v>0.0</v>
      </c>
      <c r="K1807" s="25" t="s">
        <v>25</v>
      </c>
      <c r="L1807" s="26">
        <v>4.0</v>
      </c>
      <c r="M1807" s="26">
        <v>2.0</v>
      </c>
      <c r="N1807" s="26">
        <v>1.0</v>
      </c>
      <c r="O1807" s="30"/>
      <c r="P1807" s="30"/>
      <c r="Q1807" s="35">
        <v>16.0</v>
      </c>
      <c r="R1807" s="32">
        <v>45807.0</v>
      </c>
      <c r="S1807" s="32">
        <v>45791.0</v>
      </c>
      <c r="T1807" s="29"/>
      <c r="U1807" s="33"/>
      <c r="V1807" s="1"/>
    </row>
    <row r="1808" ht="24.0" customHeight="1">
      <c r="A1808" s="1"/>
      <c r="B1808" s="24" t="str">
        <f>HYPERLINK("https://www.compass.com/listing/376-west-street-unit-1a-manhattan-ny-10014/1770742248569997913/view?agent_id=610d3f3370540700019b0833","376 West Street, Unit 1A")</f>
        <v>376 West Street, Unit 1A</v>
      </c>
      <c r="C1808" s="25" t="s">
        <v>353</v>
      </c>
      <c r="D1808" s="26" t="s">
        <v>23</v>
      </c>
      <c r="E1808" s="27" t="str">
        <f>HYPERLINK("https://www.compass.com/building/west-village-houses-manhattan-ny/282060576618741845/","West Village Houses")</f>
        <v>West Village Houses</v>
      </c>
      <c r="F1808" s="25" t="s">
        <v>26</v>
      </c>
      <c r="G1808" s="28">
        <v>1350000.0</v>
      </c>
      <c r="H1808" s="29"/>
      <c r="I1808" s="28">
        <v>1550.0</v>
      </c>
      <c r="J1808" s="28">
        <v>0.0</v>
      </c>
      <c r="K1808" s="25" t="s">
        <v>25</v>
      </c>
      <c r="L1808" s="26">
        <v>5.0</v>
      </c>
      <c r="M1808" s="26">
        <v>2.0</v>
      </c>
      <c r="N1808" s="26">
        <v>1.0</v>
      </c>
      <c r="O1808" s="30"/>
      <c r="P1808" s="30"/>
      <c r="Q1808" s="35">
        <v>54.0</v>
      </c>
      <c r="R1808" s="32">
        <v>45791.0</v>
      </c>
      <c r="S1808" s="32">
        <v>45737.0</v>
      </c>
      <c r="T1808" s="29"/>
      <c r="U1808" s="33"/>
      <c r="V1808" s="1"/>
    </row>
    <row r="1809" ht="24.0" customHeight="1">
      <c r="A1809" s="1"/>
      <c r="B1809" s="24" t="str">
        <f>HYPERLINK("https://www.compass.com/listing/19-pomander-walk-unit-1-manhattan-ny-10025/1840666227360518217/view?agent_id=610d3f3370540700019b0833","19 Pomander Walk, Unit 1")</f>
        <v>19 Pomander Walk, Unit 1</v>
      </c>
      <c r="C1809" s="25" t="s">
        <v>353</v>
      </c>
      <c r="D1809" s="26" t="s">
        <v>23</v>
      </c>
      <c r="E1809" s="26" t="s">
        <v>354</v>
      </c>
      <c r="F1809" s="25" t="s">
        <v>29</v>
      </c>
      <c r="G1809" s="28">
        <v>749000.0</v>
      </c>
      <c r="H1809" s="28">
        <v>1248.0</v>
      </c>
      <c r="I1809" s="28">
        <v>2000.0</v>
      </c>
      <c r="J1809" s="28">
        <v>0.0</v>
      </c>
      <c r="K1809" s="25" t="s">
        <v>25</v>
      </c>
      <c r="L1809" s="26">
        <v>4.0</v>
      </c>
      <c r="M1809" s="26">
        <v>2.0</v>
      </c>
      <c r="N1809" s="26">
        <v>1.0</v>
      </c>
      <c r="O1809" s="26">
        <v>0.0</v>
      </c>
      <c r="P1809" s="26">
        <v>600.0</v>
      </c>
      <c r="Q1809" s="35">
        <v>40.0</v>
      </c>
      <c r="R1809" s="32">
        <v>45831.0</v>
      </c>
      <c r="S1809" s="32">
        <v>45791.0</v>
      </c>
      <c r="T1809" s="29"/>
      <c r="U1809" s="33"/>
      <c r="V1809" s="1"/>
    </row>
    <row r="1810" ht="24.0" customHeight="1">
      <c r="A1810" s="1"/>
      <c r="B1810" s="24" t="str">
        <f>HYPERLINK("https://www.compass.com/listing/274-st-johns-place-unit-3c-brooklyn-ny-11238/1821225293524616185/view?agent_id=610d3f3370540700019b0833","274 St Johns Pl, Unit 3C")</f>
        <v>274 St Johns Pl, Unit 3C</v>
      </c>
      <c r="C1810" s="25" t="s">
        <v>353</v>
      </c>
      <c r="D1810" s="26" t="s">
        <v>23</v>
      </c>
      <c r="E1810" s="27" t="str">
        <f>HYPERLINK("https://www.compass.com/building/274-st-john-s-owners-corporation-brooklyn-ny/293534562011641429/","274 St. John���s Owners��� Corporation")</f>
        <v>274 St. John���s Owners��� Corporation</v>
      </c>
      <c r="F1810" s="25" t="s">
        <v>39</v>
      </c>
      <c r="G1810" s="28">
        <v>999000.0</v>
      </c>
      <c r="H1810" s="29"/>
      <c r="I1810" s="28">
        <v>1287.0</v>
      </c>
      <c r="J1810" s="28">
        <v>0.0</v>
      </c>
      <c r="K1810" s="25" t="s">
        <v>25</v>
      </c>
      <c r="L1810" s="26">
        <v>4.0</v>
      </c>
      <c r="M1810" s="26">
        <v>2.0</v>
      </c>
      <c r="N1810" s="26">
        <v>1.0</v>
      </c>
      <c r="O1810" s="30"/>
      <c r="P1810" s="30"/>
      <c r="Q1810" s="35">
        <v>21.0</v>
      </c>
      <c r="R1810" s="32">
        <v>45796.0</v>
      </c>
      <c r="S1810" s="32">
        <v>45769.0</v>
      </c>
      <c r="T1810" s="29"/>
      <c r="U1810" s="33"/>
      <c r="V1810" s="1"/>
    </row>
    <row r="1811" ht="24.0" customHeight="1">
      <c r="A1811" s="1"/>
      <c r="B1811" s="24" t="str">
        <f>HYPERLINK("https://www.compass.com/listing/8-bethune-street-unit-14-manhattan-ny-10014/1768332275612334721/view?agent_id=610d3f3370540700019b0833","8 Bethune St, Unit 14")</f>
        <v>8 Bethune St, Unit 14</v>
      </c>
      <c r="C1811" s="25" t="s">
        <v>353</v>
      </c>
      <c r="D1811" s="26" t="s">
        <v>23</v>
      </c>
      <c r="E1811" s="27" t="str">
        <f>HYPERLINK("https://www.compass.com/building/8-bethune-st-manhattan-ny-10014/281935988282937941/","8 Bethune St")</f>
        <v>8 Bethune St</v>
      </c>
      <c r="F1811" s="25" t="s">
        <v>26</v>
      </c>
      <c r="G1811" s="28">
        <v>1095000.0</v>
      </c>
      <c r="H1811" s="29"/>
      <c r="I1811" s="28">
        <v>1448.0</v>
      </c>
      <c r="J1811" s="28">
        <v>0.0</v>
      </c>
      <c r="K1811" s="25" t="s">
        <v>25</v>
      </c>
      <c r="L1811" s="26">
        <v>4.0</v>
      </c>
      <c r="M1811" s="26">
        <v>2.0</v>
      </c>
      <c r="N1811" s="26">
        <v>1.0</v>
      </c>
      <c r="O1811" s="26">
        <v>0.0</v>
      </c>
      <c r="P1811" s="30"/>
      <c r="Q1811" s="35">
        <v>125.0</v>
      </c>
      <c r="R1811" s="32">
        <v>45853.0</v>
      </c>
      <c r="S1811" s="32">
        <v>45712.0</v>
      </c>
      <c r="T1811" s="29"/>
      <c r="U1811" s="33"/>
      <c r="V1811" s="1"/>
    </row>
    <row r="1812" ht="24.0" customHeight="1">
      <c r="A1812" s="1"/>
      <c r="B1812" s="24" t="str">
        <f>HYPERLINK("https://www.compass.com/listing/59-montgomery-place-unit-3ab-brooklyn-ny-11215/1826242464147413385/view?agent_id=610d3f3370540700019b0833","59 Montgomery Pl, Unit 3AB")</f>
        <v>59 Montgomery Pl, Unit 3AB</v>
      </c>
      <c r="C1812" s="25" t="s">
        <v>353</v>
      </c>
      <c r="D1812" s="26" t="s">
        <v>23</v>
      </c>
      <c r="E1812" s="27" t="str">
        <f>HYPERLINK("https://www.compass.com/building/59-montgomery-pl-brooklyn-ny-11215/282501544417508597/","59 Montgomery Pl")</f>
        <v>59 Montgomery Pl</v>
      </c>
      <c r="F1812" s="25" t="s">
        <v>40</v>
      </c>
      <c r="G1812" s="28">
        <v>1395000.0</v>
      </c>
      <c r="H1812" s="29"/>
      <c r="I1812" s="28">
        <v>1350.0</v>
      </c>
      <c r="J1812" s="28">
        <v>0.0</v>
      </c>
      <c r="K1812" s="25" t="s">
        <v>355</v>
      </c>
      <c r="L1812" s="26">
        <v>4.0</v>
      </c>
      <c r="M1812" s="26">
        <v>2.0</v>
      </c>
      <c r="N1812" s="26">
        <v>1.0</v>
      </c>
      <c r="O1812" s="30"/>
      <c r="P1812" s="26">
        <v>0.0</v>
      </c>
      <c r="Q1812" s="35">
        <v>32.0</v>
      </c>
      <c r="R1812" s="32">
        <v>45810.0</v>
      </c>
      <c r="S1812" s="32">
        <v>45778.0</v>
      </c>
      <c r="T1812" s="29"/>
      <c r="U1812" s="33"/>
      <c r="V1812" s="1"/>
    </row>
    <row r="1813" ht="24.0" customHeight="1">
      <c r="A1813" s="1"/>
      <c r="B1813" s="24" t="str">
        <f>HYPERLINK("https://www.compass.com/listing/292-garfield-place-unit-2-brooklyn-ny-11215/1828570112815728937/view?agent_id=610d3f3370540700019b0833","292 Garfield Pl, Unit 2")</f>
        <v>292 Garfield Pl, Unit 2</v>
      </c>
      <c r="C1813" s="25" t="s">
        <v>353</v>
      </c>
      <c r="D1813" s="26" t="s">
        <v>23</v>
      </c>
      <c r="E1813" s="27" t="str">
        <f>HYPERLINK("https://www.compass.com/building/292-garfield-pl-brooklyn-ny-11215/282498838227396309/","292 Garfield Pl")</f>
        <v>292 Garfield Pl</v>
      </c>
      <c r="F1813" s="25" t="s">
        <v>40</v>
      </c>
      <c r="G1813" s="28">
        <v>1595000.0</v>
      </c>
      <c r="H1813" s="29"/>
      <c r="I1813" s="28">
        <v>1232.0</v>
      </c>
      <c r="J1813" s="28">
        <v>0.0</v>
      </c>
      <c r="K1813" s="25" t="s">
        <v>25</v>
      </c>
      <c r="L1813" s="26">
        <v>4.0</v>
      </c>
      <c r="M1813" s="26">
        <v>2.0</v>
      </c>
      <c r="N1813" s="26">
        <v>1.0</v>
      </c>
      <c r="O1813" s="30"/>
      <c r="P1813" s="30"/>
      <c r="Q1813" s="35">
        <v>37.0</v>
      </c>
      <c r="R1813" s="32">
        <v>45817.0</v>
      </c>
      <c r="S1813" s="32">
        <v>45777.0</v>
      </c>
      <c r="T1813" s="29"/>
      <c r="U1813" s="33"/>
      <c r="V1813" s="1"/>
    </row>
    <row r="1814" ht="24.0" customHeight="1">
      <c r="A1814" s="1"/>
      <c r="B1814" s="24" t="str">
        <f>HYPERLINK("https://www.compass.com/listing/340-west-19th-street-unit-20-manhattan-ny-10011/1768949345945425921/view?agent_id=610d3f3370540700019b0833","340 West 19th Street, Unit 20")</f>
        <v>340 West 19th Street, Unit 20</v>
      </c>
      <c r="C1814" s="25" t="s">
        <v>353</v>
      </c>
      <c r="D1814" s="26" t="s">
        <v>23</v>
      </c>
      <c r="E1814" s="27" t="str">
        <f>HYPERLINK("https://www.compass.com/building/340-w-19th-st-manhattan-ny-10011/281909205378554757/","340 W 19th St")</f>
        <v>340 W 19th St</v>
      </c>
      <c r="F1814" s="25" t="s">
        <v>27</v>
      </c>
      <c r="G1814" s="28">
        <v>899000.0</v>
      </c>
      <c r="H1814" s="29"/>
      <c r="I1814" s="28">
        <v>1344.0</v>
      </c>
      <c r="J1814" s="28">
        <v>0.0</v>
      </c>
      <c r="K1814" s="25" t="s">
        <v>25</v>
      </c>
      <c r="L1814" s="26">
        <v>5.0</v>
      </c>
      <c r="M1814" s="26">
        <v>2.0</v>
      </c>
      <c r="N1814" s="26">
        <v>1.0</v>
      </c>
      <c r="O1814" s="26">
        <v>0.0</v>
      </c>
      <c r="P1814" s="30"/>
      <c r="Q1814" s="35">
        <v>79.0</v>
      </c>
      <c r="R1814" s="32">
        <v>45805.0</v>
      </c>
      <c r="S1814" s="32">
        <v>45726.0</v>
      </c>
      <c r="T1814" s="29"/>
      <c r="U1814" s="33"/>
      <c r="V1814" s="1"/>
    </row>
    <row r="1815" ht="24.0" customHeight="1">
      <c r="A1815" s="1"/>
      <c r="B1815" s="24" t="str">
        <f>HYPERLINK("https://www.compass.com/listing/50-west-106th-street-unit-6d-manhattan-ny-10025/1815396992500502849/view?agent_id=610d3f3370540700019b0833","50 West 106th Street, Unit 6D")</f>
        <v>50 West 106th Street, Unit 6D</v>
      </c>
      <c r="C1815" s="25" t="s">
        <v>353</v>
      </c>
      <c r="D1815" s="26" t="s">
        <v>23</v>
      </c>
      <c r="E1815" s="27" t="str">
        <f>HYPERLINK("https://www.compass.com/building/50-w-106th-st-manhattan-ny-10025/281972155565039573/","50 W 106th St")</f>
        <v>50 W 106th St</v>
      </c>
      <c r="F1815" s="25" t="s">
        <v>29</v>
      </c>
      <c r="G1815" s="28">
        <v>795000.0</v>
      </c>
      <c r="H1815" s="28">
        <v>994.0</v>
      </c>
      <c r="I1815" s="28">
        <v>1111.0</v>
      </c>
      <c r="J1815" s="28">
        <v>0.0</v>
      </c>
      <c r="K1815" s="25" t="s">
        <v>25</v>
      </c>
      <c r="L1815" s="26">
        <v>4.0</v>
      </c>
      <c r="M1815" s="26">
        <v>2.0</v>
      </c>
      <c r="N1815" s="26">
        <v>1.0</v>
      </c>
      <c r="O1815" s="26">
        <v>0.0</v>
      </c>
      <c r="P1815" s="26">
        <v>800.0</v>
      </c>
      <c r="Q1815" s="35">
        <v>41.0</v>
      </c>
      <c r="R1815" s="32">
        <v>45811.0</v>
      </c>
      <c r="S1815" s="32">
        <v>45770.0</v>
      </c>
      <c r="T1815" s="29"/>
      <c r="U1815" s="33"/>
      <c r="V1815" s="1"/>
    </row>
    <row r="1816" ht="24.0" customHeight="1">
      <c r="A1816" s="1"/>
      <c r="B1816" s="24" t="str">
        <f>HYPERLINK("https://www.compass.com/listing/505-court-street-unit-6j-brooklyn-ny-11231/1822039584531415609/view?agent_id=610d3f3370540700019b0833","505 Court Street, Unit 6J")</f>
        <v>505 Court Street, Unit 6J</v>
      </c>
      <c r="C1816" s="25" t="s">
        <v>353</v>
      </c>
      <c r="D1816" s="26" t="s">
        <v>23</v>
      </c>
      <c r="E1816" s="27" t="str">
        <f>HYPERLINK("https://www.compass.com/building/court-street-lofts-brooklyn-ny/282508453459612037/","Court Street Lofts")</f>
        <v>Court Street Lofts</v>
      </c>
      <c r="F1816" s="25" t="s">
        <v>65</v>
      </c>
      <c r="G1816" s="28">
        <v>1295000.0</v>
      </c>
      <c r="H1816" s="28">
        <v>1363.0</v>
      </c>
      <c r="I1816" s="28">
        <v>1661.0</v>
      </c>
      <c r="J1816" s="28">
        <v>10680.0</v>
      </c>
      <c r="K1816" s="25" t="s">
        <v>28</v>
      </c>
      <c r="L1816" s="26">
        <v>5.0</v>
      </c>
      <c r="M1816" s="26">
        <v>2.0</v>
      </c>
      <c r="N1816" s="26">
        <v>1.0</v>
      </c>
      <c r="O1816" s="30"/>
      <c r="P1816" s="26">
        <v>950.0</v>
      </c>
      <c r="Q1816" s="35">
        <v>0.0</v>
      </c>
      <c r="R1816" s="32">
        <v>45859.0</v>
      </c>
      <c r="S1816" s="32">
        <v>45823.0</v>
      </c>
      <c r="T1816" s="29"/>
      <c r="U1816" s="33"/>
      <c r="V1816" s="1"/>
    </row>
    <row r="1817" ht="24.0" customHeight="1">
      <c r="A1817" s="1"/>
      <c r="B1817" s="24" t="str">
        <f>HYPERLINK("https://www.compass.com/listing/648-2nd-street-unit-2-brooklyn-ny-11215/1813988737928211233/view?agent_id=610d3f3370540700019b0833","648 2nd Street, Unit 2")</f>
        <v>648 2nd Street, Unit 2</v>
      </c>
      <c r="C1817" s="25" t="s">
        <v>353</v>
      </c>
      <c r="D1817" s="26" t="s">
        <v>23</v>
      </c>
      <c r="E1817" s="27" t="str">
        <f>HYPERLINK("https://www.compass.com/building/648-2nd-st-brooklyn-ny-11215/282501600101086485/","648 2nd St")</f>
        <v>648 2nd St</v>
      </c>
      <c r="F1817" s="25" t="s">
        <v>40</v>
      </c>
      <c r="G1817" s="28">
        <v>1800000.0</v>
      </c>
      <c r="H1817" s="29"/>
      <c r="I1817" s="28">
        <v>987.0</v>
      </c>
      <c r="J1817" s="28">
        <v>0.0</v>
      </c>
      <c r="K1817" s="25" t="s">
        <v>25</v>
      </c>
      <c r="L1817" s="26">
        <v>5.0</v>
      </c>
      <c r="M1817" s="26">
        <v>2.0</v>
      </c>
      <c r="N1817" s="26">
        <v>1.0</v>
      </c>
      <c r="O1817" s="30"/>
      <c r="P1817" s="30"/>
      <c r="Q1817" s="35">
        <v>17.0</v>
      </c>
      <c r="R1817" s="32">
        <v>45786.0</v>
      </c>
      <c r="S1817" s="32">
        <v>45769.0</v>
      </c>
      <c r="T1817" s="29"/>
      <c r="U1817" s="33"/>
      <c r="V1817" s="1"/>
    </row>
    <row r="1818" ht="24.0" customHeight="1">
      <c r="A1818" s="1"/>
      <c r="B1818" s="24" t="str">
        <f>HYPERLINK("https://www.compass.com/listing/55-west-95th-street-unit-93-manhattan-ny-10025/1783617920672515377/view?agent_id=610d3f3370540700019b0833","55 West 95th Street, Unit 93")</f>
        <v>55 West 95th Street, Unit 93</v>
      </c>
      <c r="C1818" s="25" t="s">
        <v>353</v>
      </c>
      <c r="D1818" s="26" t="s">
        <v>23</v>
      </c>
      <c r="E1818" s="27" t="str">
        <f>HYPERLINK("https://www.compass.com/building/55-w-95th-st-manhattan-ny-10025/281972516124187381/","55 W 95th St")</f>
        <v>55 W 95th St</v>
      </c>
      <c r="F1818" s="25" t="s">
        <v>29</v>
      </c>
      <c r="G1818" s="28">
        <v>995000.0</v>
      </c>
      <c r="H1818" s="29"/>
      <c r="I1818" s="28">
        <v>2689.0</v>
      </c>
      <c r="J1818" s="28">
        <v>0.0</v>
      </c>
      <c r="K1818" s="25" t="s">
        <v>25</v>
      </c>
      <c r="L1818" s="26">
        <v>4.0</v>
      </c>
      <c r="M1818" s="26">
        <v>2.0</v>
      </c>
      <c r="N1818" s="26">
        <v>1.0</v>
      </c>
      <c r="O1818" s="30"/>
      <c r="P1818" s="30"/>
      <c r="Q1818" s="35">
        <v>68.0</v>
      </c>
      <c r="R1818" s="32">
        <v>45790.0</v>
      </c>
      <c r="S1818" s="32">
        <v>45721.0</v>
      </c>
      <c r="T1818" s="29"/>
      <c r="U1818" s="33"/>
      <c r="V1818" s="1"/>
    </row>
    <row r="1819" ht="24.0" customHeight="1">
      <c r="A1819" s="1"/>
      <c r="B1819" s="24" t="str">
        <f>HYPERLINK("https://www.compass.com/listing/129-columbia-heights-unit-3-brooklyn-ny-11201/1814589306375704153/view?agent_id=610d3f3370540700019b0833","129 Columbia Heights, Unit 3")</f>
        <v>129 Columbia Heights, Unit 3</v>
      </c>
      <c r="C1819" s="25" t="s">
        <v>353</v>
      </c>
      <c r="D1819" s="26" t="s">
        <v>23</v>
      </c>
      <c r="E1819" s="27" t="str">
        <f>HYPERLINK("https://www.compass.com/building/one-clark-street-housing-corporation-brooklyn-ny/282504112891838101/","One Clark Street Housing Corporation")</f>
        <v>One Clark Street Housing Corporation</v>
      </c>
      <c r="F1819" s="25" t="s">
        <v>52</v>
      </c>
      <c r="G1819" s="28">
        <v>1050000.0</v>
      </c>
      <c r="H1819" s="29"/>
      <c r="I1819" s="28">
        <v>1165.0</v>
      </c>
      <c r="J1819" s="28">
        <v>0.0</v>
      </c>
      <c r="K1819" s="25" t="s">
        <v>25</v>
      </c>
      <c r="L1819" s="26">
        <v>4.0</v>
      </c>
      <c r="M1819" s="26">
        <v>2.0</v>
      </c>
      <c r="N1819" s="26">
        <v>1.0</v>
      </c>
      <c r="O1819" s="30"/>
      <c r="P1819" s="30"/>
      <c r="Q1819" s="35">
        <v>63.0</v>
      </c>
      <c r="R1819" s="32">
        <v>45832.0</v>
      </c>
      <c r="S1819" s="32">
        <v>45769.0</v>
      </c>
      <c r="T1819" s="29"/>
      <c r="U1819" s="33"/>
      <c r="V1819" s="1"/>
    </row>
    <row r="1820" ht="24.0" customHeight="1">
      <c r="A1820" s="1"/>
      <c r="B1820" s="24" t="str">
        <f>HYPERLINK("https://www.compass.com/listing/7-west-92nd-street-unit-76-manhattan-ny-10025/1727623064569199705/view?agent_id=610d3f3370540700019b0833","7 West 92nd Street, Unit 76")</f>
        <v>7 West 92nd Street, Unit 76</v>
      </c>
      <c r="C1820" s="25" t="s">
        <v>353</v>
      </c>
      <c r="D1820" s="26" t="s">
        <v>23</v>
      </c>
      <c r="E1820" s="27" t="str">
        <f>HYPERLINK("https://www.compass.com/building/the-raleigh-manhattan-ny/281972974620334965/","The Raleigh")</f>
        <v>The Raleigh</v>
      </c>
      <c r="F1820" s="25" t="s">
        <v>29</v>
      </c>
      <c r="G1820" s="28">
        <v>899000.0</v>
      </c>
      <c r="H1820" s="29"/>
      <c r="I1820" s="28">
        <v>847.0</v>
      </c>
      <c r="J1820" s="28">
        <v>0.0</v>
      </c>
      <c r="K1820" s="25" t="s">
        <v>25</v>
      </c>
      <c r="L1820" s="26">
        <v>4.0</v>
      </c>
      <c r="M1820" s="26">
        <v>2.0</v>
      </c>
      <c r="N1820" s="26">
        <v>1.0</v>
      </c>
      <c r="O1820" s="30"/>
      <c r="P1820" s="30"/>
      <c r="Q1820" s="35">
        <v>136.0</v>
      </c>
      <c r="R1820" s="32">
        <v>45847.0</v>
      </c>
      <c r="S1820" s="32">
        <v>45635.0</v>
      </c>
      <c r="T1820" s="29"/>
      <c r="U1820" s="33"/>
      <c r="V1820" s="1"/>
    </row>
    <row r="1821" ht="24.0" customHeight="1">
      <c r="A1821" s="1"/>
      <c r="B1821" s="24" t="str">
        <f>HYPERLINK("https://www.compass.com/listing/153-clinton-avenue-unit-4b-brooklyn-ny-11205/1826247062866171113/view?agent_id=610d3f3370540700019b0833","153 Clinton Avenue, Unit 4B")</f>
        <v>153 Clinton Avenue, Unit 4B</v>
      </c>
      <c r="C1821" s="25" t="s">
        <v>353</v>
      </c>
      <c r="D1821" s="26" t="s">
        <v>23</v>
      </c>
      <c r="E1821" s="27" t="str">
        <f>HYPERLINK("https://www.compass.com/building/153-clinton-ave-brooklyn-ny-11205/282501724747415013/","153 Clinton Ave")</f>
        <v>153 Clinton Ave</v>
      </c>
      <c r="F1821" s="25" t="s">
        <v>30</v>
      </c>
      <c r="G1821" s="28">
        <v>875000.0</v>
      </c>
      <c r="H1821" s="29"/>
      <c r="I1821" s="28">
        <v>1083.0</v>
      </c>
      <c r="J1821" s="28">
        <v>0.0</v>
      </c>
      <c r="K1821" s="25" t="s">
        <v>25</v>
      </c>
      <c r="L1821" s="26">
        <v>4.0</v>
      </c>
      <c r="M1821" s="26">
        <v>2.0</v>
      </c>
      <c r="N1821" s="26">
        <v>1.0</v>
      </c>
      <c r="O1821" s="30"/>
      <c r="P1821" s="30"/>
      <c r="Q1821" s="35">
        <v>26.0</v>
      </c>
      <c r="R1821" s="32">
        <v>45804.0</v>
      </c>
      <c r="S1821" s="32">
        <v>45777.0</v>
      </c>
      <c r="T1821" s="29"/>
      <c r="U1821" s="33"/>
      <c r="V1821" s="1"/>
    </row>
    <row r="1822" ht="24.0" customHeight="1">
      <c r="A1822" s="1"/>
      <c r="B1822" s="24" t="str">
        <f>HYPERLINK("https://www.compass.com/listing/362-12th-street-unit-6-brooklyn-ny-11215/1810321157971129249/view?agent_id=610d3f3370540700019b0833","362 12th Street, Unit 6")</f>
        <v>362 12th Street, Unit 6</v>
      </c>
      <c r="C1822" s="25" t="s">
        <v>353</v>
      </c>
      <c r="D1822" s="26" t="s">
        <v>23</v>
      </c>
      <c r="E1822" s="27" t="str">
        <f>HYPERLINK("https://www.compass.com/building/362-12th-st-brooklyn-ny-11215/282507411653217829/","362 12th St")</f>
        <v>362 12th St</v>
      </c>
      <c r="F1822" s="25" t="s">
        <v>40</v>
      </c>
      <c r="G1822" s="28">
        <v>999000.0</v>
      </c>
      <c r="H1822" s="28">
        <v>1162.0</v>
      </c>
      <c r="I1822" s="28">
        <v>1061.0</v>
      </c>
      <c r="J1822" s="28">
        <v>10204.0</v>
      </c>
      <c r="K1822" s="25" t="s">
        <v>28</v>
      </c>
      <c r="L1822" s="26">
        <v>3.0</v>
      </c>
      <c r="M1822" s="26">
        <v>2.0</v>
      </c>
      <c r="N1822" s="26">
        <v>1.0</v>
      </c>
      <c r="O1822" s="26">
        <v>0.0</v>
      </c>
      <c r="P1822" s="26">
        <v>860.0</v>
      </c>
      <c r="Q1822" s="35">
        <v>25.0</v>
      </c>
      <c r="R1822" s="32">
        <v>45787.0</v>
      </c>
      <c r="S1822" s="32">
        <v>45762.0</v>
      </c>
      <c r="T1822" s="29"/>
      <c r="U1822" s="33"/>
      <c r="V1822" s="1"/>
    </row>
    <row r="1823" ht="24.0" customHeight="1">
      <c r="A1823" s="1"/>
      <c r="B1823" s="24" t="str">
        <f>HYPERLINK("https://www.compass.com/listing/303-west-66th-street-unit-16bw-manhattan-ny-10023/1826826316566354065/view?agent_id=610d3f3370540700019b0833","303 West 66th Street, Unit 16BW")</f>
        <v>303 West 66th Street, Unit 16BW</v>
      </c>
      <c r="C1823" s="25" t="s">
        <v>353</v>
      </c>
      <c r="D1823" s="26" t="s">
        <v>23</v>
      </c>
      <c r="E1823" s="27" t="str">
        <f>HYPERLINK("https://www.compass.com/building/lincoln-guild-manhattan-ny/294835608891304661/","Lincoln Guild")</f>
        <v>Lincoln Guild</v>
      </c>
      <c r="F1823" s="25" t="s">
        <v>29</v>
      </c>
      <c r="G1823" s="28">
        <v>950000.0</v>
      </c>
      <c r="H1823" s="29"/>
      <c r="I1823" s="28">
        <v>2165.0</v>
      </c>
      <c r="J1823" s="28">
        <v>0.0</v>
      </c>
      <c r="K1823" s="25" t="s">
        <v>25</v>
      </c>
      <c r="L1823" s="26">
        <v>4.0</v>
      </c>
      <c r="M1823" s="26">
        <v>2.0</v>
      </c>
      <c r="N1823" s="26">
        <v>1.0</v>
      </c>
      <c r="O1823" s="26">
        <v>0.0</v>
      </c>
      <c r="P1823" s="30"/>
      <c r="Q1823" s="35">
        <v>74.0</v>
      </c>
      <c r="R1823" s="32">
        <v>45852.0</v>
      </c>
      <c r="S1823" s="32">
        <v>45778.0</v>
      </c>
      <c r="T1823" s="29"/>
      <c r="U1823" s="33"/>
      <c r="V1823" s="1"/>
    </row>
    <row r="1824" ht="24.0" customHeight="1">
      <c r="A1824" s="1"/>
      <c r="B1824" s="24" t="str">
        <f>HYPERLINK("https://www.compass.com/listing/328-west-86th-street-unit-6a-manhattan-ny-10024/1755414676467988297/view?agent_id=610d3f3370540700019b0833","328 West 86th Street, Unit 6A")</f>
        <v>328 West 86th Street, Unit 6A</v>
      </c>
      <c r="C1824" s="25" t="s">
        <v>353</v>
      </c>
      <c r="D1824" s="26" t="s">
        <v>23</v>
      </c>
      <c r="E1824" s="27" t="str">
        <f>HYPERLINK("https://www.compass.com/building/328-w-86th-st-manhattan-ny-10024/281925057071061989/","328 W 86th St")</f>
        <v>328 W 86th St</v>
      </c>
      <c r="F1824" s="25" t="s">
        <v>29</v>
      </c>
      <c r="G1824" s="28">
        <v>1175000.0</v>
      </c>
      <c r="H1824" s="29"/>
      <c r="I1824" s="28">
        <v>1849.0</v>
      </c>
      <c r="J1824" s="28">
        <v>0.0</v>
      </c>
      <c r="K1824" s="25" t="s">
        <v>25</v>
      </c>
      <c r="L1824" s="26">
        <v>5.0</v>
      </c>
      <c r="M1824" s="26">
        <v>2.0</v>
      </c>
      <c r="N1824" s="26">
        <v>1.0</v>
      </c>
      <c r="O1824" s="30"/>
      <c r="P1824" s="30"/>
      <c r="Q1824" s="35">
        <v>101.0</v>
      </c>
      <c r="R1824" s="32">
        <v>45819.0</v>
      </c>
      <c r="S1824" s="32">
        <v>45674.0</v>
      </c>
      <c r="T1824" s="29"/>
      <c r="U1824" s="33"/>
      <c r="V1824" s="1"/>
    </row>
    <row r="1825" ht="24.0" customHeight="1">
      <c r="A1825" s="1"/>
      <c r="B1825" s="24" t="str">
        <f>HYPERLINK("https://www.compass.com/listing/315-south-5th-street-unit-2-brooklyn-ny-11211/1854546252284920537/view?agent_id=610d3f3370540700019b0833","315 South 5th Street, Unit 2")</f>
        <v>315 South 5th Street, Unit 2</v>
      </c>
      <c r="C1825" s="25" t="s">
        <v>353</v>
      </c>
      <c r="D1825" s="26" t="s">
        <v>23</v>
      </c>
      <c r="E1825" s="27" t="str">
        <f>HYPERLINK("https://www.compass.com/building/315-s-5th-st-brooklyn-ny-11211/282392779546487413/","315 S 5th St")</f>
        <v>315 S 5th St</v>
      </c>
      <c r="F1825" s="25" t="s">
        <v>46</v>
      </c>
      <c r="G1825" s="28">
        <v>900000.0</v>
      </c>
      <c r="H1825" s="28">
        <v>1406.0</v>
      </c>
      <c r="I1825" s="28">
        <v>1042.0</v>
      </c>
      <c r="J1825" s="28">
        <v>4427.0</v>
      </c>
      <c r="K1825" s="25" t="s">
        <v>28</v>
      </c>
      <c r="L1825" s="26">
        <v>3.0</v>
      </c>
      <c r="M1825" s="26">
        <v>2.0</v>
      </c>
      <c r="N1825" s="26">
        <v>1.0</v>
      </c>
      <c r="O1825" s="26">
        <v>0.0</v>
      </c>
      <c r="P1825" s="26">
        <v>640.0</v>
      </c>
      <c r="Q1825" s="35">
        <v>50.0</v>
      </c>
      <c r="R1825" s="32">
        <v>45863.0</v>
      </c>
      <c r="S1825" s="32">
        <v>45813.0</v>
      </c>
      <c r="T1825" s="29"/>
      <c r="U1825" s="33"/>
      <c r="V1825" s="1"/>
    </row>
    <row r="1826" ht="24.0" customHeight="1">
      <c r="A1826" s="1"/>
      <c r="B1826" s="24" t="str">
        <f>HYPERLINK("https://www.compass.com/listing/456-prospect-avenue-unit-3r-brooklyn-ny-11215/1681364436196564177/view?agent_id=610d3f3370540700019b0833","456 Prospect Avenue, Unit 3R")</f>
        <v>456 Prospect Avenue, Unit 3R</v>
      </c>
      <c r="C1826" s="25" t="s">
        <v>353</v>
      </c>
      <c r="D1826" s="26" t="s">
        <v>23</v>
      </c>
      <c r="E1826" s="27" t="str">
        <f>HYPERLINK("https://www.compass.com/building/456-prospect-ave-brooklyn-ny-11215/282500909240498709/","456 Prospect Ave")</f>
        <v>456 Prospect Ave</v>
      </c>
      <c r="F1826" s="25" t="s">
        <v>40</v>
      </c>
      <c r="G1826" s="28">
        <v>799000.0</v>
      </c>
      <c r="H1826" s="28">
        <v>1011.0</v>
      </c>
      <c r="I1826" s="28">
        <v>660.0</v>
      </c>
      <c r="J1826" s="28">
        <v>0.0</v>
      </c>
      <c r="K1826" s="25" t="s">
        <v>25</v>
      </c>
      <c r="L1826" s="26">
        <v>5.0</v>
      </c>
      <c r="M1826" s="26">
        <v>2.0</v>
      </c>
      <c r="N1826" s="26">
        <v>1.0</v>
      </c>
      <c r="O1826" s="30"/>
      <c r="P1826" s="26">
        <v>790.0</v>
      </c>
      <c r="Q1826" s="35">
        <v>88.0</v>
      </c>
      <c r="R1826" s="32">
        <v>45835.0</v>
      </c>
      <c r="S1826" s="32">
        <v>45571.0</v>
      </c>
      <c r="T1826" s="29"/>
      <c r="U1826" s="33"/>
      <c r="V1826" s="1"/>
    </row>
    <row r="1827" ht="24.0" customHeight="1">
      <c r="A1827" s="1"/>
      <c r="B1827" s="24" t="str">
        <f>HYPERLINK("https://www.compass.com/listing/201-st-johns-place-unit-4-brooklyn-ny-11217/1829235891274593937/view?agent_id=610d3f3370540700019b0833","201 St Johns Place, Unit 4")</f>
        <v>201 St Johns Place, Unit 4</v>
      </c>
      <c r="C1827" s="25" t="s">
        <v>353</v>
      </c>
      <c r="D1827" s="26" t="s">
        <v>23</v>
      </c>
      <c r="E1827" s="27" t="str">
        <f>HYPERLINK("https://www.compass.com/building/201-st-johns-pl-brooklyn-ny-11217/282499605298489877/","201 St Johns Pl")</f>
        <v>201 St Johns Pl</v>
      </c>
      <c r="F1827" s="25" t="s">
        <v>40</v>
      </c>
      <c r="G1827" s="28">
        <v>1279000.0</v>
      </c>
      <c r="H1827" s="28">
        <v>1390.0</v>
      </c>
      <c r="I1827" s="28">
        <v>1134.0</v>
      </c>
      <c r="J1827" s="28">
        <v>0.0</v>
      </c>
      <c r="K1827" s="25" t="s">
        <v>25</v>
      </c>
      <c r="L1827" s="26">
        <v>5.0</v>
      </c>
      <c r="M1827" s="26">
        <v>2.0</v>
      </c>
      <c r="N1827" s="26">
        <v>1.0</v>
      </c>
      <c r="O1827" s="30"/>
      <c r="P1827" s="26">
        <v>920.0</v>
      </c>
      <c r="Q1827" s="35">
        <v>34.0</v>
      </c>
      <c r="R1827" s="32">
        <v>45811.0</v>
      </c>
      <c r="S1827" s="32">
        <v>45777.0</v>
      </c>
      <c r="T1827" s="29"/>
      <c r="U1827" s="33"/>
      <c r="V1827" s="1"/>
    </row>
    <row r="1828" ht="24.0" customHeight="1">
      <c r="A1828" s="1"/>
      <c r="B1828" s="24" t="str">
        <f>HYPERLINK("https://www.compass.com/listing/1-plaza-street-west-unit-12c-brooklyn-ny-11217/1811816162879640137/view?agent_id=610d3f3370540700019b0833","1 Plaza Street West, Unit 12C")</f>
        <v>1 Plaza Street West, Unit 12C</v>
      </c>
      <c r="C1828" s="25" t="s">
        <v>353</v>
      </c>
      <c r="D1828" s="26" t="s">
        <v>23</v>
      </c>
      <c r="E1828" s="27" t="str">
        <f>HYPERLINK("https://www.compass.com/building/1-plaza-st-w-brooklyn-ny-11217/294836879455081925/","1 Plaza St W")</f>
        <v>1 Plaza St W</v>
      </c>
      <c r="F1828" s="25" t="s">
        <v>40</v>
      </c>
      <c r="G1828" s="28">
        <v>1400000.0</v>
      </c>
      <c r="H1828" s="29"/>
      <c r="I1828" s="28">
        <v>2488.0</v>
      </c>
      <c r="J1828" s="28">
        <v>0.0</v>
      </c>
      <c r="K1828" s="25" t="s">
        <v>25</v>
      </c>
      <c r="L1828" s="26">
        <v>4.0</v>
      </c>
      <c r="M1828" s="26">
        <v>2.0</v>
      </c>
      <c r="N1828" s="26">
        <v>1.0</v>
      </c>
      <c r="O1828" s="30"/>
      <c r="P1828" s="30"/>
      <c r="Q1828" s="35">
        <v>54.0</v>
      </c>
      <c r="R1828" s="32">
        <v>45828.0</v>
      </c>
      <c r="S1828" s="32">
        <v>45764.0</v>
      </c>
      <c r="T1828" s="29"/>
      <c r="U1828" s="33"/>
      <c r="V1828" s="1"/>
    </row>
    <row r="1829" ht="24.0" customHeight="1">
      <c r="A1829" s="1"/>
      <c r="B1829" s="24" t="str">
        <f>HYPERLINK("https://www.compass.com/listing/149-clinton-avenue-unit-2c-brooklyn-ny-11205/1775099541277800913/view?agent_id=610d3f3370540700019b0833","149 Clinton Avenue, Unit 2C")</f>
        <v>149 Clinton Avenue, Unit 2C</v>
      </c>
      <c r="C1829" s="25" t="s">
        <v>353</v>
      </c>
      <c r="D1829" s="26" t="s">
        <v>23</v>
      </c>
      <c r="E1829" s="27" t="str">
        <f>HYPERLINK("https://www.compass.com/building/149-clinton-ave-brooklyn-ny-11205/282498907013984517/","149 Clinton Ave")</f>
        <v>149 Clinton Ave</v>
      </c>
      <c r="F1829" s="25" t="s">
        <v>30</v>
      </c>
      <c r="G1829" s="28">
        <v>700000.0</v>
      </c>
      <c r="H1829" s="29"/>
      <c r="I1829" s="28">
        <v>850.0</v>
      </c>
      <c r="J1829" s="28">
        <v>0.0</v>
      </c>
      <c r="K1829" s="25" t="s">
        <v>25</v>
      </c>
      <c r="L1829" s="26">
        <v>4.0</v>
      </c>
      <c r="M1829" s="26">
        <v>2.0</v>
      </c>
      <c r="N1829" s="26">
        <v>1.0</v>
      </c>
      <c r="O1829" s="26">
        <v>0.0</v>
      </c>
      <c r="P1829" s="30"/>
      <c r="Q1829" s="35">
        <v>68.0</v>
      </c>
      <c r="R1829" s="32">
        <v>45784.0</v>
      </c>
      <c r="S1829" s="32">
        <v>45716.0</v>
      </c>
      <c r="T1829" s="29"/>
      <c r="U1829" s="33"/>
      <c r="V1829" s="1"/>
    </row>
    <row r="1830" ht="24.0" customHeight="1">
      <c r="A1830" s="1"/>
      <c r="B1830" s="24" t="str">
        <f>HYPERLINK("https://www.compass.com/listing/472-greenwich-street-unit-ph-manhattan-ny-10013/1707428622588303161/view?agent_id=610d3f3370540700019b0833","472 Greenwich Street, Unit PH")</f>
        <v>472 Greenwich Street, Unit PH</v>
      </c>
      <c r="C1830" s="25" t="s">
        <v>353</v>
      </c>
      <c r="D1830" s="26" t="s">
        <v>23</v>
      </c>
      <c r="E1830" s="27" t="str">
        <f>HYPERLINK("https://www.compass.com/building/472-greenwich-st-manhattan-ny-10013/281920135978061797/","472 Greenwich St")</f>
        <v>472 Greenwich St</v>
      </c>
      <c r="F1830" s="25" t="s">
        <v>60</v>
      </c>
      <c r="G1830" s="28">
        <v>2295000.0</v>
      </c>
      <c r="H1830" s="29"/>
      <c r="I1830" s="28">
        <v>1850.0</v>
      </c>
      <c r="J1830" s="28">
        <v>0.0</v>
      </c>
      <c r="K1830" s="25" t="s">
        <v>25</v>
      </c>
      <c r="L1830" s="26">
        <v>3.0</v>
      </c>
      <c r="M1830" s="26">
        <v>2.0</v>
      </c>
      <c r="N1830" s="26">
        <v>1.0</v>
      </c>
      <c r="O1830" s="30"/>
      <c r="P1830" s="30"/>
      <c r="Q1830" s="35">
        <v>120.0</v>
      </c>
      <c r="R1830" s="32">
        <v>45841.0</v>
      </c>
      <c r="S1830" s="32">
        <v>45607.0</v>
      </c>
      <c r="T1830" s="29"/>
      <c r="U1830" s="33"/>
      <c r="V1830" s="1"/>
    </row>
    <row r="1831" ht="24.0" customHeight="1">
      <c r="A1831" s="1"/>
      <c r="B1831" s="24" t="str">
        <f>HYPERLINK("https://www.compass.com/listing/66-washington-avenue-unit-2-brooklyn-ny-11205/1761925423710105161/view?agent_id=610d3f3370540700019b0833","66 Washington Ave, Unit 2")</f>
        <v>66 Washington Ave, Unit 2</v>
      </c>
      <c r="C1831" s="25" t="s">
        <v>353</v>
      </c>
      <c r="D1831" s="26" t="s">
        <v>23</v>
      </c>
      <c r="E1831" s="27" t="str">
        <f>HYPERLINK("https://www.compass.com/building/66-washington-ave-brooklyn-ny-11205/282510173996668885/","66 Washington Ave")</f>
        <v>66 Washington Ave</v>
      </c>
      <c r="F1831" s="25" t="s">
        <v>30</v>
      </c>
      <c r="G1831" s="28">
        <v>1995000.0</v>
      </c>
      <c r="H1831" s="28">
        <v>1099.0</v>
      </c>
      <c r="I1831" s="28">
        <v>2779.0</v>
      </c>
      <c r="J1831" s="28">
        <v>21353.0</v>
      </c>
      <c r="K1831" s="25" t="s">
        <v>28</v>
      </c>
      <c r="L1831" s="26">
        <v>4.0</v>
      </c>
      <c r="M1831" s="26">
        <v>2.0</v>
      </c>
      <c r="N1831" s="26">
        <v>1.0</v>
      </c>
      <c r="O1831" s="30"/>
      <c r="P1831" s="34">
        <v>1816.0</v>
      </c>
      <c r="Q1831" s="35">
        <v>138.0</v>
      </c>
      <c r="R1831" s="32">
        <v>45863.0</v>
      </c>
      <c r="S1831" s="32">
        <v>45683.0</v>
      </c>
      <c r="T1831" s="29"/>
      <c r="U1831" s="33"/>
      <c r="V1831" s="1"/>
    </row>
    <row r="1832" ht="24.0" customHeight="1">
      <c r="A1832" s="1"/>
      <c r="B1832" s="24" t="str">
        <f>HYPERLINK("https://www.compass.com/listing/105-lexington-avenue-unit-2e-brooklyn-ny-11238/1850227666594649289/view?agent_id=610d3f3370540700019b0833","105 Lexington Ave, Unit 2E")</f>
        <v>105 Lexington Ave, Unit 2E</v>
      </c>
      <c r="C1832" s="25" t="s">
        <v>353</v>
      </c>
      <c r="D1832" s="26" t="s">
        <v>23</v>
      </c>
      <c r="E1832" s="27" t="str">
        <f>HYPERLINK("https://www.compass.com/building/lot-58-lofts-brooklyn-ny/293417332255092245/","Lot 58 Lofts")</f>
        <v>Lot 58 Lofts</v>
      </c>
      <c r="F1832" s="25" t="s">
        <v>51</v>
      </c>
      <c r="G1832" s="28">
        <v>1225000.0</v>
      </c>
      <c r="H1832" s="28">
        <v>1114.0</v>
      </c>
      <c r="I1832" s="28">
        <v>1264.0</v>
      </c>
      <c r="J1832" s="28">
        <v>7968.0</v>
      </c>
      <c r="K1832" s="25" t="s">
        <v>28</v>
      </c>
      <c r="L1832" s="26">
        <v>6.0</v>
      </c>
      <c r="M1832" s="26">
        <v>2.0</v>
      </c>
      <c r="N1832" s="26">
        <v>1.0</v>
      </c>
      <c r="O1832" s="30"/>
      <c r="P1832" s="34">
        <v>1100.0</v>
      </c>
      <c r="Q1832" s="35">
        <v>32.0</v>
      </c>
      <c r="R1832" s="32">
        <v>45839.0</v>
      </c>
      <c r="S1832" s="32">
        <v>45806.0</v>
      </c>
      <c r="T1832" s="29"/>
      <c r="U1832" s="33"/>
      <c r="V1832" s="1"/>
    </row>
    <row r="1833" ht="24.0" customHeight="1">
      <c r="A1833" s="1"/>
      <c r="B1833" s="24" t="str">
        <f>HYPERLINK("https://www.compass.com/listing/30-ocean-parkway-unit-5h-brooklyn-ny-11218/1840688443909273345/view?agent_id=610d3f3370540700019b0833","30 Ocean Pkwy, Unit 5H")</f>
        <v>30 Ocean Pkwy, Unit 5H</v>
      </c>
      <c r="C1833" s="25" t="s">
        <v>353</v>
      </c>
      <c r="D1833" s="26" t="s">
        <v>23</v>
      </c>
      <c r="E1833" s="27" t="str">
        <f>HYPERLINK("https://www.compass.com/building/30-ocean-pkwy-brooklyn-ny-11218/293416551208561381/","30 Ocean Pkwy")</f>
        <v>30 Ocean Pkwy</v>
      </c>
      <c r="F1833" s="25" t="s">
        <v>106</v>
      </c>
      <c r="G1833" s="28">
        <v>899000.0</v>
      </c>
      <c r="H1833" s="29"/>
      <c r="I1833" s="28">
        <v>1281.0</v>
      </c>
      <c r="J1833" s="28">
        <v>0.0</v>
      </c>
      <c r="K1833" s="25" t="s">
        <v>25</v>
      </c>
      <c r="L1833" s="26">
        <v>4.0</v>
      </c>
      <c r="M1833" s="26">
        <v>2.0</v>
      </c>
      <c r="N1833" s="26">
        <v>1.0</v>
      </c>
      <c r="O1833" s="30"/>
      <c r="P1833" s="30"/>
      <c r="Q1833" s="35">
        <v>23.0</v>
      </c>
      <c r="R1833" s="32">
        <v>45815.0</v>
      </c>
      <c r="S1833" s="32">
        <v>45791.0</v>
      </c>
      <c r="T1833" s="29"/>
      <c r="U1833" s="33"/>
      <c r="V1833" s="1"/>
    </row>
    <row r="1834" ht="24.0" customHeight="1">
      <c r="A1834" s="1"/>
      <c r="B1834" s="24" t="str">
        <f>HYPERLINK("https://www.compass.com/listing/334-union-street-unit-3-brooklyn-ny-11231/1713348931785057073/view?agent_id=610d3f3370540700019b0833","334 Union St, Unit 3")</f>
        <v>334 Union St, Unit 3</v>
      </c>
      <c r="C1834" s="25" t="s">
        <v>353</v>
      </c>
      <c r="D1834" s="26" t="s">
        <v>23</v>
      </c>
      <c r="E1834" s="27" t="str">
        <f>HYPERLINK("https://www.compass.com/building/334-union-st-brooklyn-ny-11231/282493613357730389/","334 Union St")</f>
        <v>334 Union St</v>
      </c>
      <c r="F1834" s="25" t="s">
        <v>65</v>
      </c>
      <c r="G1834" s="28">
        <v>926000.0</v>
      </c>
      <c r="H1834" s="28">
        <v>1220.0</v>
      </c>
      <c r="I1834" s="28">
        <v>915.0</v>
      </c>
      <c r="J1834" s="28">
        <v>4200.0</v>
      </c>
      <c r="K1834" s="25" t="s">
        <v>28</v>
      </c>
      <c r="L1834" s="26">
        <v>3.0</v>
      </c>
      <c r="M1834" s="26">
        <v>2.0</v>
      </c>
      <c r="N1834" s="26">
        <v>1.0</v>
      </c>
      <c r="O1834" s="26">
        <v>0.0</v>
      </c>
      <c r="P1834" s="26">
        <v>759.0</v>
      </c>
      <c r="Q1834" s="35">
        <v>17.0</v>
      </c>
      <c r="R1834" s="32">
        <v>45855.0</v>
      </c>
      <c r="S1834" s="32">
        <v>45727.0</v>
      </c>
      <c r="T1834" s="29"/>
      <c r="U1834" s="33"/>
      <c r="V1834" s="1"/>
    </row>
    <row r="1835" ht="24.0" customHeight="1">
      <c r="A1835" s="1"/>
      <c r="B1835" s="24" t="str">
        <f>HYPERLINK("https://www.compass.com/listing/504-west-111th-street-unit-33-manhattan-ny-10025/1866150702233450369/view?agent_id=610d3f3370540700019b0833","504 W 111th St, Unit 33")</f>
        <v>504 W 111th St, Unit 33</v>
      </c>
      <c r="C1835" s="25" t="s">
        <v>353</v>
      </c>
      <c r="D1835" s="26" t="s">
        <v>23</v>
      </c>
      <c r="E1835" s="27" t="str">
        <f>HYPERLINK("https://www.compass.com/building/504-w-111th-st-manhattan-ny-10025/281972176947601397/","504 W 111th St")</f>
        <v>504 W 111th St</v>
      </c>
      <c r="F1835" s="25" t="s">
        <v>41</v>
      </c>
      <c r="G1835" s="28">
        <v>775000.0</v>
      </c>
      <c r="H1835" s="29"/>
      <c r="I1835" s="28">
        <v>1959.0</v>
      </c>
      <c r="J1835" s="28">
        <v>0.0</v>
      </c>
      <c r="K1835" s="25" t="s">
        <v>25</v>
      </c>
      <c r="L1835" s="26">
        <v>4.0</v>
      </c>
      <c r="M1835" s="26">
        <v>2.0</v>
      </c>
      <c r="N1835" s="26">
        <v>1.0</v>
      </c>
      <c r="O1835" s="26">
        <v>0.0</v>
      </c>
      <c r="P1835" s="30"/>
      <c r="Q1835" s="35">
        <v>34.0</v>
      </c>
      <c r="R1835" s="32">
        <v>45861.0</v>
      </c>
      <c r="S1835" s="32">
        <v>45826.0</v>
      </c>
      <c r="T1835" s="29"/>
      <c r="U1835" s="33"/>
      <c r="V1835" s="1"/>
    </row>
    <row r="1836" ht="24.0" customHeight="1">
      <c r="A1836" s="1"/>
      <c r="B1836" s="24" t="str">
        <f>HYPERLINK("https://www.compass.com/listing/541-madison-street-unit-4-brooklyn-ny-11221/1817417484100192529/view?agent_id=610d3f3370540700019b0833","541 Madison St, Unit 4")</f>
        <v>541 Madison St, Unit 4</v>
      </c>
      <c r="C1836" s="25" t="s">
        <v>353</v>
      </c>
      <c r="D1836" s="26" t="s">
        <v>23</v>
      </c>
      <c r="E1836" s="27" t="str">
        <f>HYPERLINK("https://www.compass.com/building/the-adler-brooklyn-ny/293426441217973861/","The Adler")</f>
        <v>The Adler</v>
      </c>
      <c r="F1836" s="25" t="s">
        <v>51</v>
      </c>
      <c r="G1836" s="28">
        <v>1050000.0</v>
      </c>
      <c r="H1836" s="28">
        <v>1193.0</v>
      </c>
      <c r="I1836" s="28">
        <v>378.0</v>
      </c>
      <c r="J1836" s="28">
        <v>720.0</v>
      </c>
      <c r="K1836" s="25" t="s">
        <v>28</v>
      </c>
      <c r="L1836" s="26">
        <v>3.0</v>
      </c>
      <c r="M1836" s="26">
        <v>2.0</v>
      </c>
      <c r="N1836" s="26">
        <v>1.0</v>
      </c>
      <c r="O1836" s="30"/>
      <c r="P1836" s="26">
        <v>880.0</v>
      </c>
      <c r="Q1836" s="35">
        <v>83.0</v>
      </c>
      <c r="R1836" s="32">
        <v>45852.0</v>
      </c>
      <c r="S1836" s="32">
        <v>45769.0</v>
      </c>
      <c r="T1836" s="29"/>
      <c r="U1836" s="33"/>
      <c r="V1836" s="1"/>
    </row>
    <row r="1837" ht="24.0" customHeight="1">
      <c r="A1837" s="1"/>
      <c r="B1837" s="24" t="str">
        <f>HYPERLINK("https://www.compass.com/listing/178-east-80th-street-unit-7f-manhattan-ny-10075/1803164970446887505/view?agent_id=610d3f3370540700019b0833","178 East 80th Street, Unit 7F")</f>
        <v>178 East 80th Street, Unit 7F</v>
      </c>
      <c r="C1837" s="25" t="s">
        <v>353</v>
      </c>
      <c r="D1837" s="26" t="s">
        <v>23</v>
      </c>
      <c r="E1837" s="27" t="str">
        <f>HYPERLINK("https://www.compass.com/building/the-kenilworth-manhattan-ny/282060668415279813/","The Kenilworth")</f>
        <v>The Kenilworth</v>
      </c>
      <c r="F1837" s="25" t="s">
        <v>44</v>
      </c>
      <c r="G1837" s="28">
        <v>635000.0</v>
      </c>
      <c r="H1837" s="29"/>
      <c r="I1837" s="28">
        <v>1870.0</v>
      </c>
      <c r="J1837" s="28">
        <v>0.0</v>
      </c>
      <c r="K1837" s="25" t="s">
        <v>25</v>
      </c>
      <c r="L1837" s="26">
        <v>4.0</v>
      </c>
      <c r="M1837" s="26">
        <v>2.0</v>
      </c>
      <c r="N1837" s="26">
        <v>1.0</v>
      </c>
      <c r="O1837" s="30"/>
      <c r="P1837" s="30"/>
      <c r="Q1837" s="35">
        <v>20.0</v>
      </c>
      <c r="R1837" s="32">
        <v>45827.0</v>
      </c>
      <c r="S1837" s="32">
        <v>45743.0</v>
      </c>
      <c r="T1837" s="29"/>
      <c r="U1837" s="33"/>
      <c r="V1837" s="1"/>
    </row>
    <row r="1838" ht="24.0" customHeight="1">
      <c r="A1838" s="1"/>
      <c r="B1838" s="24" t="str">
        <f>HYPERLINK("https://www.compass.com/listing/360-furman-street-unit-815-brooklyn-ny-11201/1770360802406698265/view?agent_id=610d3f3370540700019b0833","360 Furman St, Unit 815")</f>
        <v>360 Furman St, Unit 815</v>
      </c>
      <c r="C1838" s="25" t="s">
        <v>353</v>
      </c>
      <c r="D1838" s="26" t="s">
        <v>23</v>
      </c>
      <c r="E1838" s="27" t="str">
        <f>HYPERLINK("https://www.compass.com/building/one-brooklyn-bridge-park-brooklyn-ny/282511476177068565/","One Brooklyn Bridge Park")</f>
        <v>One Brooklyn Bridge Park</v>
      </c>
      <c r="F1838" s="25" t="s">
        <v>52</v>
      </c>
      <c r="G1838" s="28">
        <v>1319000.0</v>
      </c>
      <c r="H1838" s="28">
        <v>1315.0</v>
      </c>
      <c r="I1838" s="28">
        <v>2384.0</v>
      </c>
      <c r="J1838" s="28">
        <v>12202.0</v>
      </c>
      <c r="K1838" s="25" t="s">
        <v>28</v>
      </c>
      <c r="L1838" s="26">
        <v>4.0</v>
      </c>
      <c r="M1838" s="26">
        <v>2.0</v>
      </c>
      <c r="N1838" s="26">
        <v>1.0</v>
      </c>
      <c r="O1838" s="26">
        <v>0.0</v>
      </c>
      <c r="P1838" s="34">
        <v>1003.0</v>
      </c>
      <c r="Q1838" s="35">
        <v>110.0</v>
      </c>
      <c r="R1838" s="32">
        <v>45828.0</v>
      </c>
      <c r="S1838" s="32">
        <v>45694.0</v>
      </c>
      <c r="T1838" s="29"/>
      <c r="U1838" s="33"/>
      <c r="V1838" s="1"/>
    </row>
    <row r="1839" ht="24.0" customHeight="1">
      <c r="A1839" s="1"/>
      <c r="B1839" s="24" t="str">
        <f>HYPERLINK("https://www.compass.com/listing/149-lafayette-avenue-unit-2a-brooklyn-ny-11238/1829245745371889553/view?agent_id=610d3f3370540700019b0833","149 Lafayette Ave, Unit 2A")</f>
        <v>149 Lafayette Ave, Unit 2A</v>
      </c>
      <c r="C1839" s="25" t="s">
        <v>353</v>
      </c>
      <c r="D1839" s="26" t="s">
        <v>23</v>
      </c>
      <c r="E1839" s="26" t="s">
        <v>356</v>
      </c>
      <c r="F1839" s="25" t="s">
        <v>59</v>
      </c>
      <c r="G1839" s="28">
        <v>1250000.0</v>
      </c>
      <c r="H1839" s="29"/>
      <c r="I1839" s="28">
        <v>1040.0</v>
      </c>
      <c r="J1839" s="28">
        <v>0.0</v>
      </c>
      <c r="K1839" s="25" t="s">
        <v>25</v>
      </c>
      <c r="L1839" s="26">
        <v>4.0</v>
      </c>
      <c r="M1839" s="26">
        <v>2.0</v>
      </c>
      <c r="N1839" s="26">
        <v>1.0</v>
      </c>
      <c r="O1839" s="30"/>
      <c r="P1839" s="30"/>
      <c r="Q1839" s="35">
        <v>30.0</v>
      </c>
      <c r="R1839" s="32">
        <v>45807.0</v>
      </c>
      <c r="S1839" s="32">
        <v>45777.0</v>
      </c>
      <c r="T1839" s="29"/>
      <c r="U1839" s="33"/>
      <c r="V1839" s="1"/>
    </row>
    <row r="1840" ht="24.0" customHeight="1">
      <c r="A1840" s="1"/>
      <c r="B1840" s="24" t="str">
        <f>HYPERLINK("https://www.compass.com/listing/110-east-87th-street-unit-5c-manhattan-ny-10128/1793065586383172929/view?agent_id=610d3f3370540700019b0833","110 E 87th St, Unit 5C")</f>
        <v>110 E 87th St, Unit 5C</v>
      </c>
      <c r="C1840" s="25" t="s">
        <v>353</v>
      </c>
      <c r="D1840" s="26" t="s">
        <v>23</v>
      </c>
      <c r="E1840" s="27" t="str">
        <f>HYPERLINK("https://www.compass.com/building/110-e-87th-st-manhattan-ny-10128/292929379745428629/","110 E 87th St")</f>
        <v>110 E 87th St</v>
      </c>
      <c r="F1840" s="25" t="s">
        <v>44</v>
      </c>
      <c r="G1840" s="28">
        <v>1375000.0</v>
      </c>
      <c r="H1840" s="28">
        <v>1175.0</v>
      </c>
      <c r="I1840" s="28">
        <v>3005.0</v>
      </c>
      <c r="J1840" s="28">
        <v>13680.0</v>
      </c>
      <c r="K1840" s="25" t="s">
        <v>28</v>
      </c>
      <c r="L1840" s="26">
        <v>4.0</v>
      </c>
      <c r="M1840" s="26">
        <v>2.0</v>
      </c>
      <c r="N1840" s="26">
        <v>1.0</v>
      </c>
      <c r="O1840" s="26">
        <v>0.0</v>
      </c>
      <c r="P1840" s="34">
        <v>1170.0</v>
      </c>
      <c r="Q1840" s="35">
        <v>19.0</v>
      </c>
      <c r="R1840" s="32">
        <v>45769.0</v>
      </c>
      <c r="S1840" s="32">
        <v>45750.0</v>
      </c>
      <c r="T1840" s="29"/>
      <c r="U1840" s="33"/>
      <c r="V1840" s="1"/>
    </row>
    <row r="1841" ht="24.0" customHeight="1">
      <c r="A1841" s="1"/>
      <c r="B1841" s="24" t="str">
        <f>HYPERLINK("https://www.compass.com/listing/609-west-114th-street-unit-35-manhattan-ny-10025/1832020600187718489/view?agent_id=610d3f3370540700019b0833","609 W 114th St, Unit 35")</f>
        <v>609 W 114th St, Unit 35</v>
      </c>
      <c r="C1841" s="25" t="s">
        <v>353</v>
      </c>
      <c r="D1841" s="26" t="s">
        <v>23</v>
      </c>
      <c r="E1841" s="27" t="str">
        <f>HYPERLINK("https://www.compass.com/building/609-w-114th-st-manhattan-ny-10025/294844324562695845/","609 W 114th St")</f>
        <v>609 W 114th St</v>
      </c>
      <c r="F1841" s="25" t="s">
        <v>41</v>
      </c>
      <c r="G1841" s="28">
        <v>570000.0</v>
      </c>
      <c r="H1841" s="29"/>
      <c r="I1841" s="28">
        <v>1397.0</v>
      </c>
      <c r="J1841" s="28">
        <v>0.0</v>
      </c>
      <c r="K1841" s="25" t="s">
        <v>25</v>
      </c>
      <c r="L1841" s="26">
        <v>3.0</v>
      </c>
      <c r="M1841" s="26">
        <v>2.0</v>
      </c>
      <c r="N1841" s="26">
        <v>1.0</v>
      </c>
      <c r="O1841" s="30"/>
      <c r="P1841" s="30"/>
      <c r="Q1841" s="35">
        <v>51.0</v>
      </c>
      <c r="R1841" s="32">
        <v>45845.0</v>
      </c>
      <c r="S1841" s="32">
        <v>45793.0</v>
      </c>
      <c r="T1841" s="29"/>
      <c r="U1841" s="33"/>
      <c r="V1841" s="1"/>
    </row>
    <row r="1842" ht="24.0" customHeight="1">
      <c r="A1842" s="1"/>
      <c r="B1842" s="24" t="str">
        <f>HYPERLINK("https://www.compass.com/listing/120-east-90th-street-unit-8c-manhattan-ny-10128/1811084948682324673/view?agent_id=610d3f3370540700019b0833","120 E 90th St, Unit 8C")</f>
        <v>120 E 90th St, Unit 8C</v>
      </c>
      <c r="C1842" s="25" t="s">
        <v>353</v>
      </c>
      <c r="D1842" s="26" t="s">
        <v>23</v>
      </c>
      <c r="E1842" s="27" t="str">
        <f>HYPERLINK("https://www.compass.com/building/trafalgar-house-manhattan-ny/282046364320292261/","Trafalgar House")</f>
        <v>Trafalgar House</v>
      </c>
      <c r="F1842" s="25" t="s">
        <v>44</v>
      </c>
      <c r="G1842" s="28">
        <v>1195000.0</v>
      </c>
      <c r="H1842" s="28">
        <v>1406.0</v>
      </c>
      <c r="I1842" s="28">
        <v>2595.0</v>
      </c>
      <c r="J1842" s="28">
        <v>11873.0</v>
      </c>
      <c r="K1842" s="25" t="s">
        <v>28</v>
      </c>
      <c r="L1842" s="26">
        <v>4.0</v>
      </c>
      <c r="M1842" s="26">
        <v>2.0</v>
      </c>
      <c r="N1842" s="26">
        <v>1.0</v>
      </c>
      <c r="O1842" s="30"/>
      <c r="P1842" s="26">
        <v>850.0</v>
      </c>
      <c r="Q1842" s="35">
        <v>48.0</v>
      </c>
      <c r="R1842" s="32">
        <v>45804.0</v>
      </c>
      <c r="S1842" s="32">
        <v>45756.0</v>
      </c>
      <c r="T1842" s="29"/>
      <c r="U1842" s="33"/>
      <c r="V1842" s="1"/>
    </row>
    <row r="1843" ht="24.0" customHeight="1">
      <c r="A1843" s="1"/>
      <c r="B1843" s="24" t="str">
        <f>HYPERLINK("https://www.compass.com/listing/278-nassau-avenue-unit-3b-brooklyn-ny-11222/1763964039734889665/view?agent_id=610d3f3370540700019b0833","278 Nassau Ave, Unit 3B")</f>
        <v>278 Nassau Ave, Unit 3B</v>
      </c>
      <c r="C1843" s="25" t="s">
        <v>353</v>
      </c>
      <c r="D1843" s="26" t="s">
        <v>23</v>
      </c>
      <c r="E1843" s="27" t="str">
        <f>HYPERLINK("https://www.compass.com/building/278-nassau-ave-brooklyn-ny-11222/282417872943281973/","278 Nassau Ave")</f>
        <v>278 Nassau Ave</v>
      </c>
      <c r="F1843" s="25" t="s">
        <v>56</v>
      </c>
      <c r="G1843" s="28">
        <v>1250000.0</v>
      </c>
      <c r="H1843" s="28">
        <v>1112.0</v>
      </c>
      <c r="I1843" s="28">
        <v>1228.0</v>
      </c>
      <c r="J1843" s="28">
        <v>8868.0</v>
      </c>
      <c r="K1843" s="25" t="s">
        <v>28</v>
      </c>
      <c r="L1843" s="26">
        <v>5.0</v>
      </c>
      <c r="M1843" s="26">
        <v>2.0</v>
      </c>
      <c r="N1843" s="26">
        <v>1.0</v>
      </c>
      <c r="O1843" s="30"/>
      <c r="P1843" s="34">
        <v>1124.0</v>
      </c>
      <c r="Q1843" s="35">
        <v>93.0</v>
      </c>
      <c r="R1843" s="32">
        <v>45786.0</v>
      </c>
      <c r="S1843" s="32">
        <v>45692.0</v>
      </c>
      <c r="T1843" s="29"/>
      <c r="U1843" s="33"/>
      <c r="V1843" s="1"/>
    </row>
    <row r="1844" ht="24.0" customHeight="1">
      <c r="A1844" s="1"/>
      <c r="B1844" s="24" t="str">
        <f>HYPERLINK("https://www.compass.com/listing/171-monitor-street-brooklyn-ny-11222/1823975951356718849/view?agent_id=610d3f3370540700019b0833","171 Monitor St")</f>
        <v>171 Monitor St</v>
      </c>
      <c r="C1844" s="25" t="s">
        <v>353</v>
      </c>
      <c r="D1844" s="26" t="s">
        <v>23</v>
      </c>
      <c r="E1844" s="27" t="str">
        <f>HYPERLINK("https://www.compass.com/building/171-monitor-st-brooklyn-ny-11222/282409275047888101/","171 Monitor St")</f>
        <v>171 Monitor St</v>
      </c>
      <c r="F1844" s="25" t="s">
        <v>56</v>
      </c>
      <c r="G1844" s="28">
        <v>1795000.0</v>
      </c>
      <c r="H1844" s="29"/>
      <c r="I1844" s="28">
        <v>358.0</v>
      </c>
      <c r="J1844" s="28">
        <v>4296.0</v>
      </c>
      <c r="K1844" s="25" t="s">
        <v>36</v>
      </c>
      <c r="L1844" s="26">
        <v>3.0</v>
      </c>
      <c r="M1844" s="26">
        <v>2.0</v>
      </c>
      <c r="N1844" s="26">
        <v>1.0</v>
      </c>
      <c r="O1844" s="30"/>
      <c r="P1844" s="26">
        <v>0.0</v>
      </c>
      <c r="Q1844" s="35">
        <v>85.0</v>
      </c>
      <c r="R1844" s="32">
        <v>45859.0</v>
      </c>
      <c r="S1844" s="32">
        <v>45768.0</v>
      </c>
      <c r="T1844" s="29"/>
      <c r="U1844" s="33"/>
      <c r="V1844" s="1"/>
    </row>
    <row r="1845" ht="24.0" customHeight="1">
      <c r="A1845" s="1"/>
      <c r="B1845" s="24" t="str">
        <f>HYPERLINK("https://www.compass.com/listing/131-east-93rd-street-unit-3d-manhattan-ny-10128/1845726484588502697/view?agent_id=610d3f3370540700019b0833","131 E 93rd St, Unit 3D")</f>
        <v>131 E 93rd St, Unit 3D</v>
      </c>
      <c r="C1845" s="25" t="s">
        <v>353</v>
      </c>
      <c r="D1845" s="26" t="s">
        <v>23</v>
      </c>
      <c r="E1845" s="27" t="str">
        <f>HYPERLINK("https://www.compass.com/building/131-e-93rd-st-manhattan-ny-10128/282046992551536277/","131 E 93rd St")</f>
        <v>131 E 93rd St</v>
      </c>
      <c r="F1845" s="25" t="s">
        <v>44</v>
      </c>
      <c r="G1845" s="28">
        <v>929000.0</v>
      </c>
      <c r="H1845" s="29"/>
      <c r="I1845" s="28">
        <v>2369.0</v>
      </c>
      <c r="J1845" s="28">
        <v>0.0</v>
      </c>
      <c r="K1845" s="25" t="s">
        <v>25</v>
      </c>
      <c r="L1845" s="26">
        <v>5.0</v>
      </c>
      <c r="M1845" s="26">
        <v>2.0</v>
      </c>
      <c r="N1845" s="26">
        <v>1.0</v>
      </c>
      <c r="O1845" s="30"/>
      <c r="P1845" s="30"/>
      <c r="Q1845" s="35">
        <v>46.0</v>
      </c>
      <c r="R1845" s="32">
        <v>45845.0</v>
      </c>
      <c r="S1845" s="32">
        <v>45798.0</v>
      </c>
      <c r="T1845" s="29"/>
      <c r="U1845" s="33"/>
      <c r="V1845" s="1"/>
    </row>
    <row r="1846" ht="24.0" customHeight="1">
      <c r="A1846" s="1"/>
      <c r="B1846" s="24" t="str">
        <f>HYPERLINK("https://www.compass.com/listing/702-hancock-street-unit-2b-brooklyn-ny-11233/1634179387546590617/view?agent_id=610d3f3370540700019b0833","702 Hancock St, Unit 2B")</f>
        <v>702 Hancock St, Unit 2B</v>
      </c>
      <c r="C1846" s="25" t="s">
        <v>353</v>
      </c>
      <c r="D1846" s="26" t="s">
        <v>23</v>
      </c>
      <c r="E1846" s="27" t="str">
        <f>HYPERLINK("https://www.compass.com/building/702-hancock-st-brooklyn-ny-11233/293533814049759589/","702 Hancock St")</f>
        <v>702 Hancock St</v>
      </c>
      <c r="F1846" s="25" t="s">
        <v>51</v>
      </c>
      <c r="G1846" s="28">
        <v>795000.0</v>
      </c>
      <c r="H1846" s="28">
        <v>1023.0</v>
      </c>
      <c r="I1846" s="28">
        <v>349.0</v>
      </c>
      <c r="J1846" s="28">
        <v>813.0</v>
      </c>
      <c r="K1846" s="25" t="s">
        <v>28</v>
      </c>
      <c r="L1846" s="26">
        <v>5.0</v>
      </c>
      <c r="M1846" s="26">
        <v>2.0</v>
      </c>
      <c r="N1846" s="26">
        <v>1.0</v>
      </c>
      <c r="O1846" s="26">
        <v>0.0</v>
      </c>
      <c r="P1846" s="26">
        <v>777.0</v>
      </c>
      <c r="Q1846" s="35">
        <v>318.0</v>
      </c>
      <c r="R1846" s="32">
        <v>45859.0</v>
      </c>
      <c r="S1846" s="32">
        <v>45539.0</v>
      </c>
      <c r="T1846" s="29"/>
      <c r="U1846" s="33"/>
      <c r="V1846" s="1"/>
    </row>
    <row r="1847" ht="24.0" customHeight="1">
      <c r="A1847" s="1"/>
      <c r="B1847" s="24" t="str">
        <f>HYPERLINK("https://www.compass.com/listing/345-montgomery-street-unit-4n-brooklyn-ny-11225/1429404059339408305/view?agent_id=610d3f3370540700019b0833","345 Montgomery Street, Unit 4N")</f>
        <v>345 Montgomery Street, Unit 4N</v>
      </c>
      <c r="C1847" s="25" t="s">
        <v>353</v>
      </c>
      <c r="D1847" s="26" t="s">
        <v>23</v>
      </c>
      <c r="E1847" s="27" t="str">
        <f>HYPERLINK("https://www.compass.com/building/the-dearborn-brooklyn-ny/293534796993295621/","The Dearborn")</f>
        <v>The Dearborn</v>
      </c>
      <c r="F1847" s="25" t="s">
        <v>113</v>
      </c>
      <c r="G1847" s="28">
        <v>649000.0</v>
      </c>
      <c r="H1847" s="29"/>
      <c r="I1847" s="28">
        <v>1209.0</v>
      </c>
      <c r="J1847" s="28">
        <v>0.0</v>
      </c>
      <c r="K1847" s="25" t="s">
        <v>25</v>
      </c>
      <c r="L1847" s="26">
        <v>5.0</v>
      </c>
      <c r="M1847" s="26">
        <v>2.0</v>
      </c>
      <c r="N1847" s="26">
        <v>1.0</v>
      </c>
      <c r="O1847" s="26">
        <v>0.0</v>
      </c>
      <c r="P1847" s="30"/>
      <c r="Q1847" s="35">
        <v>65.0</v>
      </c>
      <c r="R1847" s="32">
        <v>45820.0</v>
      </c>
      <c r="S1847" s="32">
        <v>45224.0</v>
      </c>
      <c r="T1847" s="29"/>
      <c r="U1847" s="33"/>
      <c r="V1847" s="1"/>
    </row>
    <row r="1848" ht="24.0" customHeight="1">
      <c r="A1848" s="1"/>
      <c r="B1848" s="24" t="str">
        <f>HYPERLINK("https://www.compass.com/listing/118-union-street-unit-9a-brooklyn-ny-11231/1826209843593388521/view?agent_id=610d3f3370540700019b0833","118 Union St, Unit 9A")</f>
        <v>118 Union St, Unit 9A</v>
      </c>
      <c r="C1848" s="25" t="s">
        <v>353</v>
      </c>
      <c r="D1848" s="26" t="s">
        <v>23</v>
      </c>
      <c r="E1848" s="27" t="str">
        <f>HYPERLINK("https://www.compass.com/building/fifth-columbia-terrace-brooklyn-ny/293416757878696997/","Fifth Columbia Terrace")</f>
        <v>Fifth Columbia Terrace</v>
      </c>
      <c r="F1848" s="25" t="s">
        <v>122</v>
      </c>
      <c r="G1848" s="28">
        <v>1025000.0</v>
      </c>
      <c r="H1848" s="28">
        <v>1206.0</v>
      </c>
      <c r="I1848" s="28">
        <v>719.0</v>
      </c>
      <c r="J1848" s="28">
        <v>3396.0</v>
      </c>
      <c r="K1848" s="25" t="s">
        <v>28</v>
      </c>
      <c r="L1848" s="26">
        <v>4.0</v>
      </c>
      <c r="M1848" s="26">
        <v>2.0</v>
      </c>
      <c r="N1848" s="26">
        <v>1.0</v>
      </c>
      <c r="O1848" s="26">
        <v>0.0</v>
      </c>
      <c r="P1848" s="26">
        <v>850.0</v>
      </c>
      <c r="Q1848" s="35">
        <v>82.0</v>
      </c>
      <c r="R1848" s="32">
        <v>45853.0</v>
      </c>
      <c r="S1848" s="32">
        <v>45771.0</v>
      </c>
      <c r="T1848" s="29"/>
      <c r="U1848" s="33"/>
      <c r="V1848" s="1"/>
    </row>
    <row r="1849" ht="24.0" customHeight="1">
      <c r="A1849" s="1"/>
      <c r="B1849" s="24" t="str">
        <f>HYPERLINK("https://www.compass.com/listing/960-sterling-place-unit-6j-brooklyn-ny-11213/1855833221254119825/view?agent_id=610d3f3370540700019b0833","960 Sterling Pl, Unit 6J")</f>
        <v>960 Sterling Pl, Unit 6J</v>
      </c>
      <c r="C1849" s="25" t="s">
        <v>353</v>
      </c>
      <c r="D1849" s="26" t="s">
        <v>23</v>
      </c>
      <c r="E1849" s="27" t="str">
        <f>HYPERLINK("https://www.compass.com/building/960-sterling-pl-brooklyn-ny-11213/293530098810813637/","960 Sterling Pl")</f>
        <v>960 Sterling Pl</v>
      </c>
      <c r="F1849" s="25" t="s">
        <v>113</v>
      </c>
      <c r="G1849" s="28">
        <v>795000.0</v>
      </c>
      <c r="H1849" s="29"/>
      <c r="I1849" s="28">
        <v>1339.0</v>
      </c>
      <c r="J1849" s="28">
        <v>0.0</v>
      </c>
      <c r="K1849" s="25" t="s">
        <v>25</v>
      </c>
      <c r="L1849" s="26">
        <v>5.0</v>
      </c>
      <c r="M1849" s="26">
        <v>2.0</v>
      </c>
      <c r="N1849" s="26">
        <v>1.0</v>
      </c>
      <c r="O1849" s="30"/>
      <c r="P1849" s="30"/>
      <c r="Q1849" s="35">
        <v>26.0</v>
      </c>
      <c r="R1849" s="32">
        <v>45838.0</v>
      </c>
      <c r="S1849" s="32">
        <v>45812.0</v>
      </c>
      <c r="T1849" s="29"/>
      <c r="U1849" s="33"/>
      <c r="V1849" s="1"/>
    </row>
    <row r="1850" ht="24.0" customHeight="1">
      <c r="A1850" s="1"/>
      <c r="B1850" s="24" t="str">
        <f>HYPERLINK("https://www.compass.com/listing/303-east-37th-street-unit-2k-manhattan-ny-10016/1832799085072057185/view?agent_id=610d3f3370540700019b0833","303 E 37th St, Unit 2K")</f>
        <v>303 E 37th St, Unit 2K</v>
      </c>
      <c r="C1850" s="25" t="s">
        <v>353</v>
      </c>
      <c r="D1850" s="26" t="s">
        <v>23</v>
      </c>
      <c r="E1850" s="27" t="str">
        <f>HYPERLINK("https://www.compass.com/building/303-e-37th-st-manhattan-ny-10016/292842092823116037/","303 E 37th St")</f>
        <v>303 E 37th St</v>
      </c>
      <c r="F1850" s="25" t="s">
        <v>72</v>
      </c>
      <c r="G1850" s="28">
        <v>699000.0</v>
      </c>
      <c r="H1850" s="29"/>
      <c r="I1850" s="28">
        <v>1814.0</v>
      </c>
      <c r="J1850" s="28">
        <v>0.0</v>
      </c>
      <c r="K1850" s="25" t="s">
        <v>25</v>
      </c>
      <c r="L1850" s="26">
        <v>5.0</v>
      </c>
      <c r="M1850" s="26">
        <v>2.0</v>
      </c>
      <c r="N1850" s="26">
        <v>1.0</v>
      </c>
      <c r="O1850" s="26">
        <v>0.0</v>
      </c>
      <c r="P1850" s="30"/>
      <c r="Q1850" s="35">
        <v>74.0</v>
      </c>
      <c r="R1850" s="32">
        <v>45855.0</v>
      </c>
      <c r="S1850" s="32">
        <v>45780.0</v>
      </c>
      <c r="T1850" s="29"/>
      <c r="U1850" s="33"/>
      <c r="V1850" s="1"/>
    </row>
    <row r="1851" ht="24.0" customHeight="1">
      <c r="A1851" s="1"/>
      <c r="B1851" s="24" t="str">
        <f>HYPERLINK("https://www.compass.com/listing/138-east-36th-street-unit-5b-manhattan-ny-10016/1074749805383439953/view?agent_id=610d3f3370540700019b0833","138 E 36th St, Unit 5B")</f>
        <v>138 E 36th St, Unit 5B</v>
      </c>
      <c r="C1851" s="25" t="s">
        <v>353</v>
      </c>
      <c r="D1851" s="26" t="s">
        <v>23</v>
      </c>
      <c r="E1851" s="27" t="str">
        <f>HYPERLINK("https://www.compass.com/building/138-e-36th-st-manhattan-ny-10016/281937375020505189/","138 E 36th St")</f>
        <v>138 E 36th St</v>
      </c>
      <c r="F1851" s="25" t="s">
        <v>72</v>
      </c>
      <c r="G1851" s="28">
        <v>500000.0</v>
      </c>
      <c r="H1851" s="29"/>
      <c r="I1851" s="28">
        <v>2214.0</v>
      </c>
      <c r="J1851" s="28">
        <v>0.0</v>
      </c>
      <c r="K1851" s="25" t="s">
        <v>25</v>
      </c>
      <c r="L1851" s="26">
        <v>5.0</v>
      </c>
      <c r="M1851" s="26">
        <v>2.0</v>
      </c>
      <c r="N1851" s="26">
        <v>1.0</v>
      </c>
      <c r="O1851" s="30"/>
      <c r="P1851" s="30"/>
      <c r="Q1851" s="35">
        <v>365.0</v>
      </c>
      <c r="R1851" s="32">
        <v>45855.0</v>
      </c>
      <c r="S1851" s="32">
        <v>45380.0</v>
      </c>
      <c r="T1851" s="29"/>
      <c r="U1851" s="33"/>
      <c r="V1851" s="1"/>
    </row>
    <row r="1852" ht="24.0" customHeight="1">
      <c r="A1852" s="1"/>
      <c r="B1852" s="24" t="str">
        <f>HYPERLINK("https://www.compass.com/listing/137-west-110th-street-unit-3b-manhattan-ny-10026/1823959840363880545/view?agent_id=610d3f3370540700019b0833","137 W 110th St, Unit 3B")</f>
        <v>137 W 110th St, Unit 3B</v>
      </c>
      <c r="C1852" s="25" t="s">
        <v>353</v>
      </c>
      <c r="D1852" s="26" t="s">
        <v>23</v>
      </c>
      <c r="E1852" s="27" t="str">
        <f>HYPERLINK("https://www.compass.com/building/the-semiramis-manhattan-ny/307432856049367749/","The Semiramis")</f>
        <v>The Semiramis</v>
      </c>
      <c r="F1852" s="25" t="s">
        <v>45</v>
      </c>
      <c r="G1852" s="28">
        <v>860000.0</v>
      </c>
      <c r="H1852" s="28">
        <v>949.0</v>
      </c>
      <c r="I1852" s="28">
        <v>1461.0</v>
      </c>
      <c r="J1852" s="28">
        <v>9806.0</v>
      </c>
      <c r="K1852" s="25" t="s">
        <v>28</v>
      </c>
      <c r="L1852" s="26">
        <v>5.0</v>
      </c>
      <c r="M1852" s="26">
        <v>2.0</v>
      </c>
      <c r="N1852" s="26">
        <v>1.0</v>
      </c>
      <c r="O1852" s="26">
        <v>0.0</v>
      </c>
      <c r="P1852" s="26">
        <v>906.0</v>
      </c>
      <c r="Q1852" s="35">
        <v>17.0</v>
      </c>
      <c r="R1852" s="32">
        <v>45785.0</v>
      </c>
      <c r="S1852" s="32">
        <v>45768.0</v>
      </c>
      <c r="T1852" s="29"/>
      <c r="U1852" s="33"/>
      <c r="V1852" s="1"/>
    </row>
    <row r="1853" ht="24.0" customHeight="1">
      <c r="A1853" s="1"/>
      <c r="B1853" s="24" t="str">
        <f>HYPERLINK("https://www.compass.com/listing/191-willoughby-street-unit-12j-brooklyn-ny-11201/1844449062328483673/view?agent_id=610d3f3370540700019b0833","191 Willoughby Street, Unit 12J")</f>
        <v>191 Willoughby Street, Unit 12J</v>
      </c>
      <c r="C1853" s="25" t="s">
        <v>357</v>
      </c>
      <c r="D1853" s="26" t="s">
        <v>23</v>
      </c>
      <c r="E1853" s="27" t="str">
        <f>HYPERLINK("https://www.compass.com/building/university-towers-brooklyn-ny/282504529948262309/","University Towers")</f>
        <v>University Towers</v>
      </c>
      <c r="F1853" s="25" t="s">
        <v>31</v>
      </c>
      <c r="G1853" s="28">
        <v>765000.0</v>
      </c>
      <c r="H1853" s="28">
        <v>900.0</v>
      </c>
      <c r="I1853" s="28">
        <v>1335.0</v>
      </c>
      <c r="J1853" s="28">
        <v>0.0</v>
      </c>
      <c r="K1853" s="25" t="s">
        <v>25</v>
      </c>
      <c r="L1853" s="26">
        <v>6.0</v>
      </c>
      <c r="M1853" s="26">
        <v>2.0</v>
      </c>
      <c r="N1853" s="26">
        <v>1.0</v>
      </c>
      <c r="O1853" s="30"/>
      <c r="P1853" s="26">
        <v>850.0</v>
      </c>
      <c r="Q1853" s="35">
        <v>26.0</v>
      </c>
      <c r="R1853" s="32">
        <v>45839.0</v>
      </c>
      <c r="S1853" s="32">
        <v>45813.0</v>
      </c>
      <c r="T1853" s="29"/>
      <c r="U1853" s="33"/>
      <c r="V1853" s="1"/>
    </row>
    <row r="1854" ht="24.0" customHeight="1">
      <c r="A1854" s="1"/>
      <c r="B1854" s="24" t="str">
        <f>HYPERLINK("https://www.compass.com/listing/501-west-123rd-street-unit-21d-manhattan-ny-10027/1824776070221680593/view?agent_id=610d3f3370540700019b0833","501 West 123rd Street, Unit 21D")</f>
        <v>501 West 123rd Street, Unit 21D</v>
      </c>
      <c r="C1854" s="25" t="s">
        <v>353</v>
      </c>
      <c r="D1854" s="26" t="s">
        <v>23</v>
      </c>
      <c r="E1854" s="27" t="str">
        <f>HYPERLINK("https://www.compass.com/building/morningside-gardens-manhattan-ny/282059495302004517/","Morningside Gardens")</f>
        <v>Morningside Gardens</v>
      </c>
      <c r="F1854" s="25" t="s">
        <v>41</v>
      </c>
      <c r="G1854" s="28">
        <v>698000.0</v>
      </c>
      <c r="H1854" s="29"/>
      <c r="I1854" s="28">
        <v>1710.0</v>
      </c>
      <c r="J1854" s="28">
        <v>0.0</v>
      </c>
      <c r="K1854" s="25" t="s">
        <v>25</v>
      </c>
      <c r="L1854" s="26">
        <v>4.0</v>
      </c>
      <c r="M1854" s="26">
        <v>2.0</v>
      </c>
      <c r="N1854" s="26">
        <v>1.0</v>
      </c>
      <c r="O1854" s="26">
        <v>0.0</v>
      </c>
      <c r="P1854" s="30"/>
      <c r="Q1854" s="35">
        <v>68.0</v>
      </c>
      <c r="R1854" s="32">
        <v>45840.0</v>
      </c>
      <c r="S1854" s="32">
        <v>45771.0</v>
      </c>
      <c r="T1854" s="29"/>
      <c r="U1854" s="33"/>
      <c r="V1854" s="1"/>
    </row>
    <row r="1855" ht="24.0" customHeight="1">
      <c r="A1855" s="1"/>
      <c r="B1855" s="24" t="str">
        <f>HYPERLINK("https://www.compass.com/listing/549-west-123rd-street-unit-14c-manhattan-ny-10027/1815404761962412905/view?agent_id=610d3f3370540700019b0833","549 West 123rd Street, Unit 14C")</f>
        <v>549 West 123rd Street, Unit 14C</v>
      </c>
      <c r="C1855" s="25" t="s">
        <v>353</v>
      </c>
      <c r="D1855" s="26" t="s">
        <v>23</v>
      </c>
      <c r="E1855" s="27" t="str">
        <f>HYPERLINK("https://www.compass.com/building/morningside-gardens-manhattan-ny/282059380772338885/","Morningside Gardens")</f>
        <v>Morningside Gardens</v>
      </c>
      <c r="F1855" s="25" t="s">
        <v>41</v>
      </c>
      <c r="G1855" s="28">
        <v>718000.0</v>
      </c>
      <c r="H1855" s="29"/>
      <c r="I1855" s="28">
        <v>1592.0</v>
      </c>
      <c r="J1855" s="28">
        <v>0.0</v>
      </c>
      <c r="K1855" s="25" t="s">
        <v>25</v>
      </c>
      <c r="L1855" s="26">
        <v>4.0</v>
      </c>
      <c r="M1855" s="26">
        <v>2.0</v>
      </c>
      <c r="N1855" s="26">
        <v>1.0</v>
      </c>
      <c r="O1855" s="26">
        <v>0.0</v>
      </c>
      <c r="P1855" s="30"/>
      <c r="Q1855" s="35">
        <v>37.0</v>
      </c>
      <c r="R1855" s="32">
        <v>45814.0</v>
      </c>
      <c r="S1855" s="32">
        <v>45771.0</v>
      </c>
      <c r="T1855" s="29"/>
      <c r="U1855" s="33"/>
      <c r="V1855" s="1"/>
    </row>
    <row r="1856" ht="24.0" customHeight="1">
      <c r="A1856" s="1"/>
      <c r="B1856" s="24" t="str">
        <f>HYPERLINK("https://www.compass.com/listing/3215-netherland-avenue-unit-5c-bronx-ny-10463/1870746335061436881/view?agent_id=610d3f3370540700019b0833","3215 Netherland Avenue, Unit 5C")</f>
        <v>3215 Netherland Avenue, Unit 5C</v>
      </c>
      <c r="C1856" s="25" t="s">
        <v>353</v>
      </c>
      <c r="D1856" s="26" t="s">
        <v>23</v>
      </c>
      <c r="E1856" s="27" t="str">
        <f>HYPERLINK("https://www.compass.com/building/3215-netherland-ave-bronx-ny-10463/293529240211643573/","3215 Netherland Ave")</f>
        <v>3215 Netherland Ave</v>
      </c>
      <c r="F1856" s="25" t="s">
        <v>84</v>
      </c>
      <c r="G1856" s="28">
        <v>375000.0</v>
      </c>
      <c r="H1856" s="28">
        <v>406.0</v>
      </c>
      <c r="I1856" s="28">
        <v>836.0</v>
      </c>
      <c r="J1856" s="28">
        <v>0.0</v>
      </c>
      <c r="K1856" s="25" t="s">
        <v>25</v>
      </c>
      <c r="L1856" s="26">
        <v>4.0</v>
      </c>
      <c r="M1856" s="26">
        <v>2.0</v>
      </c>
      <c r="N1856" s="26">
        <v>1.0</v>
      </c>
      <c r="O1856" s="30"/>
      <c r="P1856" s="26">
        <v>923.0</v>
      </c>
      <c r="Q1856" s="35">
        <v>13.0</v>
      </c>
      <c r="R1856" s="32">
        <v>45859.0</v>
      </c>
      <c r="S1856" s="32">
        <v>45834.0</v>
      </c>
      <c r="T1856" s="29"/>
      <c r="U1856" s="33"/>
      <c r="V1856" s="1"/>
    </row>
    <row r="1857" ht="24.0" customHeight="1">
      <c r="A1857" s="1"/>
      <c r="B1857" s="24" t="str">
        <f>HYPERLINK("https://www.compass.com/listing/348-west-36th-street-unit-6n-manhattan-ny-10018/1800890406400233177/view?agent_id=610d3f3370540700019b0833","348 W 36th St, Unit 6N")</f>
        <v>348 W 36th St, Unit 6N</v>
      </c>
      <c r="C1857" s="25" t="s">
        <v>353</v>
      </c>
      <c r="D1857" s="26" t="s">
        <v>23</v>
      </c>
      <c r="E1857" s="27" t="str">
        <f>HYPERLINK("https://www.compass.com/building/348-w-36th-st-manhattan-ny-10018/281943110194357429/","348 W 36th St")</f>
        <v>348 W 36th St</v>
      </c>
      <c r="F1857" s="25" t="s">
        <v>206</v>
      </c>
      <c r="G1857" s="28">
        <v>1100000.0</v>
      </c>
      <c r="H1857" s="29"/>
      <c r="I1857" s="28">
        <v>1600.0</v>
      </c>
      <c r="J1857" s="28">
        <v>0.0</v>
      </c>
      <c r="K1857" s="25" t="s">
        <v>25</v>
      </c>
      <c r="L1857" s="26">
        <v>4.0</v>
      </c>
      <c r="M1857" s="26">
        <v>2.0</v>
      </c>
      <c r="N1857" s="26">
        <v>1.0</v>
      </c>
      <c r="O1857" s="26">
        <v>0.0</v>
      </c>
      <c r="P1857" s="30"/>
      <c r="Q1857" s="35">
        <v>40.0</v>
      </c>
      <c r="R1857" s="32">
        <v>45845.0</v>
      </c>
      <c r="S1857" s="32">
        <v>45736.0</v>
      </c>
      <c r="T1857" s="29"/>
      <c r="U1857" s="33"/>
      <c r="V1857" s="1"/>
    </row>
    <row r="1858" ht="24.0" customHeight="1">
      <c r="A1858" s="1"/>
      <c r="B1858" s="24" t="str">
        <f>HYPERLINK("https://www.compass.com/listing/180-cabrini-boulevard-unit-54-manhattan-ny-10033/1840047785070860705/view?agent_id=610d3f3370540700019b0833","180 Cabrini Blvd, Unit 54")</f>
        <v>180 Cabrini Blvd, Unit 54</v>
      </c>
      <c r="C1858" s="25" t="s">
        <v>353</v>
      </c>
      <c r="D1858" s="26" t="s">
        <v>23</v>
      </c>
      <c r="E1858" s="27" t="str">
        <f>HYPERLINK("https://www.compass.com/building/castle-village-manhattan-ny/294838424955372677/","Castle Village")</f>
        <v>Castle Village</v>
      </c>
      <c r="F1858" s="25" t="s">
        <v>58</v>
      </c>
      <c r="G1858" s="28">
        <v>875000.0</v>
      </c>
      <c r="H1858" s="29"/>
      <c r="I1858" s="28">
        <v>2079.0</v>
      </c>
      <c r="J1858" s="28">
        <v>0.0</v>
      </c>
      <c r="K1858" s="25" t="s">
        <v>25</v>
      </c>
      <c r="L1858" s="26">
        <v>5.0</v>
      </c>
      <c r="M1858" s="26">
        <v>2.0</v>
      </c>
      <c r="N1858" s="26">
        <v>1.0</v>
      </c>
      <c r="O1858" s="26">
        <v>0.0</v>
      </c>
      <c r="P1858" s="30"/>
      <c r="Q1858" s="35">
        <v>33.0</v>
      </c>
      <c r="R1858" s="32">
        <v>45825.0</v>
      </c>
      <c r="S1858" s="32">
        <v>45792.0</v>
      </c>
      <c r="T1858" s="29"/>
      <c r="U1858" s="33"/>
      <c r="V1858" s="1"/>
    </row>
    <row r="1859" ht="24.0" customHeight="1">
      <c r="A1859" s="1"/>
      <c r="B1859" s="24" t="str">
        <f>HYPERLINK("https://www.compass.com/listing/1474-bushwick-avenue-unit-3f-brooklyn-ny-11207/1793634477534651041/view?agent_id=610d3f3370540700019b0833","1474 Bushwick Ave, Unit 3F")</f>
        <v>1474 Bushwick Ave, Unit 3F</v>
      </c>
      <c r="C1859" s="25" t="s">
        <v>353</v>
      </c>
      <c r="D1859" s="26" t="s">
        <v>23</v>
      </c>
      <c r="E1859" s="27" t="str">
        <f>HYPERLINK("https://www.compass.com/building/1474-bushwick-ave-brooklyn-ny-11207/293530004791258949/","1474 Bushwick Ave")</f>
        <v>1474 Bushwick Ave</v>
      </c>
      <c r="F1859" s="25" t="s">
        <v>82</v>
      </c>
      <c r="G1859" s="28">
        <v>750000.0</v>
      </c>
      <c r="H1859" s="28">
        <v>888.0</v>
      </c>
      <c r="I1859" s="28">
        <v>990.0</v>
      </c>
      <c r="J1859" s="28">
        <v>3876.0</v>
      </c>
      <c r="K1859" s="25" t="s">
        <v>28</v>
      </c>
      <c r="L1859" s="26">
        <v>4.0</v>
      </c>
      <c r="M1859" s="26">
        <v>2.0</v>
      </c>
      <c r="N1859" s="26">
        <v>1.0</v>
      </c>
      <c r="O1859" s="30"/>
      <c r="P1859" s="26">
        <v>845.0</v>
      </c>
      <c r="Q1859" s="35">
        <v>28.0</v>
      </c>
      <c r="R1859" s="32">
        <v>45859.0</v>
      </c>
      <c r="S1859" s="32">
        <v>45726.0</v>
      </c>
      <c r="T1859" s="29"/>
      <c r="U1859" s="33"/>
      <c r="V1859" s="1"/>
    </row>
    <row r="1860" ht="24.0" customHeight="1">
      <c r="A1860" s="1"/>
      <c r="B1860" s="24" t="str">
        <f>HYPERLINK("https://www.compass.com/listing/140-moffat-street-unit-4b-brooklyn-ny-11207/1794407471346252201/view?agent_id=610d3f3370540700019b0833","140 Moffat St, Unit 4B")</f>
        <v>140 Moffat St, Unit 4B</v>
      </c>
      <c r="C1860" s="25" t="s">
        <v>353</v>
      </c>
      <c r="D1860" s="26" t="s">
        <v>23</v>
      </c>
      <c r="E1860" s="27" t="str">
        <f>HYPERLINK("https://www.compass.com/building/140-moffat-st-brooklyn-ny-11207/293417528607177637/","140 Moffat St")</f>
        <v>140 Moffat St</v>
      </c>
      <c r="F1860" s="25" t="s">
        <v>82</v>
      </c>
      <c r="G1860" s="28">
        <v>700000.0</v>
      </c>
      <c r="H1860" s="28">
        <v>1101.0</v>
      </c>
      <c r="I1860" s="28">
        <v>901.0</v>
      </c>
      <c r="J1860" s="28">
        <v>3831.0</v>
      </c>
      <c r="K1860" s="25" t="s">
        <v>28</v>
      </c>
      <c r="L1860" s="26">
        <v>5.0</v>
      </c>
      <c r="M1860" s="26">
        <v>2.0</v>
      </c>
      <c r="N1860" s="26">
        <v>1.0</v>
      </c>
      <c r="O1860" s="26">
        <v>0.0</v>
      </c>
      <c r="P1860" s="26">
        <v>636.0</v>
      </c>
      <c r="Q1860" s="35">
        <v>67.0</v>
      </c>
      <c r="R1860" s="32">
        <v>45796.0</v>
      </c>
      <c r="S1860" s="32">
        <v>45729.0</v>
      </c>
      <c r="T1860" s="29"/>
      <c r="U1860" s="33"/>
      <c r="V1860" s="1"/>
    </row>
    <row r="1861" ht="24.0" customHeight="1">
      <c r="A1861" s="1"/>
      <c r="B1861" s="24" t="str">
        <f>HYPERLINK("https://www.compass.com/listing/675-academy-street-unit-5e-manhattan-ny-10034/1850251179242034257/view?agent_id=610d3f3370540700019b0833","675 Academy St, Unit 5E")</f>
        <v>675 Academy St, Unit 5E</v>
      </c>
      <c r="C1861" s="25" t="s">
        <v>353</v>
      </c>
      <c r="D1861" s="26" t="s">
        <v>23</v>
      </c>
      <c r="E1861" s="27" t="str">
        <f>HYPERLINK("https://www.compass.com/building/the-ivy-league-manhattan-ny/282015897307059813/","The Ivy League")</f>
        <v>The Ivy League</v>
      </c>
      <c r="F1861" s="25" t="s">
        <v>81</v>
      </c>
      <c r="G1861" s="28">
        <v>575000.0</v>
      </c>
      <c r="H1861" s="28">
        <v>596.0</v>
      </c>
      <c r="I1861" s="28">
        <v>1229.0</v>
      </c>
      <c r="J1861" s="28">
        <v>0.0</v>
      </c>
      <c r="K1861" s="25" t="s">
        <v>25</v>
      </c>
      <c r="L1861" s="26">
        <v>5.0</v>
      </c>
      <c r="M1861" s="26">
        <v>2.0</v>
      </c>
      <c r="N1861" s="26">
        <v>1.0</v>
      </c>
      <c r="O1861" s="26">
        <v>0.0</v>
      </c>
      <c r="P1861" s="26">
        <v>965.0</v>
      </c>
      <c r="Q1861" s="35">
        <v>35.0</v>
      </c>
      <c r="R1861" s="32">
        <v>45840.0</v>
      </c>
      <c r="S1861" s="32">
        <v>45804.0</v>
      </c>
      <c r="T1861" s="29"/>
      <c r="U1861" s="33"/>
      <c r="V1861" s="1"/>
    </row>
    <row r="1862" ht="24.0" customHeight="1">
      <c r="A1862" s="1"/>
      <c r="B1862" s="24" t="str">
        <f>HYPERLINK("https://www.compass.com/listing/416-ocean-avenue-unit-58-brooklyn-ny-11226/1827034069620446873/view?agent_id=610d3f3370540700019b0833","416 Ocean Ave, Unit 58")</f>
        <v>416 Ocean Ave, Unit 58</v>
      </c>
      <c r="C1862" s="25" t="s">
        <v>353</v>
      </c>
      <c r="D1862" s="26" t="s">
        <v>23</v>
      </c>
      <c r="E1862" s="27" t="str">
        <f>HYPERLINK("https://www.compass.com/building/416-ocean-ave-brooklyn-ny-11226/293416554681444533/","416 Ocean Ave")</f>
        <v>416 Ocean Ave</v>
      </c>
      <c r="F1862" s="25" t="s">
        <v>358</v>
      </c>
      <c r="G1862" s="28">
        <v>725000.0</v>
      </c>
      <c r="H1862" s="28">
        <v>580.0</v>
      </c>
      <c r="I1862" s="28">
        <v>1370.0</v>
      </c>
      <c r="J1862" s="28">
        <v>0.0</v>
      </c>
      <c r="K1862" s="25" t="s">
        <v>25</v>
      </c>
      <c r="L1862" s="26">
        <v>5.0</v>
      </c>
      <c r="M1862" s="26">
        <v>2.0</v>
      </c>
      <c r="N1862" s="26">
        <v>1.0</v>
      </c>
      <c r="O1862" s="30"/>
      <c r="P1862" s="34">
        <v>1250.0</v>
      </c>
      <c r="Q1862" s="35">
        <v>24.0</v>
      </c>
      <c r="R1862" s="32">
        <v>45797.0</v>
      </c>
      <c r="S1862" s="32">
        <v>45772.0</v>
      </c>
      <c r="T1862" s="29"/>
      <c r="U1862" s="33"/>
      <c r="V1862" s="1"/>
    </row>
    <row r="1863" ht="24.0" customHeight="1">
      <c r="A1863" s="1"/>
      <c r="B1863" s="24" t="str">
        <f>HYPERLINK("https://www.compass.com/listing/1779-madison-avenue-unit-402-manhattan-ny-10035/1816228129867941785/view?agent_id=610d3f3370540700019b0833","1779 Madison Ave, Unit 402")</f>
        <v>1779 Madison Ave, Unit 402</v>
      </c>
      <c r="C1863" s="25" t="s">
        <v>353</v>
      </c>
      <c r="D1863" s="26" t="s">
        <v>23</v>
      </c>
      <c r="E1863" s="27" t="str">
        <f>HYPERLINK("https://www.compass.com/building/1779-madison-ave-manhattan-ny-10035/282017553511879125/","1779 Madison Ave")</f>
        <v>1779 Madison Ave</v>
      </c>
      <c r="F1863" s="25" t="s">
        <v>45</v>
      </c>
      <c r="G1863" s="28">
        <v>245000.0</v>
      </c>
      <c r="H1863" s="29"/>
      <c r="I1863" s="28">
        <v>603.0</v>
      </c>
      <c r="J1863" s="28">
        <v>0.0</v>
      </c>
      <c r="K1863" s="25" t="s">
        <v>25</v>
      </c>
      <c r="L1863" s="26">
        <v>4.0</v>
      </c>
      <c r="M1863" s="26">
        <v>2.0</v>
      </c>
      <c r="N1863" s="26">
        <v>1.0</v>
      </c>
      <c r="O1863" s="30"/>
      <c r="P1863" s="30"/>
      <c r="Q1863" s="35">
        <v>36.0</v>
      </c>
      <c r="R1863" s="32">
        <v>45805.0</v>
      </c>
      <c r="S1863" s="32">
        <v>45757.0</v>
      </c>
      <c r="T1863" s="29"/>
      <c r="U1863" s="33"/>
      <c r="V1863" s="1"/>
    </row>
    <row r="1864" ht="24.0" customHeight="1">
      <c r="A1864" s="1"/>
      <c r="B1864" s="24" t="str">
        <f>HYPERLINK("https://www.compass.com/listing/385-argyle-road-unit-1b-brooklyn-ny-11218/1805756207096279769/view?agent_id=610d3f3370540700019b0833","385 Argyle Rd, Unit 1B")</f>
        <v>385 Argyle Rd, Unit 1B</v>
      </c>
      <c r="C1864" s="25" t="s">
        <v>353</v>
      </c>
      <c r="D1864" s="26" t="s">
        <v>23</v>
      </c>
      <c r="E1864" s="27" t="str">
        <f>HYPERLINK("https://www.compass.com/building/385-argyle-rd-brooklyn-ny-11218/293416616849418517/","385 Argyle Rd")</f>
        <v>385 Argyle Rd</v>
      </c>
      <c r="F1864" s="25" t="s">
        <v>172</v>
      </c>
      <c r="G1864" s="28">
        <v>650000.0</v>
      </c>
      <c r="H1864" s="29"/>
      <c r="I1864" s="28">
        <v>888.0</v>
      </c>
      <c r="J1864" s="28">
        <v>10655.0</v>
      </c>
      <c r="K1864" s="25" t="s">
        <v>25</v>
      </c>
      <c r="L1864" s="26">
        <v>6.0</v>
      </c>
      <c r="M1864" s="26">
        <v>2.0</v>
      </c>
      <c r="N1864" s="26">
        <v>1.0</v>
      </c>
      <c r="O1864" s="30"/>
      <c r="P1864" s="30"/>
      <c r="Q1864" s="35">
        <v>84.0</v>
      </c>
      <c r="R1864" s="32">
        <v>45842.0</v>
      </c>
      <c r="S1864" s="32">
        <v>45757.0</v>
      </c>
      <c r="T1864" s="29"/>
      <c r="U1864" s="33"/>
      <c r="V1864" s="1"/>
    </row>
    <row r="1865" ht="24.0" customHeight="1">
      <c r="A1865" s="1"/>
      <c r="B1865" s="24" t="str">
        <f>HYPERLINK("https://www.compass.com/listing/180-cabrini-boulevard-unit-98-manhattan-ny-10033/1704466196993818753/view?agent_id=610d3f3370540700019b0833","180 Cabrini Blvd, Unit 98")</f>
        <v>180 Cabrini Blvd, Unit 98</v>
      </c>
      <c r="C1865" s="25" t="s">
        <v>353</v>
      </c>
      <c r="D1865" s="26" t="s">
        <v>23</v>
      </c>
      <c r="E1865" s="27" t="str">
        <f>HYPERLINK("https://www.compass.com/building/castle-village-manhattan-ny/294838424955372677/","Castle Village")</f>
        <v>Castle Village</v>
      </c>
      <c r="F1865" s="25" t="s">
        <v>58</v>
      </c>
      <c r="G1865" s="28">
        <v>699000.0</v>
      </c>
      <c r="H1865" s="29"/>
      <c r="I1865" s="28">
        <v>2192.0</v>
      </c>
      <c r="J1865" s="28">
        <v>0.0</v>
      </c>
      <c r="K1865" s="25" t="s">
        <v>25</v>
      </c>
      <c r="L1865" s="26">
        <v>4.0</v>
      </c>
      <c r="M1865" s="26">
        <v>2.0</v>
      </c>
      <c r="N1865" s="26">
        <v>1.0</v>
      </c>
      <c r="O1865" s="30"/>
      <c r="P1865" s="30"/>
      <c r="Q1865" s="35">
        <v>208.0</v>
      </c>
      <c r="R1865" s="32">
        <v>45838.0</v>
      </c>
      <c r="S1865" s="32">
        <v>45603.0</v>
      </c>
      <c r="T1865" s="29"/>
      <c r="U1865" s="33"/>
      <c r="V1865" s="1"/>
    </row>
    <row r="1866" ht="24.0" customHeight="1">
      <c r="A1866" s="1"/>
      <c r="B1866" s="24" t="str">
        <f>HYPERLINK("https://www.compass.com/listing/130-lenox-avenue-unit-606-manhattan-ny-10026/1578335634517963017/view?agent_id=610d3f3370540700019b0833","130 Lenox Ave, Unit 606")</f>
        <v>130 Lenox Ave, Unit 606</v>
      </c>
      <c r="C1866" s="25" t="s">
        <v>353</v>
      </c>
      <c r="D1866" s="26" t="s">
        <v>23</v>
      </c>
      <c r="E1866" s="27" t="str">
        <f>HYPERLINK("https://www.compass.com/building/the-renaissance-manhattan-ny/281974458774807237/","The Renaissance")</f>
        <v>The Renaissance</v>
      </c>
      <c r="F1866" s="25" t="s">
        <v>45</v>
      </c>
      <c r="G1866" s="28">
        <v>445000.0</v>
      </c>
      <c r="H1866" s="29"/>
      <c r="I1866" s="28">
        <v>1450.0</v>
      </c>
      <c r="J1866" s="28">
        <v>0.0</v>
      </c>
      <c r="K1866" s="25" t="s">
        <v>25</v>
      </c>
      <c r="L1866" s="26">
        <v>4.0</v>
      </c>
      <c r="M1866" s="26">
        <v>2.0</v>
      </c>
      <c r="N1866" s="26">
        <v>1.0</v>
      </c>
      <c r="O1866" s="30"/>
      <c r="P1866" s="30"/>
      <c r="Q1866" s="35">
        <v>249.0</v>
      </c>
      <c r="R1866" s="32">
        <v>45863.0</v>
      </c>
      <c r="S1866" s="32">
        <v>45474.0</v>
      </c>
      <c r="T1866" s="29"/>
      <c r="U1866" s="33"/>
      <c r="V1866" s="1"/>
    </row>
    <row r="1867" ht="24.0" customHeight="1">
      <c r="A1867" s="1"/>
      <c r="B1867" s="24" t="str">
        <f>HYPERLINK("https://www.compass.com/listing/140-cabrini-boulevard-unit-ph138-manhattan-ny-10033/1697140829492849129/view?agent_id=610d3f3370540700019b0833","140 Cabrini Boulevard, Unit PH138")</f>
        <v>140 Cabrini Boulevard, Unit PH138</v>
      </c>
      <c r="C1867" s="25" t="s">
        <v>353</v>
      </c>
      <c r="D1867" s="26" t="s">
        <v>23</v>
      </c>
      <c r="E1867" s="27" t="str">
        <f>HYPERLINK("https://www.compass.com/building/castle-village-manhattan-ny/294836199700855749/","Castle Village")</f>
        <v>Castle Village</v>
      </c>
      <c r="F1867" s="25" t="s">
        <v>58</v>
      </c>
      <c r="G1867" s="28">
        <v>950000.0</v>
      </c>
      <c r="H1867" s="29"/>
      <c r="I1867" s="28">
        <v>2555.0</v>
      </c>
      <c r="J1867" s="28">
        <v>0.0</v>
      </c>
      <c r="K1867" s="25" t="s">
        <v>25</v>
      </c>
      <c r="L1867" s="26">
        <v>5.0</v>
      </c>
      <c r="M1867" s="26">
        <v>2.0</v>
      </c>
      <c r="N1867" s="26">
        <v>1.0</v>
      </c>
      <c r="O1867" s="26">
        <v>0.0</v>
      </c>
      <c r="P1867" s="30"/>
      <c r="Q1867" s="35">
        <v>190.0</v>
      </c>
      <c r="R1867" s="32">
        <v>45824.0</v>
      </c>
      <c r="S1867" s="32">
        <v>45593.0</v>
      </c>
      <c r="T1867" s="29"/>
      <c r="U1867" s="33"/>
      <c r="V1867" s="1"/>
    </row>
    <row r="1868" ht="24.0" customHeight="1">
      <c r="A1868" s="1"/>
      <c r="B1868" s="24" t="str">
        <f>HYPERLINK("https://www.compass.com/listing/54-east-129th-street-unit-1a-manhattan-ny-10035/1688078311379789481/view?agent_id=610d3f3370540700019b0833","54 East 129th Street, Unit 1A")</f>
        <v>54 East 129th Street, Unit 1A</v>
      </c>
      <c r="C1868" s="25" t="s">
        <v>353</v>
      </c>
      <c r="D1868" s="26" t="s">
        <v>23</v>
      </c>
      <c r="E1868" s="27" t="str">
        <f>HYPERLINK("https://www.compass.com/building/54-e-129th-st-manhattan-ny-10035/282022454455443781/","54 E 129th St")</f>
        <v>54 E 129th St</v>
      </c>
      <c r="F1868" s="25" t="s">
        <v>32</v>
      </c>
      <c r="G1868" s="28">
        <v>472000.0</v>
      </c>
      <c r="H1868" s="28">
        <v>555.0</v>
      </c>
      <c r="I1868" s="28">
        <v>523.0</v>
      </c>
      <c r="J1868" s="28">
        <v>0.0</v>
      </c>
      <c r="K1868" s="25" t="s">
        <v>25</v>
      </c>
      <c r="L1868" s="26">
        <v>4.0</v>
      </c>
      <c r="M1868" s="26">
        <v>2.0</v>
      </c>
      <c r="N1868" s="26">
        <v>1.0</v>
      </c>
      <c r="O1868" s="26">
        <v>0.0</v>
      </c>
      <c r="P1868" s="26">
        <v>850.0</v>
      </c>
      <c r="Q1868" s="35">
        <v>101.0</v>
      </c>
      <c r="R1868" s="32">
        <v>45826.0</v>
      </c>
      <c r="S1868" s="32">
        <v>45611.0</v>
      </c>
      <c r="T1868" s="29"/>
      <c r="U1868" s="33"/>
      <c r="V1868" s="1"/>
    </row>
    <row r="1869" ht="24.0" customHeight="1">
      <c r="A1869" s="1"/>
      <c r="B1869" s="24" t="str">
        <f>HYPERLINK("https://www.compass.com/listing/91-payson-avenue-unit-4g-manhattan-ny-10034/1792122549842679153/view?agent_id=610d3f3370540700019b0833","91 Payson Avenue, Unit 4G")</f>
        <v>91 Payson Avenue, Unit 4G</v>
      </c>
      <c r="C1869" s="25" t="s">
        <v>353</v>
      </c>
      <c r="D1869" s="26" t="s">
        <v>23</v>
      </c>
      <c r="E1869" s="27" t="str">
        <f>HYPERLINK("https://www.compass.com/building/payson-house-manhattan-ny/282016269249550197/","Payson House")</f>
        <v>Payson House</v>
      </c>
      <c r="F1869" s="25" t="s">
        <v>81</v>
      </c>
      <c r="G1869" s="28">
        <v>675000.0</v>
      </c>
      <c r="H1869" s="28">
        <v>672.0</v>
      </c>
      <c r="I1869" s="28">
        <v>1401.0</v>
      </c>
      <c r="J1869" s="28">
        <v>0.0</v>
      </c>
      <c r="K1869" s="25" t="s">
        <v>25</v>
      </c>
      <c r="L1869" s="26">
        <v>5.0</v>
      </c>
      <c r="M1869" s="26">
        <v>2.0</v>
      </c>
      <c r="N1869" s="26">
        <v>1.0</v>
      </c>
      <c r="O1869" s="26">
        <v>0.0</v>
      </c>
      <c r="P1869" s="34">
        <v>1005.0</v>
      </c>
      <c r="Q1869" s="35">
        <v>23.0</v>
      </c>
      <c r="R1869" s="32">
        <v>45805.0</v>
      </c>
      <c r="S1869" s="32">
        <v>45782.0</v>
      </c>
      <c r="T1869" s="29"/>
      <c r="U1869" s="33"/>
      <c r="V1869" s="1"/>
    </row>
    <row r="1870" ht="24.0" customHeight="1">
      <c r="A1870" s="1"/>
      <c r="B1870" s="24" t="str">
        <f>HYPERLINK("https://www.compass.com/listing/900-west-190th-street-unit-5b-manhattan-ny-10040/1811980726196217121/view?agent_id=610d3f3370540700019b0833","900 W 190th St, Unit 5B")</f>
        <v>900 W 190th St, Unit 5B</v>
      </c>
      <c r="C1870" s="25" t="s">
        <v>353</v>
      </c>
      <c r="D1870" s="26" t="s">
        <v>23</v>
      </c>
      <c r="E1870" s="27" t="str">
        <f>HYPERLINK("https://www.compass.com/building/cabrini-terrace-manhattan-ny/282034716771633221/","Cabrini Terrace")</f>
        <v>Cabrini Terrace</v>
      </c>
      <c r="F1870" s="25" t="s">
        <v>58</v>
      </c>
      <c r="G1870" s="28">
        <v>799000.0</v>
      </c>
      <c r="H1870" s="28">
        <v>799.0</v>
      </c>
      <c r="I1870" s="28">
        <v>1190.0</v>
      </c>
      <c r="J1870" s="28">
        <v>0.0</v>
      </c>
      <c r="K1870" s="25" t="s">
        <v>25</v>
      </c>
      <c r="L1870" s="26">
        <v>5.0</v>
      </c>
      <c r="M1870" s="26">
        <v>2.0</v>
      </c>
      <c r="N1870" s="26">
        <v>1.0</v>
      </c>
      <c r="O1870" s="26">
        <v>0.0</v>
      </c>
      <c r="P1870" s="34">
        <v>1000.0</v>
      </c>
      <c r="Q1870" s="35">
        <v>40.0</v>
      </c>
      <c r="R1870" s="32">
        <v>45833.0</v>
      </c>
      <c r="S1870" s="32">
        <v>45758.0</v>
      </c>
      <c r="T1870" s="29"/>
      <c r="U1870" s="33"/>
      <c r="V1870" s="1"/>
    </row>
    <row r="1871" ht="24.0" customHeight="1">
      <c r="A1871" s="1"/>
      <c r="B1871" s="24" t="str">
        <f>HYPERLINK("https://www.compass.com/listing/765-42nd-street-unit-20-brooklyn-ny-11232/1866740405739618369/view?agent_id=610d3f3370540700019b0833","765 42nd Street, Unit 20")</f>
        <v>765 42nd Street, Unit 20</v>
      </c>
      <c r="C1871" s="25" t="s">
        <v>357</v>
      </c>
      <c r="D1871" s="26" t="s">
        <v>23</v>
      </c>
      <c r="E1871" s="27" t="str">
        <f>HYPERLINK("https://www.compass.com/building/765-42nd-st-brooklyn-ny-11232/307456276556398853/","765 42nd St")</f>
        <v>765 42nd St</v>
      </c>
      <c r="F1871" s="25" t="s">
        <v>128</v>
      </c>
      <c r="G1871" s="28">
        <v>515000.0</v>
      </c>
      <c r="H1871" s="28">
        <v>644.0</v>
      </c>
      <c r="I1871" s="28">
        <v>731.0</v>
      </c>
      <c r="J1871" s="28">
        <v>0.0</v>
      </c>
      <c r="K1871" s="25" t="s">
        <v>25</v>
      </c>
      <c r="L1871" s="26">
        <v>5.0</v>
      </c>
      <c r="M1871" s="26">
        <v>2.0</v>
      </c>
      <c r="N1871" s="26">
        <v>1.0</v>
      </c>
      <c r="O1871" s="26">
        <v>0.0</v>
      </c>
      <c r="P1871" s="26">
        <v>800.0</v>
      </c>
      <c r="Q1871" s="35">
        <v>23.0</v>
      </c>
      <c r="R1871" s="32">
        <v>45850.0</v>
      </c>
      <c r="S1871" s="32">
        <v>45827.0</v>
      </c>
      <c r="T1871" s="29"/>
      <c r="U1871" s="33"/>
      <c r="V1871" s="1"/>
    </row>
    <row r="1872" ht="24.0" customHeight="1">
      <c r="A1872" s="1"/>
      <c r="B1872" s="24" t="str">
        <f>HYPERLINK("https://www.compass.com/listing/70-haven-avenue-unit-1f-manhattan-ny-10032/1750958869851644785/view?agent_id=610d3f3370540700019b0833","70 Haven Avenue, Unit 1F")</f>
        <v>70 Haven Avenue, Unit 1F</v>
      </c>
      <c r="C1872" s="25" t="s">
        <v>353</v>
      </c>
      <c r="D1872" s="26" t="s">
        <v>23</v>
      </c>
      <c r="E1872" s="27" t="str">
        <f>HYPERLINK("https://www.compass.com/building/70-haven-ave-manhattan-ny-10032/282009081621904389/","70 Haven Ave")</f>
        <v>70 Haven Ave</v>
      </c>
      <c r="F1872" s="25" t="s">
        <v>77</v>
      </c>
      <c r="G1872" s="28">
        <v>575000.0</v>
      </c>
      <c r="H1872" s="29"/>
      <c r="I1872" s="28">
        <v>1020.0</v>
      </c>
      <c r="J1872" s="28">
        <v>0.0</v>
      </c>
      <c r="K1872" s="25" t="s">
        <v>25</v>
      </c>
      <c r="L1872" s="26">
        <v>4.0</v>
      </c>
      <c r="M1872" s="26">
        <v>2.0</v>
      </c>
      <c r="N1872" s="26">
        <v>1.0</v>
      </c>
      <c r="O1872" s="26">
        <v>0.0</v>
      </c>
      <c r="P1872" s="30"/>
      <c r="Q1872" s="35">
        <v>97.0</v>
      </c>
      <c r="R1872" s="32">
        <v>45818.0</v>
      </c>
      <c r="S1872" s="32">
        <v>45667.0</v>
      </c>
      <c r="T1872" s="29"/>
      <c r="U1872" s="33"/>
      <c r="V1872" s="1"/>
    </row>
    <row r="1873" ht="24.0" customHeight="1">
      <c r="A1873" s="1"/>
      <c r="B1873" s="24" t="str">
        <f>HYPERLINK("https://www.compass.com/listing/469-west-166th-street-unit-5a-manhattan-ny-10032/1794139071357565529/view?agent_id=610d3f3370540700019b0833","469 West 166th Street, Unit 5A")</f>
        <v>469 West 166th Street, Unit 5A</v>
      </c>
      <c r="C1873" s="25" t="s">
        <v>353</v>
      </c>
      <c r="D1873" s="26" t="s">
        <v>23</v>
      </c>
      <c r="E1873" s="27" t="str">
        <f>HYPERLINK("https://www.compass.com/building/469-w-166th-st-manhattan-ny-10032/294839356854262837/","469 W 166th St")</f>
        <v>469 W 166th St</v>
      </c>
      <c r="F1873" s="25" t="s">
        <v>77</v>
      </c>
      <c r="G1873" s="28">
        <v>290000.0</v>
      </c>
      <c r="H1873" s="28">
        <v>483.0</v>
      </c>
      <c r="I1873" s="28">
        <v>582.0</v>
      </c>
      <c r="J1873" s="28">
        <v>0.0</v>
      </c>
      <c r="K1873" s="25" t="s">
        <v>25</v>
      </c>
      <c r="L1873" s="26">
        <v>4.0</v>
      </c>
      <c r="M1873" s="26">
        <v>2.0</v>
      </c>
      <c r="N1873" s="26">
        <v>1.0</v>
      </c>
      <c r="O1873" s="30"/>
      <c r="P1873" s="26">
        <v>600.0</v>
      </c>
      <c r="Q1873" s="35">
        <v>21.0</v>
      </c>
      <c r="R1873" s="32">
        <v>45763.0</v>
      </c>
      <c r="S1873" s="32">
        <v>45727.0</v>
      </c>
      <c r="T1873" s="29"/>
      <c r="U1873" s="33"/>
      <c r="V1873" s="1"/>
    </row>
    <row r="1874" ht="24.0" customHeight="1">
      <c r="A1874" s="1"/>
      <c r="B1874" s="24" t="str">
        <f>HYPERLINK("https://www.compass.com/listing/5900-arlington-avenue-unit-17w-bronx-ny-10471/1824196486074310457/view?agent_id=610d3f3370540700019b0833","5900 Arlington Avenue, Unit 17W")</f>
        <v>5900 Arlington Avenue, Unit 17W</v>
      </c>
      <c r="C1874" s="25" t="s">
        <v>353</v>
      </c>
      <c r="D1874" s="26" t="s">
        <v>23</v>
      </c>
      <c r="E1874" s="27" t="str">
        <f>HYPERLINK("https://www.compass.com/building/skyview-on-the-hudson-bronx-ny/293535671430276277/","Skyview On The Hudson")</f>
        <v>Skyview On The Hudson</v>
      </c>
      <c r="F1874" s="25" t="s">
        <v>75</v>
      </c>
      <c r="G1874" s="28">
        <v>485000.0</v>
      </c>
      <c r="H1874" s="29"/>
      <c r="I1874" s="28">
        <v>1518.0</v>
      </c>
      <c r="J1874" s="28">
        <v>0.0</v>
      </c>
      <c r="K1874" s="25" t="s">
        <v>25</v>
      </c>
      <c r="L1874" s="26">
        <v>4.0</v>
      </c>
      <c r="M1874" s="26">
        <v>2.0</v>
      </c>
      <c r="N1874" s="26">
        <v>1.0</v>
      </c>
      <c r="O1874" s="30"/>
      <c r="P1874" s="30"/>
      <c r="Q1874" s="35">
        <v>34.0</v>
      </c>
      <c r="R1874" s="32">
        <v>45803.0</v>
      </c>
      <c r="S1874" s="32">
        <v>45768.0</v>
      </c>
      <c r="T1874" s="29"/>
      <c r="U1874" s="33"/>
      <c r="V1874" s="1"/>
    </row>
    <row r="1875" ht="24.0" customHeight="1">
      <c r="A1875" s="1"/>
      <c r="B1875" s="24" t="str">
        <f>HYPERLINK("https://www.compass.com/listing/1270-east-51st-street-unit-5b-brooklyn-ny-11234/1831382592005727841/view?agent_id=610d3f3370540700019b0833","1270 East 51st Street, Unit 5B")</f>
        <v>1270 East 51st Street, Unit 5B</v>
      </c>
      <c r="C1875" s="25" t="s">
        <v>353</v>
      </c>
      <c r="D1875" s="26" t="s">
        <v>23</v>
      </c>
      <c r="E1875" s="27" t="str">
        <f>HYPERLINK("https://www.compass.com/building/kings-village-brooklyn-ny/293535463686315381/","King's Village ")</f>
        <v>King's Village </v>
      </c>
      <c r="F1875" s="25" t="s">
        <v>123</v>
      </c>
      <c r="G1875" s="28">
        <v>270000.0</v>
      </c>
      <c r="H1875" s="29"/>
      <c r="I1875" s="28">
        <v>1384.0</v>
      </c>
      <c r="J1875" s="28">
        <v>0.0</v>
      </c>
      <c r="K1875" s="25" t="s">
        <v>25</v>
      </c>
      <c r="L1875" s="26">
        <v>5.0</v>
      </c>
      <c r="M1875" s="26">
        <v>2.0</v>
      </c>
      <c r="N1875" s="26">
        <v>1.0</v>
      </c>
      <c r="O1875" s="26">
        <v>0.0</v>
      </c>
      <c r="P1875" s="30"/>
      <c r="Q1875" s="35">
        <v>73.0</v>
      </c>
      <c r="R1875" s="32">
        <v>45852.0</v>
      </c>
      <c r="S1875" s="32">
        <v>45778.0</v>
      </c>
      <c r="T1875" s="29"/>
      <c r="U1875" s="33"/>
      <c r="V1875" s="1"/>
    </row>
    <row r="1876" ht="24.0" customHeight="1">
      <c r="A1876" s="1"/>
      <c r="B1876" s="24" t="str">
        <f>HYPERLINK("https://www.compass.com/listing/5635-netherland-avenue-unit-1g-bronx-ny-10471/1393355519772524505/view?agent_id=610d3f3370540700019b0833","5635 Netherland Ave, Unit 1G")</f>
        <v>5635 Netherland Ave, Unit 1G</v>
      </c>
      <c r="C1876" s="25" t="s">
        <v>353</v>
      </c>
      <c r="D1876" s="26" t="s">
        <v>23</v>
      </c>
      <c r="E1876" s="27" t="str">
        <f>HYPERLINK("https://www.compass.com/building/netherland-gardens-bronx-ny/294848460222117189/","Netherland Gardens")</f>
        <v>Netherland Gardens</v>
      </c>
      <c r="F1876" s="25" t="s">
        <v>75</v>
      </c>
      <c r="G1876" s="28">
        <v>245000.0</v>
      </c>
      <c r="H1876" s="28">
        <v>245.0</v>
      </c>
      <c r="I1876" s="28">
        <v>1150.0</v>
      </c>
      <c r="J1876" s="28">
        <v>13799.0</v>
      </c>
      <c r="K1876" s="25" t="s">
        <v>25</v>
      </c>
      <c r="L1876" s="26">
        <v>4.0</v>
      </c>
      <c r="M1876" s="26">
        <v>2.0</v>
      </c>
      <c r="N1876" s="26">
        <v>1.0</v>
      </c>
      <c r="O1876" s="26">
        <v>0.0</v>
      </c>
      <c r="P1876" s="34">
        <v>1000.0</v>
      </c>
      <c r="Q1876" s="35">
        <v>79.0</v>
      </c>
      <c r="R1876" s="32">
        <v>45842.0</v>
      </c>
      <c r="S1876" s="32">
        <v>45660.0</v>
      </c>
      <c r="T1876" s="29"/>
      <c r="U1876" s="33"/>
      <c r="V1876" s="1"/>
    </row>
    <row r="1877" ht="24.0" customHeight="1">
      <c r="A1877" s="1"/>
      <c r="B1877" s="24" t="str">
        <f>HYPERLINK("https://www.compass.com/listing/180-van-cortlandt-park-south-unit-4c-bronx-ny-10463/1851678491388974833/view?agent_id=610d3f3370540700019b0833","180 Van Cortlandt Park S, Unit 4C")</f>
        <v>180 Van Cortlandt Park S, Unit 4C</v>
      </c>
      <c r="C1877" s="25" t="s">
        <v>353</v>
      </c>
      <c r="D1877" s="26" t="s">
        <v>23</v>
      </c>
      <c r="E1877" s="27" t="str">
        <f>HYPERLINK("https://www.compass.com/building/the-van-cort-bronx-ny/293530598360751061/","The Van Cort")</f>
        <v>The Van Cort</v>
      </c>
      <c r="F1877" s="25" t="s">
        <v>268</v>
      </c>
      <c r="G1877" s="28">
        <v>340000.0</v>
      </c>
      <c r="H1877" s="28">
        <v>324.0</v>
      </c>
      <c r="I1877" s="28">
        <v>1001.0</v>
      </c>
      <c r="J1877" s="28">
        <v>0.0</v>
      </c>
      <c r="K1877" s="25" t="s">
        <v>25</v>
      </c>
      <c r="L1877" s="26">
        <v>5.0</v>
      </c>
      <c r="M1877" s="26">
        <v>2.0</v>
      </c>
      <c r="N1877" s="26">
        <v>1.0</v>
      </c>
      <c r="O1877" s="30"/>
      <c r="P1877" s="34">
        <v>1050.0</v>
      </c>
      <c r="Q1877" s="35">
        <v>19.0</v>
      </c>
      <c r="R1877" s="32">
        <v>45825.0</v>
      </c>
      <c r="S1877" s="32">
        <v>45806.0</v>
      </c>
      <c r="T1877" s="29"/>
      <c r="U1877" s="33"/>
      <c r="V1877" s="1"/>
    </row>
    <row r="1878" ht="24.0" customHeight="1">
      <c r="A1878" s="1"/>
      <c r="B1878" s="24" t="str">
        <f>HYPERLINK("https://www.compass.com/listing/4320-van-cortlandt-park-east-unit-3e-bronx-ny-10470/1792464781880333161/view?agent_id=610d3f3370540700019b0833","4320 Van Cortlandt Park E, Unit 3E")</f>
        <v>4320 Van Cortlandt Park E, Unit 3E</v>
      </c>
      <c r="C1878" s="25" t="s">
        <v>353</v>
      </c>
      <c r="D1878" s="26" t="s">
        <v>23</v>
      </c>
      <c r="E1878" s="27" t="str">
        <f>HYPERLINK("https://www.compass.com/building/4320-van-cortlandt-park-e-bronx-ny-10470/293534087392533781/","4320 Van Cortlandt Park E")</f>
        <v>4320 Van Cortlandt Park E</v>
      </c>
      <c r="F1878" s="25" t="s">
        <v>124</v>
      </c>
      <c r="G1878" s="28">
        <v>234000.0</v>
      </c>
      <c r="H1878" s="28">
        <v>246.0</v>
      </c>
      <c r="I1878" s="28">
        <v>1150.0</v>
      </c>
      <c r="J1878" s="29"/>
      <c r="K1878" s="25" t="s">
        <v>25</v>
      </c>
      <c r="L1878" s="26">
        <v>5.0</v>
      </c>
      <c r="M1878" s="26">
        <v>2.0</v>
      </c>
      <c r="N1878" s="26">
        <v>1.0</v>
      </c>
      <c r="O1878" s="30"/>
      <c r="P1878" s="26">
        <v>950.0</v>
      </c>
      <c r="Q1878" s="35">
        <v>75.0</v>
      </c>
      <c r="R1878" s="32">
        <v>45804.0</v>
      </c>
      <c r="S1878" s="32">
        <v>45726.0</v>
      </c>
      <c r="T1878" s="29"/>
      <c r="U1878" s="33"/>
      <c r="V1878" s="1"/>
    </row>
    <row r="1879" ht="24.0" customHeight="1">
      <c r="A1879" s="1"/>
      <c r="B1879" s="24" t="str">
        <f>HYPERLINK("https://www.compass.com/listing/1686-metropolitan-avenue-unit-1f-bronx-ny-10462/1805924717755859033/view?agent_id=610d3f3370540700019b0833","1686 Metropolitan Ave, Unit 1F")</f>
        <v>1686 Metropolitan Ave, Unit 1F</v>
      </c>
      <c r="C1879" s="25" t="s">
        <v>353</v>
      </c>
      <c r="D1879" s="26" t="s">
        <v>23</v>
      </c>
      <c r="E1879" s="27" t="str">
        <f>HYPERLINK("https://www.compass.com/building/1686-metropolitan-ave-bronx-ny-10462/307443000829364613/","1686 Metropolitan Ave")</f>
        <v>1686 Metropolitan Ave</v>
      </c>
      <c r="F1879" s="25" t="s">
        <v>129</v>
      </c>
      <c r="G1879" s="28">
        <v>345000.0</v>
      </c>
      <c r="H1879" s="28">
        <v>406.0</v>
      </c>
      <c r="I1879" s="28">
        <v>1097.0</v>
      </c>
      <c r="J1879" s="28">
        <v>759.0</v>
      </c>
      <c r="K1879" s="25" t="s">
        <v>28</v>
      </c>
      <c r="L1879" s="26">
        <v>3.0</v>
      </c>
      <c r="M1879" s="26">
        <v>2.0</v>
      </c>
      <c r="N1879" s="26">
        <v>1.0</v>
      </c>
      <c r="O1879" s="30"/>
      <c r="P1879" s="26">
        <v>850.0</v>
      </c>
      <c r="Q1879" s="35">
        <v>26.0</v>
      </c>
      <c r="R1879" s="32">
        <v>45775.0</v>
      </c>
      <c r="S1879" s="32">
        <v>45743.0</v>
      </c>
      <c r="T1879" s="29"/>
      <c r="U1879" s="33"/>
      <c r="V1879" s="1"/>
    </row>
    <row r="1880" ht="24.0" customHeight="1">
      <c r="A1880" s="1"/>
      <c r="B1880" s="24" t="str">
        <f>HYPERLINK("https://www.compass.com/listing/33-55-14th-street-unit-15b-queens-ny-11106/1814551986759420833/view?agent_id=610d3f3370540700019b0833","33-55 14th Street, Unit 15B")</f>
        <v>33-55 14th Street, Unit 15B</v>
      </c>
      <c r="C1880" s="25" t="s">
        <v>353</v>
      </c>
      <c r="D1880" s="26" t="s">
        <v>23</v>
      </c>
      <c r="E1880" s="27" t="str">
        <f>HYPERLINK("https://www.compass.com/building/33-55-14th-st-queens-ny-11106/294841954361536725/","33-55 14th St")</f>
        <v>33-55 14th St</v>
      </c>
      <c r="F1880" s="25" t="s">
        <v>68</v>
      </c>
      <c r="G1880" s="28">
        <v>650000.0</v>
      </c>
      <c r="H1880" s="28">
        <v>730.0</v>
      </c>
      <c r="I1880" s="28">
        <v>1180.0</v>
      </c>
      <c r="J1880" s="29"/>
      <c r="K1880" s="25" t="s">
        <v>25</v>
      </c>
      <c r="L1880" s="26">
        <v>5.0</v>
      </c>
      <c r="M1880" s="26">
        <v>2.0</v>
      </c>
      <c r="N1880" s="26">
        <v>1.0</v>
      </c>
      <c r="O1880" s="30"/>
      <c r="P1880" s="26">
        <v>890.0</v>
      </c>
      <c r="Q1880" s="35">
        <v>64.0</v>
      </c>
      <c r="R1880" s="32">
        <v>45822.0</v>
      </c>
      <c r="S1880" s="32">
        <v>45757.0</v>
      </c>
      <c r="T1880" s="29"/>
      <c r="U1880" s="33"/>
      <c r="V1880" s="1"/>
    </row>
    <row r="1881" ht="24.0" customHeight="1">
      <c r="A1881" s="1"/>
      <c r="B1881" s="24" t="str">
        <f>HYPERLINK("https://www.compass.com/listing/45-08-40th-street-unit-e31-queens-ny-11104/1840841261362253425/view?agent_id=610d3f3370540700019b0833","45-08 40th Street, Unit E31")</f>
        <v>45-08 40th Street, Unit E31</v>
      </c>
      <c r="C1881" s="25" t="s">
        <v>353</v>
      </c>
      <c r="D1881" s="26" t="s">
        <v>23</v>
      </c>
      <c r="E1881" s="27" t="str">
        <f>HYPERLINK("https://www.compass.com/building/45-08-40th-st-queens-ny-11104/293533484041916437/","45-08 40th St")</f>
        <v>45-08 40th St</v>
      </c>
      <c r="F1881" s="25" t="s">
        <v>88</v>
      </c>
      <c r="G1881" s="28">
        <v>599000.0</v>
      </c>
      <c r="H1881" s="28">
        <v>631.0</v>
      </c>
      <c r="I1881" s="28">
        <v>948.0</v>
      </c>
      <c r="J1881" s="28">
        <v>0.0</v>
      </c>
      <c r="K1881" s="25" t="s">
        <v>25</v>
      </c>
      <c r="L1881" s="26">
        <v>5.0</v>
      </c>
      <c r="M1881" s="26">
        <v>2.0</v>
      </c>
      <c r="N1881" s="26">
        <v>1.0</v>
      </c>
      <c r="O1881" s="30"/>
      <c r="P1881" s="26">
        <v>950.0</v>
      </c>
      <c r="Q1881" s="35">
        <v>29.0</v>
      </c>
      <c r="R1881" s="32">
        <v>45848.0</v>
      </c>
      <c r="S1881" s="32">
        <v>45791.0</v>
      </c>
      <c r="T1881" s="29"/>
      <c r="U1881" s="33"/>
      <c r="V1881" s="1"/>
    </row>
    <row r="1882" ht="24.0" customHeight="1">
      <c r="A1882" s="1"/>
      <c r="B1882" s="24" t="str">
        <f>HYPERLINK("https://www.compass.com/listing/33-65-14th-street-unit-5d-queens-ny-11106/1816713471582366713/view?agent_id=610d3f3370540700019b0833","33-65 14th Street, Unit 5D")</f>
        <v>33-65 14th Street, Unit 5D</v>
      </c>
      <c r="C1882" s="25" t="s">
        <v>353</v>
      </c>
      <c r="D1882" s="26" t="s">
        <v>23</v>
      </c>
      <c r="E1882" s="27" t="str">
        <f>HYPERLINK("https://www.compass.com/building/33-65-14th-st-queens-ny-11106/294845868922140549/","33-65 14th St")</f>
        <v>33-65 14th St</v>
      </c>
      <c r="F1882" s="25" t="s">
        <v>68</v>
      </c>
      <c r="G1882" s="28">
        <v>489000.0</v>
      </c>
      <c r="H1882" s="28">
        <v>549.0</v>
      </c>
      <c r="I1882" s="28">
        <v>1178.0</v>
      </c>
      <c r="J1882" s="29"/>
      <c r="K1882" s="25" t="s">
        <v>25</v>
      </c>
      <c r="L1882" s="26">
        <v>5.0</v>
      </c>
      <c r="M1882" s="26">
        <v>2.0</v>
      </c>
      <c r="N1882" s="26">
        <v>1.0</v>
      </c>
      <c r="O1882" s="30"/>
      <c r="P1882" s="26">
        <v>890.0</v>
      </c>
      <c r="Q1882" s="35">
        <v>52.0</v>
      </c>
      <c r="R1882" s="32">
        <v>45812.0</v>
      </c>
      <c r="S1882" s="32">
        <v>45758.0</v>
      </c>
      <c r="T1882" s="29"/>
      <c r="U1882" s="33"/>
      <c r="V1882" s="1"/>
    </row>
    <row r="1883" ht="24.0" customHeight="1">
      <c r="A1883" s="1"/>
      <c r="B1883" s="24" t="str">
        <f>HYPERLINK("https://www.compass.com/listing/759-42nd-street-unit-15-brooklyn-ny-11232/1841525826091395161/view?agent_id=610d3f3370540700019b0833","759 42nd Street, Unit 15")</f>
        <v>759 42nd Street, Unit 15</v>
      </c>
      <c r="C1883" s="25" t="s">
        <v>353</v>
      </c>
      <c r="D1883" s="26" t="s">
        <v>23</v>
      </c>
      <c r="E1883" s="27" t="str">
        <f>HYPERLINK("https://www.compass.com/building/759-42nd-st-brooklyn-ny-11232/293534151380860917/","759 42nd St")</f>
        <v>759 42nd St</v>
      </c>
      <c r="F1883" s="25" t="s">
        <v>128</v>
      </c>
      <c r="G1883" s="28">
        <v>699000.0</v>
      </c>
      <c r="H1883" s="28">
        <v>714.0</v>
      </c>
      <c r="I1883" s="28">
        <v>905.0</v>
      </c>
      <c r="J1883" s="28">
        <v>0.0</v>
      </c>
      <c r="K1883" s="25" t="s">
        <v>25</v>
      </c>
      <c r="L1883" s="26">
        <v>6.0</v>
      </c>
      <c r="M1883" s="26">
        <v>2.0</v>
      </c>
      <c r="N1883" s="26">
        <v>1.0</v>
      </c>
      <c r="O1883" s="30"/>
      <c r="P1883" s="26">
        <v>979.0</v>
      </c>
      <c r="Q1883" s="35">
        <v>68.0</v>
      </c>
      <c r="R1883" s="32">
        <v>45861.0</v>
      </c>
      <c r="S1883" s="32">
        <v>45792.0</v>
      </c>
      <c r="T1883" s="29"/>
      <c r="U1883" s="33"/>
      <c r="V1883" s="1"/>
    </row>
    <row r="1884" ht="24.0" customHeight="1">
      <c r="A1884" s="1"/>
      <c r="B1884" s="24" t="str">
        <f>HYPERLINK("https://www.compass.com/listing/33-64-21st-street-unit-8d-queens-ny-11106/1725502241418985481/view?agent_id=610d3f3370540700019b0833","33-64 21st St, Unit 8D")</f>
        <v>33-64 21st St, Unit 8D</v>
      </c>
      <c r="C1884" s="25" t="s">
        <v>353</v>
      </c>
      <c r="D1884" s="26" t="s">
        <v>23</v>
      </c>
      <c r="E1884" s="27" t="str">
        <f>HYPERLINK("https://www.compass.com/building/north-queensview-houses-queens-ny/307440247696477045/","North Queensview Houses")</f>
        <v>North Queensview Houses</v>
      </c>
      <c r="F1884" s="25" t="s">
        <v>68</v>
      </c>
      <c r="G1884" s="28">
        <v>499000.0</v>
      </c>
      <c r="H1884" s="28">
        <v>570.0</v>
      </c>
      <c r="I1884" s="28">
        <v>1177.0</v>
      </c>
      <c r="J1884" s="29"/>
      <c r="K1884" s="25" t="s">
        <v>25</v>
      </c>
      <c r="L1884" s="26">
        <v>5.0</v>
      </c>
      <c r="M1884" s="26">
        <v>2.0</v>
      </c>
      <c r="N1884" s="26">
        <v>1.0</v>
      </c>
      <c r="O1884" s="30"/>
      <c r="P1884" s="26">
        <v>875.0</v>
      </c>
      <c r="Q1884" s="35">
        <v>101.0</v>
      </c>
      <c r="R1884" s="32">
        <v>45758.0</v>
      </c>
      <c r="S1884" s="32">
        <v>45632.0</v>
      </c>
      <c r="T1884" s="29"/>
      <c r="U1884" s="33"/>
      <c r="V1884" s="1"/>
    </row>
    <row r="1885" ht="24.0" customHeight="1">
      <c r="A1885" s="1"/>
      <c r="B1885" s="24" t="str">
        <f>HYPERLINK("https://www.compass.com/listing/37-51-84th-street-unit-31-queens-ny-11372/1829240895146395993/view?agent_id=610d3f3370540700019b0833","37-51 84th St, Unit 31")</f>
        <v>37-51 84th St, Unit 31</v>
      </c>
      <c r="C1885" s="25" t="s">
        <v>353</v>
      </c>
      <c r="D1885" s="26" t="s">
        <v>23</v>
      </c>
      <c r="E1885" s="27" t="str">
        <f>HYPERLINK("https://www.compass.com/building/37-51-84th-st-queens-ny-11372/307433609958747973/","37-51 84th St")</f>
        <v>37-51 84th St</v>
      </c>
      <c r="F1885" s="25" t="s">
        <v>33</v>
      </c>
      <c r="G1885" s="28">
        <v>475000.0</v>
      </c>
      <c r="H1885" s="29"/>
      <c r="I1885" s="28">
        <v>491.0</v>
      </c>
      <c r="J1885" s="28">
        <v>0.0</v>
      </c>
      <c r="K1885" s="25" t="s">
        <v>25</v>
      </c>
      <c r="L1885" s="26">
        <v>4.0</v>
      </c>
      <c r="M1885" s="26">
        <v>2.0</v>
      </c>
      <c r="N1885" s="26">
        <v>1.0</v>
      </c>
      <c r="O1885" s="26">
        <v>0.0</v>
      </c>
      <c r="P1885" s="30"/>
      <c r="Q1885" s="35">
        <v>69.0</v>
      </c>
      <c r="R1885" s="32">
        <v>45846.0</v>
      </c>
      <c r="S1885" s="32">
        <v>45777.0</v>
      </c>
      <c r="T1885" s="29"/>
      <c r="U1885" s="33"/>
      <c r="V1885" s="1"/>
    </row>
    <row r="1886" ht="24.0" customHeight="1">
      <c r="A1886" s="1"/>
      <c r="B1886" s="24" t="str">
        <f>HYPERLINK("https://www.compass.com/listing/223-21-manor-road-unit-232-queens-ny-11427/1826837202043548801/view?agent_id=610d3f3370540700019b0833","223-21 Manor Rd, Unit 232")</f>
        <v>223-21 Manor Rd, Unit 232</v>
      </c>
      <c r="C1886" s="25" t="s">
        <v>353</v>
      </c>
      <c r="D1886" s="26" t="s">
        <v>23</v>
      </c>
      <c r="E1886" s="26" t="s">
        <v>359</v>
      </c>
      <c r="F1886" s="25" t="s">
        <v>69</v>
      </c>
      <c r="G1886" s="28">
        <v>254000.0</v>
      </c>
      <c r="H1886" s="28">
        <v>363.0</v>
      </c>
      <c r="I1886" s="28">
        <v>867.0</v>
      </c>
      <c r="J1886" s="29"/>
      <c r="K1886" s="25" t="s">
        <v>25</v>
      </c>
      <c r="L1886" s="26">
        <v>5.0</v>
      </c>
      <c r="M1886" s="26">
        <v>2.0</v>
      </c>
      <c r="N1886" s="26">
        <v>1.0</v>
      </c>
      <c r="O1886" s="30"/>
      <c r="P1886" s="26">
        <v>700.0</v>
      </c>
      <c r="Q1886" s="35">
        <v>73.0</v>
      </c>
      <c r="R1886" s="32">
        <v>45852.0</v>
      </c>
      <c r="S1886" s="32">
        <v>45779.0</v>
      </c>
      <c r="T1886" s="29"/>
      <c r="U1886" s="33"/>
      <c r="V1886" s="1"/>
    </row>
    <row r="1887" ht="24.0" customHeight="1">
      <c r="A1887" s="1"/>
      <c r="B1887" s="24" t="str">
        <f>HYPERLINK("https://www.compass.com/listing/221-95-manor-road-unit-uppr-queens-ny-11427/1783599475990483793/view?agent_id=610d3f3370540700019b0833","221-95 Manor Rd, Unit UPPR")</f>
        <v>221-95 Manor Rd, Unit UPPR</v>
      </c>
      <c r="C1887" s="25" t="s">
        <v>353</v>
      </c>
      <c r="D1887" s="26" t="s">
        <v>23</v>
      </c>
      <c r="E1887" s="27" t="str">
        <f>HYPERLINK("https://www.compass.com/building/221-95-manor-rd-queens-ny-11427/307453178811263253/","221-95 Manor Rd")</f>
        <v>221-95 Manor Rd</v>
      </c>
      <c r="F1887" s="25" t="s">
        <v>69</v>
      </c>
      <c r="G1887" s="28">
        <v>295000.0</v>
      </c>
      <c r="H1887" s="28">
        <v>393.0</v>
      </c>
      <c r="I1887" s="28">
        <v>1742.0</v>
      </c>
      <c r="J1887" s="29"/>
      <c r="K1887" s="25" t="s">
        <v>25</v>
      </c>
      <c r="L1887" s="26">
        <v>5.0</v>
      </c>
      <c r="M1887" s="26">
        <v>2.0</v>
      </c>
      <c r="N1887" s="26">
        <v>1.0</v>
      </c>
      <c r="O1887" s="30"/>
      <c r="P1887" s="26">
        <v>750.0</v>
      </c>
      <c r="Q1887" s="35">
        <v>59.0</v>
      </c>
      <c r="R1887" s="32">
        <v>45773.0</v>
      </c>
      <c r="S1887" s="32">
        <v>45713.0</v>
      </c>
      <c r="T1887" s="29"/>
      <c r="U1887" s="33"/>
      <c r="V1887" s="1"/>
    </row>
    <row r="1888" ht="24.0" customHeight="1">
      <c r="A1888" s="1"/>
      <c r="B1888" s="24" t="str">
        <f>HYPERLINK("https://www.compass.com/listing/65-15-38th-avenue-unit-1g-queens-ny-11377/1663270360001057313/view?agent_id=610d3f3370540700019b0833","65-15 38th Avenue, Unit 1G")</f>
        <v>65-15 38th Avenue, Unit 1G</v>
      </c>
      <c r="C1888" s="25" t="s">
        <v>353</v>
      </c>
      <c r="D1888" s="26" t="s">
        <v>23</v>
      </c>
      <c r="E1888" s="27" t="str">
        <f>HYPERLINK("https://www.compass.com/building/65-15-38th-ave-queens-ny-11377/293418460262725477/","65-15 38th Ave")</f>
        <v>65-15 38th Ave</v>
      </c>
      <c r="F1888" s="25" t="s">
        <v>137</v>
      </c>
      <c r="G1888" s="28">
        <v>479000.0</v>
      </c>
      <c r="H1888" s="28">
        <v>479.0</v>
      </c>
      <c r="I1888" s="28">
        <v>945.0</v>
      </c>
      <c r="J1888" s="28">
        <v>0.0</v>
      </c>
      <c r="K1888" s="25" t="s">
        <v>25</v>
      </c>
      <c r="L1888" s="26">
        <v>4.0</v>
      </c>
      <c r="M1888" s="26">
        <v>2.0</v>
      </c>
      <c r="N1888" s="26">
        <v>1.0</v>
      </c>
      <c r="O1888" s="30"/>
      <c r="P1888" s="34">
        <v>1000.0</v>
      </c>
      <c r="Q1888" s="35">
        <v>213.0</v>
      </c>
      <c r="R1888" s="32">
        <v>45838.0</v>
      </c>
      <c r="S1888" s="32">
        <v>45546.0</v>
      </c>
      <c r="T1888" s="29"/>
      <c r="U1888" s="33"/>
      <c r="V1888" s="1"/>
    </row>
    <row r="1889" ht="24.0" customHeight="1">
      <c r="A1889" s="1"/>
      <c r="B1889" s="24" t="str">
        <f>HYPERLINK("https://www.compass.com/listing/3755-henry-hudson-parkway-west-unit-7e-bronx-ny-10463/1700127009744072857/view?agent_id=610d3f3370540700019b0833","3755 Henry Hudson Parkway West, Unit 7E")</f>
        <v>3755 Henry Hudson Parkway West, Unit 7E</v>
      </c>
      <c r="C1889" s="25" t="s">
        <v>353</v>
      </c>
      <c r="D1889" s="26" t="s">
        <v>23</v>
      </c>
      <c r="E1889" s="27" t="str">
        <f>HYPERLINK("https://www.compass.com/building/the-imperial-bronx-ny/293418390142323093/","The Imperial")</f>
        <v>The Imperial</v>
      </c>
      <c r="F1889" s="25" t="s">
        <v>76</v>
      </c>
      <c r="G1889" s="28">
        <v>299999.0</v>
      </c>
      <c r="H1889" s="28">
        <v>300.0</v>
      </c>
      <c r="I1889" s="28">
        <v>1307.0</v>
      </c>
      <c r="J1889" s="29"/>
      <c r="K1889" s="25" t="s">
        <v>25</v>
      </c>
      <c r="L1889" s="26">
        <v>4.0</v>
      </c>
      <c r="M1889" s="26">
        <v>2.0</v>
      </c>
      <c r="N1889" s="26">
        <v>1.0</v>
      </c>
      <c r="O1889" s="30"/>
      <c r="P1889" s="34">
        <v>1000.0</v>
      </c>
      <c r="Q1889" s="35">
        <v>118.0</v>
      </c>
      <c r="R1889" s="32">
        <v>45845.0</v>
      </c>
      <c r="S1889" s="32">
        <v>45603.0</v>
      </c>
      <c r="T1889" s="29"/>
      <c r="U1889" s="33"/>
      <c r="V1889" s="1"/>
    </row>
    <row r="1890" ht="24.0" customHeight="1">
      <c r="A1890" s="1"/>
      <c r="B1890" s="24" t="str">
        <f>HYPERLINK("https://www.compass.com/listing/86-73-springfield-boulevard-unit-duplex-queens-ny-11427/1758930404895588985/view?agent_id=610d3f3370540700019b0833","86-73 Springfield Boulevard, Unit DUPLEX")</f>
        <v>86-73 Springfield Boulevard, Unit DUPLEX</v>
      </c>
      <c r="C1890" s="25" t="s">
        <v>353</v>
      </c>
      <c r="D1890" s="26" t="s">
        <v>23</v>
      </c>
      <c r="E1890" s="27" t="str">
        <f>HYPERLINK("https://www.compass.com/building/86-73-springfield-blvd-queens-ny-11427/381307039405087061/","86-73 Springfield Blvd")</f>
        <v>86-73 Springfield Blvd</v>
      </c>
      <c r="F1890" s="25" t="s">
        <v>69</v>
      </c>
      <c r="G1890" s="28">
        <v>372000.0</v>
      </c>
      <c r="H1890" s="28">
        <v>425.0</v>
      </c>
      <c r="I1890" s="28">
        <v>941.0</v>
      </c>
      <c r="J1890" s="29"/>
      <c r="K1890" s="25" t="s">
        <v>25</v>
      </c>
      <c r="L1890" s="26">
        <v>5.0</v>
      </c>
      <c r="M1890" s="26">
        <v>2.0</v>
      </c>
      <c r="N1890" s="26">
        <v>1.0</v>
      </c>
      <c r="O1890" s="30"/>
      <c r="P1890" s="26">
        <v>875.0</v>
      </c>
      <c r="Q1890" s="35">
        <v>104.0</v>
      </c>
      <c r="R1890" s="32">
        <v>45840.0</v>
      </c>
      <c r="S1890" s="32">
        <v>45678.0</v>
      </c>
      <c r="T1890" s="29"/>
      <c r="U1890" s="33"/>
      <c r="V1890" s="1"/>
    </row>
    <row r="1891" ht="24.0" customHeight="1">
      <c r="A1891" s="1"/>
      <c r="B1891" s="24" t="str">
        <f>HYPERLINK("https://www.compass.com/listing/34-11-93rd-street-unit-1a-queens-ny-11372/1776215457424096441/view?agent_id=610d3f3370540700019b0833","34-11 93rd Street, Unit 1A")</f>
        <v>34-11 93rd Street, Unit 1A</v>
      </c>
      <c r="C1891" s="25" t="s">
        <v>353</v>
      </c>
      <c r="D1891" s="26" t="s">
        <v>23</v>
      </c>
      <c r="E1891" s="27" t="str">
        <f>HYPERLINK("https://www.compass.com/building/34-11-93rd-st-queens-ny-11372/979813543067458077/","34-11 93rd St")</f>
        <v>34-11 93rd St</v>
      </c>
      <c r="F1891" s="25" t="s">
        <v>33</v>
      </c>
      <c r="G1891" s="28">
        <v>499000.0</v>
      </c>
      <c r="H1891" s="28">
        <v>471.0</v>
      </c>
      <c r="I1891" s="28">
        <v>1055.0</v>
      </c>
      <c r="J1891" s="28">
        <v>0.0</v>
      </c>
      <c r="K1891" s="25" t="s">
        <v>25</v>
      </c>
      <c r="L1891" s="26">
        <v>5.0</v>
      </c>
      <c r="M1891" s="26">
        <v>2.0</v>
      </c>
      <c r="N1891" s="26">
        <v>1.0</v>
      </c>
      <c r="O1891" s="26">
        <v>0.0</v>
      </c>
      <c r="P1891" s="34">
        <v>1060.0</v>
      </c>
      <c r="Q1891" s="35">
        <v>70.0</v>
      </c>
      <c r="R1891" s="32">
        <v>45797.0</v>
      </c>
      <c r="S1891" s="32">
        <v>45702.0</v>
      </c>
      <c r="T1891" s="29"/>
      <c r="U1891" s="33"/>
      <c r="V1891" s="1"/>
    </row>
    <row r="1892" ht="24.0" customHeight="1">
      <c r="A1892" s="1"/>
      <c r="B1892" s="24" t="str">
        <f>HYPERLINK("https://www.compass.com/listing/9801-shore-road-unit-2b-brooklyn-ny-11209/1774071885375220953/view?agent_id=610d3f3370540700019b0833","9801 Shore Road, Unit 2B")</f>
        <v>9801 Shore Road, Unit 2B</v>
      </c>
      <c r="C1892" s="25" t="s">
        <v>353</v>
      </c>
      <c r="D1892" s="26" t="s">
        <v>23</v>
      </c>
      <c r="E1892" s="27" t="str">
        <f>HYPERLINK("https://www.compass.com/building/9801-shore-rd-brooklyn-ny-11209/293533202125984421/","9801 Shore Rd")</f>
        <v>9801 Shore Rd</v>
      </c>
      <c r="F1892" s="25" t="s">
        <v>55</v>
      </c>
      <c r="G1892" s="28">
        <v>639000.0</v>
      </c>
      <c r="H1892" s="28">
        <v>639.0</v>
      </c>
      <c r="I1892" s="28">
        <v>1381.0</v>
      </c>
      <c r="J1892" s="28">
        <v>0.0</v>
      </c>
      <c r="K1892" s="25" t="s">
        <v>25</v>
      </c>
      <c r="L1892" s="26">
        <v>5.0</v>
      </c>
      <c r="M1892" s="26">
        <v>2.0</v>
      </c>
      <c r="N1892" s="26">
        <v>1.0</v>
      </c>
      <c r="O1892" s="26">
        <v>0.0</v>
      </c>
      <c r="P1892" s="34">
        <v>1000.0</v>
      </c>
      <c r="Q1892" s="35">
        <v>156.0</v>
      </c>
      <c r="R1892" s="32">
        <v>45856.0</v>
      </c>
      <c r="S1892" s="32">
        <v>45699.0</v>
      </c>
      <c r="T1892" s="29"/>
      <c r="U1892" s="33"/>
      <c r="V1892" s="1"/>
    </row>
    <row r="1893" ht="24.0" customHeight="1">
      <c r="A1893" s="1"/>
      <c r="B1893" s="24" t="str">
        <f>HYPERLINK("https://www.compass.com/listing/37-22-80th-street-unit-31-queens-ny-11372/1779258429071003377/view?agent_id=610d3f3370540700019b0833","37-22 80th Street, Unit 31")</f>
        <v>37-22 80th Street, Unit 31</v>
      </c>
      <c r="C1893" s="25" t="s">
        <v>353</v>
      </c>
      <c r="D1893" s="26" t="s">
        <v>23</v>
      </c>
      <c r="E1893" s="27" t="str">
        <f>HYPERLINK("https://www.compass.com/building/37-22-80th-st-queens-ny-11372/294846615718130037/","37-22 80th St")</f>
        <v>37-22 80th St</v>
      </c>
      <c r="F1893" s="25" t="s">
        <v>33</v>
      </c>
      <c r="G1893" s="28">
        <v>785000.0</v>
      </c>
      <c r="H1893" s="28">
        <v>609.0</v>
      </c>
      <c r="I1893" s="28">
        <v>1266.0</v>
      </c>
      <c r="J1893" s="28">
        <v>0.0</v>
      </c>
      <c r="K1893" s="25" t="s">
        <v>25</v>
      </c>
      <c r="L1893" s="26">
        <v>6.0</v>
      </c>
      <c r="M1893" s="26">
        <v>2.0</v>
      </c>
      <c r="N1893" s="26">
        <v>1.0</v>
      </c>
      <c r="O1893" s="26">
        <v>0.0</v>
      </c>
      <c r="P1893" s="34">
        <v>1290.0</v>
      </c>
      <c r="Q1893" s="35">
        <v>153.0</v>
      </c>
      <c r="R1893" s="32">
        <v>45859.0</v>
      </c>
      <c r="S1893" s="32">
        <v>45706.0</v>
      </c>
      <c r="T1893" s="29"/>
      <c r="U1893" s="33"/>
      <c r="V1893" s="1"/>
    </row>
    <row r="1894" ht="24.0" customHeight="1">
      <c r="A1894" s="1"/>
      <c r="B1894" s="24" t="str">
        <f>HYPERLINK("https://www.compass.com/listing/12-16-30th-avenue-unit-302-queens-ny-11102/1801612806393629241/view?agent_id=610d3f3370540700019b0833","12-16 30th Ave, Unit 302")</f>
        <v>12-16 30th Ave, Unit 302</v>
      </c>
      <c r="C1894" s="25" t="s">
        <v>353</v>
      </c>
      <c r="D1894" s="26" t="s">
        <v>23</v>
      </c>
      <c r="E1894" s="27" t="str">
        <f>HYPERLINK("https://www.compass.com/building/the-bennett-queens-ny/293531060170458117/","The Bennett")</f>
        <v>The Bennett</v>
      </c>
      <c r="F1894" s="25" t="s">
        <v>68</v>
      </c>
      <c r="G1894" s="28">
        <v>899000.0</v>
      </c>
      <c r="H1894" s="28">
        <v>1169.0</v>
      </c>
      <c r="I1894" s="28">
        <v>1250.0</v>
      </c>
      <c r="J1894" s="28">
        <v>8568.0</v>
      </c>
      <c r="K1894" s="25" t="s">
        <v>28</v>
      </c>
      <c r="L1894" s="26">
        <v>4.0</v>
      </c>
      <c r="M1894" s="26">
        <v>2.0</v>
      </c>
      <c r="N1894" s="26">
        <v>1.0</v>
      </c>
      <c r="O1894" s="30"/>
      <c r="P1894" s="26">
        <v>769.0</v>
      </c>
      <c r="Q1894" s="35">
        <v>47.0</v>
      </c>
      <c r="R1894" s="32">
        <v>45812.0</v>
      </c>
      <c r="S1894" s="32">
        <v>45737.0</v>
      </c>
      <c r="T1894" s="29"/>
      <c r="U1894" s="33"/>
      <c r="V1894" s="1"/>
    </row>
    <row r="1895" ht="24.0" customHeight="1">
      <c r="A1895" s="1"/>
      <c r="B1895" s="24" t="str">
        <f>HYPERLINK("https://www.compass.com/listing/70-31-108th-street-unit-12d-queens-ny-11375/1847163429952704553/view?agent_id=610d3f3370540700019b0833","70-31 108th St, Unit 12D")</f>
        <v>70-31 108th St, Unit 12D</v>
      </c>
      <c r="C1895" s="25" t="s">
        <v>353</v>
      </c>
      <c r="D1895" s="26" t="s">
        <v>23</v>
      </c>
      <c r="E1895" s="27" t="str">
        <f t="shared" ref="E1895:E1896" si="19">HYPERLINK("https://www.compass.com/building/70-31-108th-st-queens-ny-11375/293535187986347765/","70-31 108th St")</f>
        <v>70-31 108th St</v>
      </c>
      <c r="F1895" s="25" t="s">
        <v>83</v>
      </c>
      <c r="G1895" s="28">
        <v>635000.0</v>
      </c>
      <c r="H1895" s="29"/>
      <c r="I1895" s="28">
        <v>1507.0</v>
      </c>
      <c r="J1895" s="28">
        <v>0.0</v>
      </c>
      <c r="K1895" s="25" t="s">
        <v>25</v>
      </c>
      <c r="L1895" s="26">
        <v>4.0</v>
      </c>
      <c r="M1895" s="26">
        <v>2.0</v>
      </c>
      <c r="N1895" s="26">
        <v>1.0</v>
      </c>
      <c r="O1895" s="26">
        <v>0.0</v>
      </c>
      <c r="P1895" s="30"/>
      <c r="Q1895" s="35">
        <v>24.0</v>
      </c>
      <c r="R1895" s="32">
        <v>45824.0</v>
      </c>
      <c r="S1895" s="32">
        <v>45800.0</v>
      </c>
      <c r="T1895" s="29"/>
      <c r="U1895" s="33"/>
      <c r="V1895" s="1"/>
    </row>
    <row r="1896" ht="24.0" customHeight="1">
      <c r="A1896" s="1"/>
      <c r="B1896" s="24" t="str">
        <f>HYPERLINK("https://www.compass.com/listing/70-31-108th-street-unit-3h-queens-ny-11375/1856030282272520897/view?agent_id=610d3f3370540700019b0833","70-31 108th St, Unit 3H")</f>
        <v>70-31 108th St, Unit 3H</v>
      </c>
      <c r="C1896" s="25" t="s">
        <v>353</v>
      </c>
      <c r="D1896" s="26" t="s">
        <v>23</v>
      </c>
      <c r="E1896" s="27" t="str">
        <f t="shared" si="19"/>
        <v>70-31 108th St</v>
      </c>
      <c r="F1896" s="25" t="s">
        <v>83</v>
      </c>
      <c r="G1896" s="28">
        <v>615000.0</v>
      </c>
      <c r="H1896" s="28">
        <v>559.0</v>
      </c>
      <c r="I1896" s="28">
        <v>1343.0</v>
      </c>
      <c r="J1896" s="28">
        <v>0.0</v>
      </c>
      <c r="K1896" s="25" t="s">
        <v>25</v>
      </c>
      <c r="L1896" s="26">
        <v>4.0</v>
      </c>
      <c r="M1896" s="26">
        <v>2.0</v>
      </c>
      <c r="N1896" s="26">
        <v>1.0</v>
      </c>
      <c r="O1896" s="30"/>
      <c r="P1896" s="34">
        <v>1100.0</v>
      </c>
      <c r="Q1896" s="35">
        <v>34.0</v>
      </c>
      <c r="R1896" s="32">
        <v>45846.0</v>
      </c>
      <c r="S1896" s="32">
        <v>45812.0</v>
      </c>
      <c r="T1896" s="29"/>
      <c r="U1896" s="33"/>
      <c r="V1896" s="1"/>
    </row>
    <row r="1897" ht="24.0" customHeight="1">
      <c r="A1897" s="1"/>
      <c r="B1897" s="24" t="str">
        <f>HYPERLINK("https://www.compass.com/listing/62-19-53rd-avenue-unit-6k-queens-ny-11378/1623255309388762809/view?agent_id=610d3f3370540700019b0833","62-19 53rd Ave, Unit 6K")</f>
        <v>62-19 53rd Ave, Unit 6K</v>
      </c>
      <c r="C1897" s="25" t="s">
        <v>353</v>
      </c>
      <c r="D1897" s="26" t="s">
        <v>23</v>
      </c>
      <c r="E1897" s="27" t="str">
        <f>HYPERLINK("https://www.compass.com/building/62-19-53rd-ave-queens-ny-11378/307458011177742901/","62-19 53rd Ave")</f>
        <v>62-19 53rd Ave</v>
      </c>
      <c r="F1897" s="25" t="s">
        <v>242</v>
      </c>
      <c r="G1897" s="28">
        <v>335000.0</v>
      </c>
      <c r="H1897" s="29"/>
      <c r="I1897" s="28">
        <v>844.0</v>
      </c>
      <c r="J1897" s="28">
        <v>0.0</v>
      </c>
      <c r="K1897" s="25" t="s">
        <v>25</v>
      </c>
      <c r="L1897" s="26">
        <v>5.0</v>
      </c>
      <c r="M1897" s="26">
        <v>2.0</v>
      </c>
      <c r="N1897" s="26">
        <v>1.0</v>
      </c>
      <c r="O1897" s="30"/>
      <c r="P1897" s="30"/>
      <c r="Q1897" s="35">
        <v>166.0</v>
      </c>
      <c r="R1897" s="32">
        <v>45812.0</v>
      </c>
      <c r="S1897" s="32">
        <v>45491.0</v>
      </c>
      <c r="T1897" s="29"/>
      <c r="U1897" s="33"/>
      <c r="V1897" s="1"/>
    </row>
    <row r="1898" ht="24.0" customHeight="1">
      <c r="A1898" s="1"/>
      <c r="B1898" s="24" t="str">
        <f>HYPERLINK("https://www.compass.com/listing/99-11-60th-avenue-unit-6k-queens-ny-11368/1748114335996013081/view?agent_id=610d3f3370540700019b0833","99-11 60th Avenue, Unit 6K")</f>
        <v>99-11 60th Avenue, Unit 6K</v>
      </c>
      <c r="C1898" s="25" t="s">
        <v>353</v>
      </c>
      <c r="D1898" s="26" t="s">
        <v>23</v>
      </c>
      <c r="E1898" s="27" t="str">
        <f>HYPERLINK("https://www.compass.com/building/99-11-60th-ave-queens-ny-11368/293535483097561189/","99-11 60th Ave")</f>
        <v>99-11 60th Ave</v>
      </c>
      <c r="F1898" s="25" t="s">
        <v>153</v>
      </c>
      <c r="G1898" s="28">
        <v>309000.0</v>
      </c>
      <c r="H1898" s="28">
        <v>340.0</v>
      </c>
      <c r="I1898" s="28">
        <v>1758.0</v>
      </c>
      <c r="J1898" s="29"/>
      <c r="K1898" s="25" t="s">
        <v>25</v>
      </c>
      <c r="L1898" s="26">
        <v>5.0</v>
      </c>
      <c r="M1898" s="26">
        <v>2.0</v>
      </c>
      <c r="N1898" s="26">
        <v>1.0</v>
      </c>
      <c r="O1898" s="30"/>
      <c r="P1898" s="26">
        <v>909.0</v>
      </c>
      <c r="Q1898" s="35">
        <v>101.0</v>
      </c>
      <c r="R1898" s="32">
        <v>45766.0</v>
      </c>
      <c r="S1898" s="32">
        <v>45663.0</v>
      </c>
      <c r="T1898" s="29"/>
      <c r="U1898" s="33"/>
      <c r="V1898" s="1"/>
    </row>
    <row r="1899" ht="24.0" customHeight="1">
      <c r="A1899" s="1"/>
      <c r="B1899" s="24" t="str">
        <f>HYPERLINK("https://www.compass.com/listing/224-46-horace-harding-expressway-unit-630-queens-ny-11364/1770559235760252321/view?agent_id=610d3f3370540700019b0833","224-46 Horace Harding Expressway, Unit 630")</f>
        <v>224-46 Horace Harding Expressway, Unit 630</v>
      </c>
      <c r="C1899" s="25" t="s">
        <v>353</v>
      </c>
      <c r="D1899" s="26" t="s">
        <v>23</v>
      </c>
      <c r="E1899" s="27" t="str">
        <f>HYPERLINK("https://www.compass.com/building/224-46-horace-harding-expy-queens-ny-11364/381303285907556805/","224-46 Horace Harding Expy")</f>
        <v>224-46 Horace Harding Expy</v>
      </c>
      <c r="F1899" s="25" t="s">
        <v>37</v>
      </c>
      <c r="G1899" s="28">
        <v>399888.0</v>
      </c>
      <c r="H1899" s="28">
        <v>444.0</v>
      </c>
      <c r="I1899" s="28">
        <v>1143.0</v>
      </c>
      <c r="J1899" s="28">
        <v>0.0</v>
      </c>
      <c r="K1899" s="25" t="s">
        <v>25</v>
      </c>
      <c r="L1899" s="26">
        <v>5.0</v>
      </c>
      <c r="M1899" s="26">
        <v>2.0</v>
      </c>
      <c r="N1899" s="26">
        <v>1.0</v>
      </c>
      <c r="O1899" s="26">
        <v>0.0</v>
      </c>
      <c r="P1899" s="26">
        <v>900.0</v>
      </c>
      <c r="Q1899" s="35">
        <v>29.0</v>
      </c>
      <c r="R1899" s="32">
        <v>45807.0</v>
      </c>
      <c r="S1899" s="32">
        <v>45694.0</v>
      </c>
      <c r="T1899" s="29"/>
      <c r="U1899" s="33"/>
      <c r="V1899" s="1"/>
    </row>
    <row r="1900" ht="24.0" customHeight="1">
      <c r="A1900" s="1"/>
      <c r="B1900" s="24" t="str">
        <f>HYPERLINK("https://www.compass.com/listing/215-12-47th-avenue-unit-3a-queens-ny-11361/1799403613520302249/view?agent_id=610d3f3370540700019b0833","215-12 47th Avenue, Unit 3A")</f>
        <v>215-12 47th Avenue, Unit 3A</v>
      </c>
      <c r="C1900" s="25" t="s">
        <v>353</v>
      </c>
      <c r="D1900" s="26" t="s">
        <v>23</v>
      </c>
      <c r="E1900" s="27" t="str">
        <f>HYPERLINK("https://www.compass.com/building/215-12-47th-ave-queens-ny-11361/307447450222415365/","215-12 47th Ave")</f>
        <v>215-12 47th Ave</v>
      </c>
      <c r="F1900" s="25" t="s">
        <v>252</v>
      </c>
      <c r="G1900" s="28">
        <v>328000.0</v>
      </c>
      <c r="H1900" s="28">
        <v>426.0</v>
      </c>
      <c r="I1900" s="28">
        <v>1203.0</v>
      </c>
      <c r="J1900" s="29"/>
      <c r="K1900" s="25" t="s">
        <v>25</v>
      </c>
      <c r="L1900" s="26">
        <v>5.0</v>
      </c>
      <c r="M1900" s="26">
        <v>2.0</v>
      </c>
      <c r="N1900" s="26">
        <v>1.0</v>
      </c>
      <c r="O1900" s="30"/>
      <c r="P1900" s="26">
        <v>770.0</v>
      </c>
      <c r="Q1900" s="35">
        <v>28.0</v>
      </c>
      <c r="R1900" s="32">
        <v>45763.0</v>
      </c>
      <c r="S1900" s="32">
        <v>45734.0</v>
      </c>
      <c r="T1900" s="29"/>
      <c r="U1900" s="33"/>
      <c r="V1900" s="1"/>
    </row>
    <row r="1901" ht="24.0" customHeight="1">
      <c r="A1901" s="1"/>
      <c r="B1901" s="24" t="str">
        <f>HYPERLINK("https://www.compass.com/listing/211-06-75th-avenue-unit-5e-queens-ny-11364/1702611556779989921/view?agent_id=610d3f3370540700019b0833","211-06 75th Avenue, Unit 5E")</f>
        <v>211-06 75th Avenue, Unit 5E</v>
      </c>
      <c r="C1901" s="25" t="s">
        <v>353</v>
      </c>
      <c r="D1901" s="26" t="s">
        <v>23</v>
      </c>
      <c r="E1901" s="27" t="str">
        <f>HYPERLINK("https://www.compass.com/building/211-06-75th-ave-queens-ny-11364/307437215659136901/","211-06 75th Ave")</f>
        <v>211-06 75th Ave</v>
      </c>
      <c r="F1901" s="25" t="s">
        <v>37</v>
      </c>
      <c r="G1901" s="28">
        <v>459000.0</v>
      </c>
      <c r="H1901" s="29"/>
      <c r="I1901" s="28">
        <v>1088.0</v>
      </c>
      <c r="J1901" s="28">
        <v>0.0</v>
      </c>
      <c r="K1901" s="25" t="s">
        <v>25</v>
      </c>
      <c r="L1901" s="26">
        <v>4.0</v>
      </c>
      <c r="M1901" s="26">
        <v>2.0</v>
      </c>
      <c r="N1901" s="26">
        <v>1.0</v>
      </c>
      <c r="O1901" s="30"/>
      <c r="P1901" s="30"/>
      <c r="Q1901" s="35">
        <v>231.0</v>
      </c>
      <c r="R1901" s="32">
        <v>45834.0</v>
      </c>
      <c r="S1901" s="32">
        <v>45600.0</v>
      </c>
      <c r="T1901" s="29"/>
      <c r="U1901" s="33"/>
      <c r="V1901" s="1"/>
    </row>
    <row r="1902" ht="24.0" customHeight="1">
      <c r="A1902" s="1"/>
      <c r="B1902" s="24" t="str">
        <f>HYPERLINK("https://www.compass.com/listing/73-22-springfield-boulevard-unit-2-queens-ny-11364/1631392055908535137/view?agent_id=610d3f3370540700019b0833","73-22 Springfield Blvd, Unit 2")</f>
        <v>73-22 Springfield Blvd, Unit 2</v>
      </c>
      <c r="C1902" s="25" t="s">
        <v>353</v>
      </c>
      <c r="D1902" s="26" t="s">
        <v>23</v>
      </c>
      <c r="E1902" s="26" t="s">
        <v>360</v>
      </c>
      <c r="F1902" s="25" t="s">
        <v>37</v>
      </c>
      <c r="G1902" s="28">
        <v>319999.0</v>
      </c>
      <c r="H1902" s="29"/>
      <c r="I1902" s="28">
        <v>1049.0</v>
      </c>
      <c r="J1902" s="28">
        <v>0.0</v>
      </c>
      <c r="K1902" s="25" t="s">
        <v>25</v>
      </c>
      <c r="L1902" s="26">
        <v>5.0</v>
      </c>
      <c r="M1902" s="26">
        <v>2.0</v>
      </c>
      <c r="N1902" s="26">
        <v>1.0</v>
      </c>
      <c r="O1902" s="30"/>
      <c r="P1902" s="30"/>
      <c r="Q1902" s="35">
        <v>126.0</v>
      </c>
      <c r="R1902" s="32">
        <v>45632.0</v>
      </c>
      <c r="S1902" s="32">
        <v>45502.0</v>
      </c>
      <c r="T1902" s="29"/>
      <c r="U1902" s="33"/>
      <c r="V1902" s="1"/>
    </row>
    <row r="1903" ht="24.0" customHeight="1">
      <c r="A1903" s="1"/>
      <c r="B1903" s="24" t="str">
        <f>HYPERLINK("https://www.compass.com/listing/2727-ocean-parkway-unit-c27-brooklyn-ny-11235/1761747723280162921/view?agent_id=610d3f3370540700019b0833","2727 Ocean Parkway, Unit C27")</f>
        <v>2727 Ocean Parkway, Unit C27</v>
      </c>
      <c r="C1903" s="25" t="s">
        <v>353</v>
      </c>
      <c r="D1903" s="26" t="s">
        <v>23</v>
      </c>
      <c r="E1903" s="27" t="str">
        <f>HYPERLINK("https://www.compass.com/building/2727-ocean-pkwy-brooklyn-ny-11235/293535315518409861/","2727 Ocean Pkwy")</f>
        <v>2727 Ocean Pkwy</v>
      </c>
      <c r="F1903" s="25" t="s">
        <v>74</v>
      </c>
      <c r="G1903" s="28">
        <v>229000.0</v>
      </c>
      <c r="H1903" s="29"/>
      <c r="I1903" s="28">
        <v>865.0</v>
      </c>
      <c r="J1903" s="28">
        <v>0.0</v>
      </c>
      <c r="K1903" s="25" t="s">
        <v>25</v>
      </c>
      <c r="L1903" s="26">
        <v>4.0</v>
      </c>
      <c r="M1903" s="26">
        <v>2.0</v>
      </c>
      <c r="N1903" s="26">
        <v>1.0</v>
      </c>
      <c r="O1903" s="30"/>
      <c r="P1903" s="30"/>
      <c r="Q1903" s="35">
        <v>28.0</v>
      </c>
      <c r="R1903" s="32">
        <v>45855.0</v>
      </c>
      <c r="S1903" s="32">
        <v>45682.0</v>
      </c>
      <c r="T1903" s="29"/>
      <c r="U1903" s="33"/>
      <c r="V1903" s="1"/>
    </row>
    <row r="1904" ht="24.0" customHeight="1">
      <c r="A1904" s="1"/>
      <c r="B1904" s="24" t="str">
        <f>HYPERLINK("https://www.compass.com/listing/286-corbin-place-unit-2a-brooklyn-ny-11235/1745165932139252593/view?agent_id=610d3f3370540700019b0833","286 Corbin Place, Unit 2A")</f>
        <v>286 Corbin Place, Unit 2A</v>
      </c>
      <c r="C1904" s="25" t="s">
        <v>353</v>
      </c>
      <c r="D1904" s="26" t="s">
        <v>23</v>
      </c>
      <c r="E1904" s="27" t="str">
        <f>HYPERLINK("https://www.compass.com/building/286-corbin-pl-brooklyn-ny-11235/293526426202766341/","286 Corbin Pl")</f>
        <v>286 Corbin Pl</v>
      </c>
      <c r="F1904" s="25" t="s">
        <v>74</v>
      </c>
      <c r="G1904" s="28">
        <v>435000.0</v>
      </c>
      <c r="H1904" s="29"/>
      <c r="I1904" s="28">
        <v>1136.0</v>
      </c>
      <c r="J1904" s="28">
        <v>0.0</v>
      </c>
      <c r="K1904" s="25" t="s">
        <v>25</v>
      </c>
      <c r="L1904" s="26">
        <v>2.0</v>
      </c>
      <c r="M1904" s="26">
        <v>2.0</v>
      </c>
      <c r="N1904" s="26">
        <v>1.0</v>
      </c>
      <c r="O1904" s="30"/>
      <c r="P1904" s="30"/>
      <c r="Q1904" s="35">
        <v>109.0</v>
      </c>
      <c r="R1904" s="32">
        <v>45863.0</v>
      </c>
      <c r="S1904" s="32">
        <v>45659.0</v>
      </c>
      <c r="T1904" s="29"/>
      <c r="U1904" s="33"/>
      <c r="V1904" s="1"/>
    </row>
    <row r="1905" ht="24.0" customHeight="1">
      <c r="A1905" s="1"/>
      <c r="B1905" s="24" t="str">
        <f>HYPERLINK("https://www.compass.com/listing/250-east-25th-street-unit-4e-manhattan-ny-10010/1891571115034122177/view?agent_id=610d3f3370540700019b0833","250 East 25th Street, Unit 4E")</f>
        <v>250 East 25th Street, Unit 4E</v>
      </c>
      <c r="C1905" s="25" t="s">
        <v>353</v>
      </c>
      <c r="D1905" s="26" t="s">
        <v>23</v>
      </c>
      <c r="E1905" s="26" t="s">
        <v>140</v>
      </c>
      <c r="F1905" s="25" t="s">
        <v>107</v>
      </c>
      <c r="G1905" s="28">
        <v>1701500.0</v>
      </c>
      <c r="H1905" s="28">
        <v>2176.0</v>
      </c>
      <c r="I1905" s="28">
        <v>2340.0</v>
      </c>
      <c r="J1905" s="28">
        <v>16704.0</v>
      </c>
      <c r="K1905" s="25" t="s">
        <v>28</v>
      </c>
      <c r="L1905" s="26">
        <v>4.0</v>
      </c>
      <c r="M1905" s="26">
        <v>2.0</v>
      </c>
      <c r="N1905" s="26">
        <v>1.0</v>
      </c>
      <c r="O1905" s="26">
        <v>0.0</v>
      </c>
      <c r="P1905" s="26">
        <v>782.0</v>
      </c>
      <c r="Q1905" s="35">
        <v>0.0</v>
      </c>
      <c r="R1905" s="32">
        <v>45862.0</v>
      </c>
      <c r="S1905" s="32">
        <v>45861.0</v>
      </c>
      <c r="T1905" s="29"/>
      <c r="U1905" s="33"/>
      <c r="V1905" s="1"/>
    </row>
    <row r="1906" ht="24.0" customHeight="1">
      <c r="A1906" s="1"/>
      <c r="B1906" s="24" t="str">
        <f>HYPERLINK("https://www.compass.com/listing/250-east-25th-street-unit-3e-manhattan-ny-10010/1888254927934640681/view?agent_id=610d3f3370540700019b0833","250 East 25th Street, Unit 3E")</f>
        <v>250 East 25th Street, Unit 3E</v>
      </c>
      <c r="C1906" s="25" t="s">
        <v>353</v>
      </c>
      <c r="D1906" s="26" t="s">
        <v>23</v>
      </c>
      <c r="E1906" s="26" t="s">
        <v>139</v>
      </c>
      <c r="F1906" s="25" t="s">
        <v>107</v>
      </c>
      <c r="G1906" s="28">
        <v>1710930.0</v>
      </c>
      <c r="H1906" s="28">
        <v>2188.0</v>
      </c>
      <c r="I1906" s="28">
        <v>2340.0</v>
      </c>
      <c r="J1906" s="28">
        <v>16704.0</v>
      </c>
      <c r="K1906" s="25" t="s">
        <v>28</v>
      </c>
      <c r="L1906" s="26">
        <v>3.0</v>
      </c>
      <c r="M1906" s="26">
        <v>2.0</v>
      </c>
      <c r="N1906" s="26">
        <v>1.0</v>
      </c>
      <c r="O1906" s="26">
        <v>0.0</v>
      </c>
      <c r="P1906" s="26">
        <v>782.0</v>
      </c>
      <c r="Q1906" s="35">
        <v>0.0</v>
      </c>
      <c r="R1906" s="32">
        <v>45860.0</v>
      </c>
      <c r="S1906" s="32">
        <v>45860.0</v>
      </c>
      <c r="T1906" s="29"/>
      <c r="U1906" s="33"/>
      <c r="V1906" s="1"/>
    </row>
    <row r="1907" ht="24.0" customHeight="1">
      <c r="A1907" s="1"/>
      <c r="B1907" s="24" t="str">
        <f>HYPERLINK("https://www.compass.com/listing/250-east-25th-street-unit-3a-manhattan-ny-10010/1888259610984230209/view?agent_id=610d3f3370540700019b0833","250 East 25th Street, Unit 3A")</f>
        <v>250 East 25th Street, Unit 3A</v>
      </c>
      <c r="C1907" s="25" t="s">
        <v>353</v>
      </c>
      <c r="D1907" s="26" t="s">
        <v>23</v>
      </c>
      <c r="E1907" s="26" t="s">
        <v>139</v>
      </c>
      <c r="F1907" s="25" t="s">
        <v>107</v>
      </c>
      <c r="G1907" s="28">
        <v>1721898.0</v>
      </c>
      <c r="H1907" s="28">
        <v>2191.0</v>
      </c>
      <c r="I1907" s="28">
        <v>2366.0</v>
      </c>
      <c r="J1907" s="28">
        <v>16956.0</v>
      </c>
      <c r="K1907" s="25" t="s">
        <v>28</v>
      </c>
      <c r="L1907" s="26">
        <v>4.0</v>
      </c>
      <c r="M1907" s="26">
        <v>2.0</v>
      </c>
      <c r="N1907" s="26">
        <v>1.0</v>
      </c>
      <c r="O1907" s="26">
        <v>0.0</v>
      </c>
      <c r="P1907" s="26">
        <v>786.0</v>
      </c>
      <c r="Q1907" s="35">
        <v>0.0</v>
      </c>
      <c r="R1907" s="32">
        <v>45860.0</v>
      </c>
      <c r="S1907" s="32">
        <v>45860.0</v>
      </c>
      <c r="T1907" s="29"/>
      <c r="U1907" s="33"/>
      <c r="V1907" s="1"/>
    </row>
    <row r="1908" ht="24.0" customHeight="1">
      <c r="A1908" s="1"/>
      <c r="B1908" s="24" t="str">
        <f>HYPERLINK("https://www.compass.com/listing/210-clinton-avenue-unit-7b-brooklyn-ny-11205/1881043684537105225/view?agent_id=610d3f3370540700019b0833","210 Clinton Avenue, Unit 7B")</f>
        <v>210 Clinton Avenue, Unit 7B</v>
      </c>
      <c r="C1908" s="25" t="s">
        <v>353</v>
      </c>
      <c r="D1908" s="26" t="s">
        <v>23</v>
      </c>
      <c r="E1908" s="27" t="str">
        <f>HYPERLINK("https://www.compass.com/building/clinton-hill-coops-north-campus-brooklyn-ny/282504402349145973/","Clinton Hill Coops - North Campus")</f>
        <v>Clinton Hill Coops - North Campus</v>
      </c>
      <c r="F1908" s="25" t="s">
        <v>30</v>
      </c>
      <c r="G1908" s="28">
        <v>860000.0</v>
      </c>
      <c r="H1908" s="29"/>
      <c r="I1908" s="28">
        <v>1290.0</v>
      </c>
      <c r="J1908" s="28">
        <v>0.0</v>
      </c>
      <c r="K1908" s="25" t="s">
        <v>25</v>
      </c>
      <c r="L1908" s="26">
        <v>4.0</v>
      </c>
      <c r="M1908" s="26">
        <v>2.0</v>
      </c>
      <c r="N1908" s="26">
        <v>1.0</v>
      </c>
      <c r="O1908" s="26">
        <v>0.0</v>
      </c>
      <c r="P1908" s="30"/>
      <c r="Q1908" s="35">
        <v>10.0</v>
      </c>
      <c r="R1908" s="32">
        <v>45862.0</v>
      </c>
      <c r="S1908" s="32">
        <v>45846.0</v>
      </c>
      <c r="T1908" s="29"/>
      <c r="U1908" s="33"/>
      <c r="V1908" s="1"/>
    </row>
    <row r="1909" ht="24.0" customHeight="1">
      <c r="A1909" s="1"/>
      <c r="B1909" s="24" t="str">
        <f>HYPERLINK("https://www.compass.com/listing/250-east-25th-street-unit-5a-manhattan-ny-10010/1891573639778319529/view?agent_id=610d3f3370540700019b0833","250 East 25th Street, Unit 5A")</f>
        <v>250 East 25th Street, Unit 5A</v>
      </c>
      <c r="C1909" s="25" t="s">
        <v>353</v>
      </c>
      <c r="D1909" s="26" t="s">
        <v>23</v>
      </c>
      <c r="E1909" s="26" t="s">
        <v>140</v>
      </c>
      <c r="F1909" s="25" t="s">
        <v>107</v>
      </c>
      <c r="G1909" s="28">
        <v>1800000.0</v>
      </c>
      <c r="H1909" s="28">
        <v>2290.0</v>
      </c>
      <c r="I1909" s="28">
        <v>2366.0</v>
      </c>
      <c r="J1909" s="28">
        <v>16956.0</v>
      </c>
      <c r="K1909" s="25" t="s">
        <v>28</v>
      </c>
      <c r="L1909" s="26">
        <v>4.0</v>
      </c>
      <c r="M1909" s="26">
        <v>2.0</v>
      </c>
      <c r="N1909" s="26">
        <v>1.0</v>
      </c>
      <c r="O1909" s="26">
        <v>0.0</v>
      </c>
      <c r="P1909" s="26">
        <v>786.0</v>
      </c>
      <c r="Q1909" s="35">
        <v>7.0</v>
      </c>
      <c r="R1909" s="32">
        <v>45861.0</v>
      </c>
      <c r="S1909" s="32">
        <v>45854.0</v>
      </c>
      <c r="T1909" s="29"/>
      <c r="U1909" s="33"/>
      <c r="V1909" s="1"/>
    </row>
    <row r="1910" ht="24.0" customHeight="1">
      <c r="A1910" s="1"/>
      <c r="B1910" s="24" t="str">
        <f>HYPERLINK("https://www.compass.com/listing/229-withers-street-unit-3a-brooklyn-ny-11211/1879884032939923081/view?agent_id=610d3f3370540700019b0833","229 Withers Street, Unit 3A")</f>
        <v>229 Withers Street, Unit 3A</v>
      </c>
      <c r="C1910" s="25" t="s">
        <v>353</v>
      </c>
      <c r="D1910" s="26" t="s">
        <v>23</v>
      </c>
      <c r="E1910" s="27" t="str">
        <f>HYPERLINK("https://www.compass.com/building/229-withers-st-brooklyn-ny-11211/282398054512922965/","229 Withers St")</f>
        <v>229 Withers St</v>
      </c>
      <c r="F1910" s="25" t="s">
        <v>46</v>
      </c>
      <c r="G1910" s="28">
        <v>1275000.0</v>
      </c>
      <c r="H1910" s="28">
        <v>1654.0</v>
      </c>
      <c r="I1910" s="28">
        <v>1259.0</v>
      </c>
      <c r="J1910" s="28">
        <v>9540.0</v>
      </c>
      <c r="K1910" s="25" t="s">
        <v>28</v>
      </c>
      <c r="L1910" s="26">
        <v>4.0</v>
      </c>
      <c r="M1910" s="26">
        <v>2.0</v>
      </c>
      <c r="N1910" s="26">
        <v>1.0</v>
      </c>
      <c r="O1910" s="26">
        <v>0.0</v>
      </c>
      <c r="P1910" s="26">
        <v>771.0</v>
      </c>
      <c r="Q1910" s="35">
        <v>0.0</v>
      </c>
      <c r="R1910" s="32">
        <v>45845.0</v>
      </c>
      <c r="S1910" s="32">
        <v>45845.0</v>
      </c>
      <c r="T1910" s="29"/>
      <c r="U1910" s="33"/>
      <c r="V1910" s="1"/>
    </row>
    <row r="1911" ht="24.0" customHeight="1">
      <c r="A1911" s="1"/>
      <c r="B1911" s="24" t="str">
        <f>HYPERLINK("https://www.compass.com/listing/77-bleecker-street-unit-520-manhattan-ny-10012/1810319150191264945/view?agent_id=610d3f3370540700019b0833","77 Bleecker Street, Unit 520")</f>
        <v>77 Bleecker Street, Unit 520</v>
      </c>
      <c r="C1911" s="25" t="s">
        <v>353</v>
      </c>
      <c r="D1911" s="26" t="s">
        <v>23</v>
      </c>
      <c r="E1911" s="27" t="str">
        <f>HYPERLINK("https://www.compass.com/building/bleecker-court-manhattan-ny/281916010771019189/","Bleecker Court")</f>
        <v>Bleecker Court</v>
      </c>
      <c r="F1911" s="25" t="s">
        <v>43</v>
      </c>
      <c r="G1911" s="28">
        <v>1450000.0</v>
      </c>
      <c r="H1911" s="28">
        <v>1261.0</v>
      </c>
      <c r="I1911" s="28">
        <v>2172.0</v>
      </c>
      <c r="J1911" s="28">
        <v>0.0</v>
      </c>
      <c r="K1911" s="25" t="s">
        <v>361</v>
      </c>
      <c r="L1911" s="26">
        <v>4.0</v>
      </c>
      <c r="M1911" s="26">
        <v>2.0</v>
      </c>
      <c r="N1911" s="26">
        <v>1.0</v>
      </c>
      <c r="O1911" s="26">
        <v>0.0</v>
      </c>
      <c r="P1911" s="34">
        <v>1150.0</v>
      </c>
      <c r="Q1911" s="35">
        <v>72.0</v>
      </c>
      <c r="R1911" s="32">
        <v>45821.0</v>
      </c>
      <c r="S1911" s="32">
        <v>45749.0</v>
      </c>
      <c r="T1911" s="29"/>
      <c r="U1911" s="33"/>
      <c r="V1911" s="1"/>
    </row>
    <row r="1912" ht="24.0" customHeight="1">
      <c r="A1912" s="1"/>
      <c r="B1912" s="24" t="str">
        <f>HYPERLINK("https://www.compass.com/listing/210-214-thompson-street-unit-8-manhattan-ny-10012/1354331945315148985/view?agent_id=610d3f3370540700019b0833","210-214 Thompson Street, Unit 8")</f>
        <v>210-214 Thompson Street, Unit 8</v>
      </c>
      <c r="C1912" s="25" t="s">
        <v>353</v>
      </c>
      <c r="D1912" s="26" t="s">
        <v>23</v>
      </c>
      <c r="E1912" s="26" t="s">
        <v>362</v>
      </c>
      <c r="F1912" s="25" t="s">
        <v>43</v>
      </c>
      <c r="G1912" s="28">
        <v>795000.0</v>
      </c>
      <c r="H1912" s="29"/>
      <c r="I1912" s="28">
        <v>1392.0</v>
      </c>
      <c r="J1912" s="29"/>
      <c r="K1912" s="25" t="s">
        <v>110</v>
      </c>
      <c r="L1912" s="26">
        <v>4.0</v>
      </c>
      <c r="M1912" s="26">
        <v>2.0</v>
      </c>
      <c r="N1912" s="26">
        <v>1.0</v>
      </c>
      <c r="O1912" s="26">
        <v>0.0</v>
      </c>
      <c r="P1912" s="30"/>
      <c r="Q1912" s="35">
        <v>104.0</v>
      </c>
      <c r="R1912" s="32">
        <v>45782.0</v>
      </c>
      <c r="S1912" s="32">
        <v>45120.0</v>
      </c>
      <c r="T1912" s="29"/>
      <c r="U1912" s="33"/>
      <c r="V1912" s="1"/>
    </row>
    <row r="1913" ht="24.0" customHeight="1">
      <c r="A1913" s="1"/>
      <c r="B1913" s="24" t="str">
        <f>HYPERLINK("https://www.compass.com/listing/250-mercer-street-unit-b1003-manhattan-ny-10012/1775550685296894425/view?agent_id=610d3f3370540700019b0833","250 Mercer Street, Unit B1003")</f>
        <v>250 Mercer Street, Unit B1003</v>
      </c>
      <c r="C1913" s="25" t="s">
        <v>353</v>
      </c>
      <c r="D1913" s="26" t="s">
        <v>23</v>
      </c>
      <c r="E1913" s="27" t="str">
        <f>HYPERLINK("https://www.compass.com/building/mercer-square-owners-corp-manhattan-ny/281913053375656181/","Mercer Square Owners Corp")</f>
        <v>Mercer Square Owners Corp</v>
      </c>
      <c r="F1913" s="25" t="s">
        <v>43</v>
      </c>
      <c r="G1913" s="28">
        <v>1495000.0</v>
      </c>
      <c r="H1913" s="29"/>
      <c r="I1913" s="28">
        <v>3002.0</v>
      </c>
      <c r="J1913" s="28">
        <v>0.0</v>
      </c>
      <c r="K1913" s="25" t="s">
        <v>25</v>
      </c>
      <c r="L1913" s="26">
        <v>5.0</v>
      </c>
      <c r="M1913" s="26">
        <v>2.0</v>
      </c>
      <c r="N1913" s="26">
        <v>1.0</v>
      </c>
      <c r="O1913" s="26">
        <v>0.0</v>
      </c>
      <c r="P1913" s="30"/>
      <c r="Q1913" s="35">
        <v>161.0</v>
      </c>
      <c r="R1913" s="32">
        <v>45863.0</v>
      </c>
      <c r="S1913" s="32">
        <v>45701.0</v>
      </c>
      <c r="T1913" s="29"/>
      <c r="U1913" s="33"/>
      <c r="V1913" s="1"/>
    </row>
    <row r="1914" ht="24.0" customHeight="1">
      <c r="A1914" s="1"/>
      <c r="B1914" s="24" t="str">
        <f>HYPERLINK("https://www.compass.com/listing/254-park-place-unit-4c-brooklyn-ny-11238/1859670577157161241/view?agent_id=610d3f3370540700019b0833","254 Park Place, Unit 4C")</f>
        <v>254 Park Place, Unit 4C</v>
      </c>
      <c r="C1914" s="25" t="s">
        <v>353</v>
      </c>
      <c r="D1914" s="26" t="s">
        <v>23</v>
      </c>
      <c r="E1914" s="27" t="str">
        <f>HYPERLINK("https://www.compass.com/building/254-park-pl-brooklyn-ny-11238/293417280816134501/","254 Park Pl")</f>
        <v>254 Park Pl</v>
      </c>
      <c r="F1914" s="25" t="s">
        <v>39</v>
      </c>
      <c r="G1914" s="28">
        <v>939000.0</v>
      </c>
      <c r="H1914" s="28">
        <v>1319.0</v>
      </c>
      <c r="I1914" s="28">
        <v>1724.0</v>
      </c>
      <c r="J1914" s="28">
        <v>0.0</v>
      </c>
      <c r="K1914" s="25" t="s">
        <v>25</v>
      </c>
      <c r="L1914" s="26">
        <v>4.0</v>
      </c>
      <c r="M1914" s="26">
        <v>2.0</v>
      </c>
      <c r="N1914" s="26">
        <v>1.0</v>
      </c>
      <c r="O1914" s="26">
        <v>0.0</v>
      </c>
      <c r="P1914" s="26">
        <v>712.0</v>
      </c>
      <c r="Q1914" s="35">
        <v>21.0</v>
      </c>
      <c r="R1914" s="32">
        <v>45838.0</v>
      </c>
      <c r="S1914" s="32">
        <v>45817.0</v>
      </c>
      <c r="T1914" s="29"/>
      <c r="U1914" s="33"/>
      <c r="V1914" s="1"/>
    </row>
    <row r="1915" ht="24.0" customHeight="1">
      <c r="A1915" s="1"/>
      <c r="B1915" s="24" t="str">
        <f>HYPERLINK("https://www.compass.com/listing/184-thompson-street-unit-1s-manhattan-ny-10012/1619069969143814193/view?agent_id=610d3f3370540700019b0833","184 Thompson Street, Unit 1S")</f>
        <v>184 Thompson Street, Unit 1S</v>
      </c>
      <c r="C1915" s="25" t="s">
        <v>353</v>
      </c>
      <c r="D1915" s="26" t="s">
        <v>23</v>
      </c>
      <c r="E1915" s="27" t="str">
        <f>HYPERLINK("https://www.compass.com/building/184-thompson-st-manhattan-ny-10012/281913651978333013/","184 Thompson St")</f>
        <v>184 Thompson St</v>
      </c>
      <c r="F1915" s="25" t="s">
        <v>43</v>
      </c>
      <c r="G1915" s="28">
        <v>1250000.0</v>
      </c>
      <c r="H1915" s="28">
        <v>1481.0</v>
      </c>
      <c r="I1915" s="28">
        <v>2129.0</v>
      </c>
      <c r="J1915" s="28">
        <v>12372.0</v>
      </c>
      <c r="K1915" s="25" t="s">
        <v>118</v>
      </c>
      <c r="L1915" s="26">
        <v>4.0</v>
      </c>
      <c r="M1915" s="26">
        <v>2.0</v>
      </c>
      <c r="N1915" s="26">
        <v>1.0</v>
      </c>
      <c r="O1915" s="26">
        <v>0.0</v>
      </c>
      <c r="P1915" s="26">
        <v>844.0</v>
      </c>
      <c r="Q1915" s="35">
        <v>270.0</v>
      </c>
      <c r="R1915" s="32">
        <v>45858.0</v>
      </c>
      <c r="S1915" s="32">
        <v>45481.0</v>
      </c>
      <c r="T1915" s="29"/>
      <c r="U1915" s="33"/>
      <c r="V1915" s="1"/>
    </row>
    <row r="1916" ht="24.0" customHeight="1">
      <c r="A1916" s="1"/>
      <c r="B1916" s="24" t="str">
        <f>HYPERLINK("https://www.compass.com/listing/40-west-72nd-street-unit-106-manhattan-ny-10023/1855907947334734177/view?agent_id=610d3f3370540700019b0833","40 West 72nd Street, Unit 106")</f>
        <v>40 West 72nd Street, Unit 106</v>
      </c>
      <c r="C1916" s="25" t="s">
        <v>353</v>
      </c>
      <c r="D1916" s="26" t="s">
        <v>23</v>
      </c>
      <c r="E1916" s="27" t="str">
        <f>HYPERLINK("https://www.compass.com/building/the-bancroft-manhattan-ny/292864383393020837/","The Bancroft")</f>
        <v>The Bancroft</v>
      </c>
      <c r="F1916" s="25" t="s">
        <v>29</v>
      </c>
      <c r="G1916" s="28">
        <v>1100000.0</v>
      </c>
      <c r="H1916" s="29"/>
      <c r="I1916" s="28">
        <v>2244.0</v>
      </c>
      <c r="J1916" s="28">
        <v>0.0</v>
      </c>
      <c r="K1916" s="25" t="s">
        <v>25</v>
      </c>
      <c r="L1916" s="26">
        <v>3.0</v>
      </c>
      <c r="M1916" s="26">
        <v>2.0</v>
      </c>
      <c r="N1916" s="26">
        <v>1.0</v>
      </c>
      <c r="O1916" s="26">
        <v>0.0</v>
      </c>
      <c r="P1916" s="30"/>
      <c r="Q1916" s="35">
        <v>29.0</v>
      </c>
      <c r="R1916" s="32">
        <v>45841.0</v>
      </c>
      <c r="S1916" s="32">
        <v>45812.0</v>
      </c>
      <c r="T1916" s="29"/>
      <c r="U1916" s="33"/>
      <c r="V1916" s="1"/>
    </row>
    <row r="1917" ht="24.0" customHeight="1">
      <c r="A1917" s="1"/>
      <c r="B1917" s="24" t="str">
        <f>HYPERLINK("https://www.compass.com/listing/40-east-9th-street-unit-6a-manhattan-ny-10003/557879897866170457/view?agent_id=610d3f3370540700019b0833","40 East 9th Street, Unit 6A")</f>
        <v>40 East 9th Street, Unit 6A</v>
      </c>
      <c r="C1917" s="25" t="s">
        <v>353</v>
      </c>
      <c r="D1917" s="26" t="s">
        <v>23</v>
      </c>
      <c r="E1917" s="27" t="str">
        <f>HYPERLINK("https://www.compass.com/building/the-sheridan-manhattan-ny/281893510183918005/","The Sheridan")</f>
        <v>The Sheridan</v>
      </c>
      <c r="F1917" s="25" t="s">
        <v>43</v>
      </c>
      <c r="G1917" s="28">
        <v>1379000.0</v>
      </c>
      <c r="H1917" s="28">
        <v>1199.0</v>
      </c>
      <c r="I1917" s="28">
        <v>2025.0</v>
      </c>
      <c r="J1917" s="29"/>
      <c r="K1917" s="25" t="s">
        <v>25</v>
      </c>
      <c r="L1917" s="26">
        <v>4.0</v>
      </c>
      <c r="M1917" s="26">
        <v>2.0</v>
      </c>
      <c r="N1917" s="26">
        <v>1.0</v>
      </c>
      <c r="O1917" s="26">
        <v>0.0</v>
      </c>
      <c r="P1917" s="34">
        <v>1150.0</v>
      </c>
      <c r="Q1917" s="35">
        <v>118.0</v>
      </c>
      <c r="R1917" s="32">
        <v>45782.0</v>
      </c>
      <c r="S1917" s="32">
        <v>44463.0</v>
      </c>
      <c r="T1917" s="29"/>
      <c r="U1917" s="33"/>
      <c r="V1917" s="1"/>
    </row>
    <row r="1918" ht="24.0" customHeight="1">
      <c r="A1918" s="1"/>
      <c r="B1918" s="24" t="str">
        <f>HYPERLINK("https://www.compass.com/listing/141-east-3rd-street-unit-3h-manhattan-ny-10009/1839777567631480337/view?agent_id=610d3f3370540700019b0833","141 East 3rd Street, Unit 3H")</f>
        <v>141 East 3rd Street, Unit 3H</v>
      </c>
      <c r="C1918" s="25" t="s">
        <v>353</v>
      </c>
      <c r="D1918" s="26" t="s">
        <v>23</v>
      </c>
      <c r="E1918" s="27" t="str">
        <f>HYPERLINK("https://www.compass.com/building/ageloff-towers-manhattan-ny/282060731438891781/","Ageloff Towers")</f>
        <v>Ageloff Towers</v>
      </c>
      <c r="F1918" s="25" t="s">
        <v>24</v>
      </c>
      <c r="G1918" s="28">
        <v>1235000.0</v>
      </c>
      <c r="H1918" s="28">
        <v>1123.0</v>
      </c>
      <c r="I1918" s="28">
        <v>2568.0</v>
      </c>
      <c r="J1918" s="28">
        <v>0.0</v>
      </c>
      <c r="K1918" s="25" t="s">
        <v>25</v>
      </c>
      <c r="L1918" s="26">
        <v>4.0</v>
      </c>
      <c r="M1918" s="26">
        <v>2.0</v>
      </c>
      <c r="N1918" s="26">
        <v>1.0</v>
      </c>
      <c r="O1918" s="26">
        <v>0.0</v>
      </c>
      <c r="P1918" s="34">
        <v>1100.0</v>
      </c>
      <c r="Q1918" s="35">
        <v>56.0</v>
      </c>
      <c r="R1918" s="32">
        <v>45846.0</v>
      </c>
      <c r="S1918" s="32">
        <v>45790.0</v>
      </c>
      <c r="T1918" s="29"/>
      <c r="U1918" s="33"/>
      <c r="V1918" s="1"/>
    </row>
    <row r="1919" ht="24.0" customHeight="1">
      <c r="A1919" s="1"/>
      <c r="B1919" s="24" t="str">
        <f>HYPERLINK("https://www.compass.com/listing/254-park-place-unit-3a-brooklyn-ny-11238/1851795446536038329/view?agent_id=610d3f3370540700019b0833","254 Park Place, Unit 3A")</f>
        <v>254 Park Place, Unit 3A</v>
      </c>
      <c r="C1919" s="25" t="s">
        <v>353</v>
      </c>
      <c r="D1919" s="26" t="s">
        <v>23</v>
      </c>
      <c r="E1919" s="27" t="str">
        <f>HYPERLINK("https://www.compass.com/building/254-park-pl-brooklyn-ny-11238/293417280816134501/","254 Park Pl")</f>
        <v>254 Park Pl</v>
      </c>
      <c r="F1919" s="25" t="s">
        <v>39</v>
      </c>
      <c r="G1919" s="28">
        <v>935000.0</v>
      </c>
      <c r="H1919" s="29"/>
      <c r="I1919" s="28">
        <v>1447.0</v>
      </c>
      <c r="J1919" s="28">
        <v>0.0</v>
      </c>
      <c r="K1919" s="25" t="s">
        <v>25</v>
      </c>
      <c r="L1919" s="26">
        <v>4.0</v>
      </c>
      <c r="M1919" s="26">
        <v>2.0</v>
      </c>
      <c r="N1919" s="26">
        <v>1.0</v>
      </c>
      <c r="O1919" s="26">
        <v>0.0</v>
      </c>
      <c r="P1919" s="30"/>
      <c r="Q1919" s="35">
        <v>25.0</v>
      </c>
      <c r="R1919" s="32">
        <v>45831.0</v>
      </c>
      <c r="S1919" s="32">
        <v>45806.0</v>
      </c>
      <c r="T1919" s="29"/>
      <c r="U1919" s="33"/>
      <c r="V1919" s="1"/>
    </row>
    <row r="1920" ht="24.0" customHeight="1">
      <c r="A1920" s="1"/>
      <c r="B1920" s="24" t="str">
        <f>HYPERLINK("https://www.compass.com/listing/50-54-east-8th-street-unit-4e-manhattan-ny-10003/1753018213355150585/view?agent_id=610d3f3370540700019b0833","50-54 East 8th Street, Unit 4E")</f>
        <v>50-54 East 8th Street, Unit 4E</v>
      </c>
      <c r="C1920" s="25" t="s">
        <v>353</v>
      </c>
      <c r="D1920" s="26" t="s">
        <v>23</v>
      </c>
      <c r="E1920" s="27" t="str">
        <f>HYPERLINK("https://www.compass.com/building/50-54-e-8th-st-manhattan-ny-10003/436383059332391421/","50-54 E 8th St")</f>
        <v>50-54 E 8th St</v>
      </c>
      <c r="F1920" s="25" t="s">
        <v>43</v>
      </c>
      <c r="G1920" s="28">
        <v>735000.0</v>
      </c>
      <c r="H1920" s="29"/>
      <c r="I1920" s="28">
        <v>2999.0</v>
      </c>
      <c r="J1920" s="28">
        <v>0.0</v>
      </c>
      <c r="K1920" s="25" t="s">
        <v>25</v>
      </c>
      <c r="L1920" s="26">
        <v>4.0</v>
      </c>
      <c r="M1920" s="26">
        <v>2.0</v>
      </c>
      <c r="N1920" s="26">
        <v>1.0</v>
      </c>
      <c r="O1920" s="26">
        <v>0.0</v>
      </c>
      <c r="P1920" s="30"/>
      <c r="Q1920" s="35">
        <v>41.0</v>
      </c>
      <c r="R1920" s="32">
        <v>45843.0</v>
      </c>
      <c r="S1920" s="32">
        <v>45670.0</v>
      </c>
      <c r="T1920" s="29"/>
      <c r="U1920" s="33"/>
      <c r="V1920" s="1"/>
    </row>
    <row r="1921" ht="24.0" customHeight="1">
      <c r="A1921" s="1"/>
      <c r="B1921" s="24" t="str">
        <f>HYPERLINK("https://www.compass.com/listing/131-barrow-street-unit-4a-manhattan-ny-10014/1840022633272246505/view?agent_id=610d3f3370540700019b0833","131 Barrow Street, Unit 4A")</f>
        <v>131 Barrow Street, Unit 4A</v>
      </c>
      <c r="C1921" s="25" t="s">
        <v>353</v>
      </c>
      <c r="D1921" s="26" t="s">
        <v>23</v>
      </c>
      <c r="E1921" s="27" t="str">
        <f>HYPERLINK("https://www.compass.com/building/west-village-houses-manhattan-ny/294839858778121877/","West Village Houses")</f>
        <v>West Village Houses</v>
      </c>
      <c r="F1921" s="25" t="s">
        <v>26</v>
      </c>
      <c r="G1921" s="28">
        <v>1100000.0</v>
      </c>
      <c r="H1921" s="29"/>
      <c r="I1921" s="28">
        <v>1524.0</v>
      </c>
      <c r="J1921" s="28">
        <v>0.0</v>
      </c>
      <c r="K1921" s="25" t="s">
        <v>25</v>
      </c>
      <c r="L1921" s="26">
        <v>4.0</v>
      </c>
      <c r="M1921" s="26">
        <v>2.0</v>
      </c>
      <c r="N1921" s="26">
        <v>1.0</v>
      </c>
      <c r="O1921" s="26">
        <v>0.0</v>
      </c>
      <c r="P1921" s="30"/>
      <c r="Q1921" s="35">
        <v>25.0</v>
      </c>
      <c r="R1921" s="32">
        <v>45812.0</v>
      </c>
      <c r="S1921" s="32">
        <v>45786.0</v>
      </c>
      <c r="T1921" s="29"/>
      <c r="U1921" s="33"/>
      <c r="V1921" s="1"/>
    </row>
    <row r="1922" ht="24.0" customHeight="1">
      <c r="A1922" s="1"/>
      <c r="B1922" s="24" t="str">
        <f>HYPERLINK("https://www.compass.com/listing/211-west-10th-street-unit-6d-manhattan-ny-10014/1788540255654583937/view?agent_id=610d3f3370540700019b0833","211 West 10th Street, Unit 6D")</f>
        <v>211 West 10th Street, Unit 6D</v>
      </c>
      <c r="C1922" s="25" t="s">
        <v>353</v>
      </c>
      <c r="D1922" s="26" t="s">
        <v>23</v>
      </c>
      <c r="E1922" s="27" t="str">
        <f>HYPERLINK("https://www.compass.com/building/211-w-10th-st-manhattan-ny-10014/281930974923635653/","211 W 10th St")</f>
        <v>211 W 10th St</v>
      </c>
      <c r="F1922" s="25" t="s">
        <v>26</v>
      </c>
      <c r="G1922" s="28">
        <v>1395000.0</v>
      </c>
      <c r="H1922" s="29"/>
      <c r="I1922" s="28">
        <v>1499.0</v>
      </c>
      <c r="J1922" s="28">
        <v>0.0</v>
      </c>
      <c r="K1922" s="25" t="s">
        <v>25</v>
      </c>
      <c r="L1922" s="26">
        <v>4.0</v>
      </c>
      <c r="M1922" s="26">
        <v>2.0</v>
      </c>
      <c r="N1922" s="26">
        <v>1.0</v>
      </c>
      <c r="O1922" s="26">
        <v>0.0</v>
      </c>
      <c r="P1922" s="30"/>
      <c r="Q1922" s="35">
        <v>56.0</v>
      </c>
      <c r="R1922" s="32">
        <v>45847.0</v>
      </c>
      <c r="S1922" s="32">
        <v>45758.0</v>
      </c>
      <c r="T1922" s="29"/>
      <c r="U1922" s="33"/>
      <c r="V1922" s="1"/>
    </row>
    <row r="1923" ht="24.0" customHeight="1">
      <c r="A1923" s="1"/>
      <c r="B1923" s="24" t="str">
        <f>HYPERLINK("https://www.compass.com/listing/45-west-11th-street-unit-5a-manhattan-ny-10011/1780628346571695937/view?agent_id=610d3f3370540700019b0833","45 W 11th St, Unit 5A")</f>
        <v>45 W 11th St, Unit 5A</v>
      </c>
      <c r="C1923" s="25" t="s">
        <v>353</v>
      </c>
      <c r="D1923" s="26" t="s">
        <v>23</v>
      </c>
      <c r="E1923" s="27" t="str">
        <f>HYPERLINK("https://www.compass.com/building/45-w-11th-st-manhattan-ny-10011/281910646893733813/","45 W 11th St")</f>
        <v>45 W 11th St</v>
      </c>
      <c r="F1923" s="25" t="s">
        <v>43</v>
      </c>
      <c r="G1923" s="28">
        <v>1465000.0</v>
      </c>
      <c r="H1923" s="29"/>
      <c r="I1923" s="28">
        <v>2156.0</v>
      </c>
      <c r="J1923" s="28">
        <v>0.0</v>
      </c>
      <c r="K1923" s="25" t="s">
        <v>25</v>
      </c>
      <c r="L1923" s="26">
        <v>4.0</v>
      </c>
      <c r="M1923" s="26">
        <v>2.0</v>
      </c>
      <c r="N1923" s="26">
        <v>1.0</v>
      </c>
      <c r="O1923" s="26">
        <v>0.0</v>
      </c>
      <c r="P1923" s="30"/>
      <c r="Q1923" s="35">
        <v>93.0</v>
      </c>
      <c r="R1923" s="32">
        <v>45831.0</v>
      </c>
      <c r="S1923" s="32">
        <v>45708.0</v>
      </c>
      <c r="T1923" s="29"/>
      <c r="U1923" s="33"/>
      <c r="V1923" s="1"/>
    </row>
    <row r="1924" ht="24.0" customHeight="1">
      <c r="A1924" s="1"/>
      <c r="B1924" s="24" t="str">
        <f>HYPERLINK("https://www.compass.com/listing/232-president-street-unit-4r-brooklyn-ny-11231/1835989295596140241/view?agent_id=610d3f3370540700019b0833","232 President Street, Unit 4R")</f>
        <v>232 President Street, Unit 4R</v>
      </c>
      <c r="C1924" s="25" t="s">
        <v>353</v>
      </c>
      <c r="D1924" s="26" t="s">
        <v>23</v>
      </c>
      <c r="E1924" s="27" t="str">
        <f>HYPERLINK("https://www.compass.com/building/232-president-st-brooklyn-ny-11231/282500551877408901/","232 President St")</f>
        <v>232 President St</v>
      </c>
      <c r="F1924" s="25" t="s">
        <v>65</v>
      </c>
      <c r="G1924" s="28">
        <v>999000.0</v>
      </c>
      <c r="H1924" s="29"/>
      <c r="I1924" s="28">
        <v>950.0</v>
      </c>
      <c r="J1924" s="28">
        <v>0.0</v>
      </c>
      <c r="K1924" s="25" t="s">
        <v>25</v>
      </c>
      <c r="L1924" s="26">
        <v>5.0</v>
      </c>
      <c r="M1924" s="26">
        <v>2.0</v>
      </c>
      <c r="N1924" s="26">
        <v>1.0</v>
      </c>
      <c r="O1924" s="26">
        <v>0.0</v>
      </c>
      <c r="P1924" s="30"/>
      <c r="Q1924" s="35">
        <v>40.0</v>
      </c>
      <c r="R1924" s="32">
        <v>45825.0</v>
      </c>
      <c r="S1924" s="32">
        <v>45785.0</v>
      </c>
      <c r="T1924" s="29"/>
      <c r="U1924" s="33"/>
      <c r="V1924" s="1"/>
    </row>
    <row r="1925" ht="24.0" customHeight="1">
      <c r="A1925" s="1"/>
      <c r="B1925" s="24" t="str">
        <f>HYPERLINK("https://www.compass.com/listing/305-west-72nd-street-unit-1b-manhattan-ny-10023/1840056606069332665/view?agent_id=610d3f3370540700019b0833","305 West 72nd Street, Unit 1B")</f>
        <v>305 West 72nd Street, Unit 1B</v>
      </c>
      <c r="C1925" s="25" t="s">
        <v>353</v>
      </c>
      <c r="D1925" s="26" t="s">
        <v>23</v>
      </c>
      <c r="E1925" s="27" t="str">
        <f>HYPERLINK("https://www.compass.com/building/305-w-72nd-st-manhattan-ny-10023/281959580815138565/","305 W 72nd St")</f>
        <v>305 W 72nd St</v>
      </c>
      <c r="F1925" s="25" t="s">
        <v>29</v>
      </c>
      <c r="G1925" s="28">
        <v>995000.0</v>
      </c>
      <c r="H1925" s="29"/>
      <c r="I1925" s="28">
        <v>1618.0</v>
      </c>
      <c r="J1925" s="28">
        <v>0.0</v>
      </c>
      <c r="K1925" s="25" t="s">
        <v>25</v>
      </c>
      <c r="L1925" s="26">
        <v>4.0</v>
      </c>
      <c r="M1925" s="26">
        <v>2.0</v>
      </c>
      <c r="N1925" s="26">
        <v>1.0</v>
      </c>
      <c r="O1925" s="26">
        <v>0.0</v>
      </c>
      <c r="P1925" s="30"/>
      <c r="Q1925" s="35">
        <v>66.0</v>
      </c>
      <c r="R1925" s="32">
        <v>45856.0</v>
      </c>
      <c r="S1925" s="32">
        <v>45790.0</v>
      </c>
      <c r="T1925" s="29"/>
      <c r="U1925" s="33"/>
      <c r="V1925" s="1"/>
    </row>
    <row r="1926" ht="24.0" customHeight="1">
      <c r="A1926" s="1"/>
      <c r="B1926" s="24" t="str">
        <f>HYPERLINK("https://www.compass.com/listing/70-east-10th-street-unit-16f-manhattan-ny-10003/1367054206635374193/view?agent_id=610d3f3370540700019b0833","70 East 10th Street, Unit 16F")</f>
        <v>70 East 10th Street, Unit 16F</v>
      </c>
      <c r="C1926" s="25" t="s">
        <v>353</v>
      </c>
      <c r="D1926" s="26" t="s">
        <v>23</v>
      </c>
      <c r="E1926" s="27" t="str">
        <f>HYPERLINK("https://www.compass.com/building/stewart-house-manhattan-ny/282058667388337333/","Stewart House")</f>
        <v>Stewart House</v>
      </c>
      <c r="F1926" s="25" t="s">
        <v>43</v>
      </c>
      <c r="G1926" s="28">
        <v>1900000.0</v>
      </c>
      <c r="H1926" s="28">
        <v>1267.0</v>
      </c>
      <c r="I1926" s="28">
        <v>3408.0</v>
      </c>
      <c r="J1926" s="28">
        <v>0.0</v>
      </c>
      <c r="K1926" s="25" t="s">
        <v>25</v>
      </c>
      <c r="L1926" s="26">
        <v>5.0</v>
      </c>
      <c r="M1926" s="26">
        <v>2.0</v>
      </c>
      <c r="N1926" s="30"/>
      <c r="O1926" s="30"/>
      <c r="P1926" s="34">
        <v>1500.0</v>
      </c>
      <c r="Q1926" s="35">
        <v>505.0</v>
      </c>
      <c r="R1926" s="32">
        <v>45465.0</v>
      </c>
      <c r="S1926" s="32">
        <v>45137.0</v>
      </c>
      <c r="T1926" s="28">
        <v>1900000.0</v>
      </c>
      <c r="U1926" s="32">
        <v>45771.0</v>
      </c>
      <c r="V1926" s="1"/>
    </row>
    <row r="1927" ht="24.0" customHeight="1">
      <c r="A1927" s="1"/>
      <c r="B1927" s="24" t="str">
        <f>HYPERLINK("https://www.compass.com/listing/25-charles-street-unit-1c-manhattan-ny-10014/1256355550270894817/view?agent_id=610d3f3370540700019b0833","25 Charles St, Unit 1C")</f>
        <v>25 Charles St, Unit 1C</v>
      </c>
      <c r="C1927" s="25" t="s">
        <v>353</v>
      </c>
      <c r="D1927" s="26" t="s">
        <v>23</v>
      </c>
      <c r="E1927" s="27" t="str">
        <f>HYPERLINK("https://www.compass.com/building/25-charles-st-manhattan-ny-10014/281931537656625045/","25 Charles St")</f>
        <v>25 Charles St</v>
      </c>
      <c r="F1927" s="25" t="s">
        <v>26</v>
      </c>
      <c r="G1927" s="28">
        <v>1300000.0</v>
      </c>
      <c r="H1927" s="29"/>
      <c r="I1927" s="28">
        <v>1535.0</v>
      </c>
      <c r="J1927" s="28">
        <v>0.0</v>
      </c>
      <c r="K1927" s="25" t="s">
        <v>25</v>
      </c>
      <c r="L1927" s="26">
        <v>5.0</v>
      </c>
      <c r="M1927" s="26">
        <v>2.0</v>
      </c>
      <c r="N1927" s="26">
        <v>1.0</v>
      </c>
      <c r="O1927" s="26">
        <v>0.0</v>
      </c>
      <c r="P1927" s="30"/>
      <c r="Q1927" s="35">
        <v>32.0</v>
      </c>
      <c r="R1927" s="32">
        <v>45812.0</v>
      </c>
      <c r="S1927" s="32">
        <v>44986.0</v>
      </c>
      <c r="T1927" s="29"/>
      <c r="U1927" s="33"/>
      <c r="V1927" s="1"/>
    </row>
    <row r="1928" ht="24.0" customHeight="1">
      <c r="A1928" s="1"/>
      <c r="B1928" s="24" t="str">
        <f>HYPERLINK("https://www.compass.com/listing/110-cambridge-place-unit-5b-brooklyn-ny-11238/1862719851746953073/view?agent_id=610d3f3370540700019b0833","110 Cambridge Pl, Unit 5B")</f>
        <v>110 Cambridge Pl, Unit 5B</v>
      </c>
      <c r="C1928" s="25" t="s">
        <v>353</v>
      </c>
      <c r="D1928" s="26" t="s">
        <v>23</v>
      </c>
      <c r="E1928" s="27" t="str">
        <f>HYPERLINK("https://www.compass.com/building/110-cambridge-pl-brooklyn-ny-11238/293424516242150437/","110 Cambridge Pl")</f>
        <v>110 Cambridge Pl</v>
      </c>
      <c r="F1928" s="25" t="s">
        <v>30</v>
      </c>
      <c r="G1928" s="28">
        <v>489000.0</v>
      </c>
      <c r="H1928" s="28">
        <v>627.0</v>
      </c>
      <c r="I1928" s="28">
        <v>572.0</v>
      </c>
      <c r="J1928" s="28">
        <v>0.0</v>
      </c>
      <c r="K1928" s="25" t="s">
        <v>25</v>
      </c>
      <c r="L1928" s="26">
        <v>4.0</v>
      </c>
      <c r="M1928" s="26">
        <v>2.0</v>
      </c>
      <c r="N1928" s="26">
        <v>1.0</v>
      </c>
      <c r="O1928" s="26">
        <v>0.0</v>
      </c>
      <c r="P1928" s="26">
        <v>780.0</v>
      </c>
      <c r="Q1928" s="35">
        <v>42.0</v>
      </c>
      <c r="R1928" s="32">
        <v>45863.0</v>
      </c>
      <c r="S1928" s="32">
        <v>45821.0</v>
      </c>
      <c r="T1928" s="29"/>
      <c r="U1928" s="33"/>
      <c r="V1928" s="1"/>
    </row>
    <row r="1929" ht="24.0" customHeight="1">
      <c r="A1929" s="1"/>
      <c r="B1929" s="24" t="str">
        <f>HYPERLINK("https://www.compass.com/listing/184-east-2nd-street-unit-4g-manhattan-ny-10009/1296220976836883601/view?agent_id=610d3f3370540700019b0833","184 East 2nd Street, Unit 4G")</f>
        <v>184 East 2nd Street, Unit 4G</v>
      </c>
      <c r="C1929" s="25" t="s">
        <v>353</v>
      </c>
      <c r="D1929" s="26" t="s">
        <v>23</v>
      </c>
      <c r="E1929" s="27" t="str">
        <f>HYPERLINK("https://www.compass.com/building/184-e-2nd-st-manhattan-ny-10009/307441464648718533/","184 E 2nd St")</f>
        <v>184 E 2nd St</v>
      </c>
      <c r="F1929" s="25" t="s">
        <v>24</v>
      </c>
      <c r="G1929" s="28">
        <v>995000.0</v>
      </c>
      <c r="H1929" s="29"/>
      <c r="I1929" s="28">
        <v>1573.0</v>
      </c>
      <c r="J1929" s="28">
        <v>13080.0</v>
      </c>
      <c r="K1929" s="25" t="s">
        <v>28</v>
      </c>
      <c r="L1929" s="26">
        <v>4.0</v>
      </c>
      <c r="M1929" s="26">
        <v>2.0</v>
      </c>
      <c r="N1929" s="26">
        <v>1.0</v>
      </c>
      <c r="O1929" s="26">
        <v>0.0</v>
      </c>
      <c r="P1929" s="30"/>
      <c r="Q1929" s="35">
        <v>44.0</v>
      </c>
      <c r="R1929" s="32">
        <v>45812.0</v>
      </c>
      <c r="S1929" s="32">
        <v>45040.0</v>
      </c>
      <c r="T1929" s="29"/>
      <c r="U1929" s="33"/>
      <c r="V1929" s="1"/>
    </row>
    <row r="1930" ht="24.0" customHeight="1">
      <c r="A1930" s="1"/>
      <c r="B1930" s="24" t="str">
        <f>HYPERLINK("https://www.compass.com/listing/932-president-street-unit-3a-brooklyn-ny-11215/1862162192823776289/view?agent_id=610d3f3370540700019b0833","932 President Street, Unit 3A")</f>
        <v>932 President Street, Unit 3A</v>
      </c>
      <c r="C1930" s="25" t="s">
        <v>353</v>
      </c>
      <c r="D1930" s="26" t="s">
        <v>23</v>
      </c>
      <c r="E1930" s="27" t="str">
        <f>HYPERLINK("https://www.compass.com/building/932-president-st-brooklyn-ny-11215/282506949172480613/","932 President St")</f>
        <v>932 President St</v>
      </c>
      <c r="F1930" s="25" t="s">
        <v>40</v>
      </c>
      <c r="G1930" s="28">
        <v>1395000.0</v>
      </c>
      <c r="H1930" s="28">
        <v>1836.0</v>
      </c>
      <c r="I1930" s="28">
        <v>1301.0</v>
      </c>
      <c r="J1930" s="28">
        <v>8340.0</v>
      </c>
      <c r="K1930" s="25" t="s">
        <v>28</v>
      </c>
      <c r="L1930" s="26">
        <v>5.0</v>
      </c>
      <c r="M1930" s="26">
        <v>2.0</v>
      </c>
      <c r="N1930" s="26">
        <v>1.0</v>
      </c>
      <c r="O1930" s="26">
        <v>0.0</v>
      </c>
      <c r="P1930" s="26">
        <v>760.0</v>
      </c>
      <c r="Q1930" s="35">
        <v>28.0</v>
      </c>
      <c r="R1930" s="32">
        <v>45849.0</v>
      </c>
      <c r="S1930" s="32">
        <v>45821.0</v>
      </c>
      <c r="T1930" s="29"/>
      <c r="U1930" s="33"/>
      <c r="V1930" s="1"/>
    </row>
    <row r="1931" ht="24.0" customHeight="1">
      <c r="A1931" s="1"/>
      <c r="B1931" s="24" t="str">
        <f>HYPERLINK("https://www.compass.com/listing/45-west-11th-street-unit-8c-manhattan-ny-10011/1790636942154765873/view?agent_id=610d3f3370540700019b0833","45 West 11th Street, Unit 8C")</f>
        <v>45 West 11th Street, Unit 8C</v>
      </c>
      <c r="C1931" s="25" t="s">
        <v>353</v>
      </c>
      <c r="D1931" s="26" t="s">
        <v>23</v>
      </c>
      <c r="E1931" s="27" t="str">
        <f>HYPERLINK("https://www.compass.com/building/45-w-11th-st-manhattan-ny-10011/281910646893733813/","45 W 11th St")</f>
        <v>45 W 11th St</v>
      </c>
      <c r="F1931" s="25" t="s">
        <v>43</v>
      </c>
      <c r="G1931" s="28">
        <v>1150000.0</v>
      </c>
      <c r="H1931" s="29"/>
      <c r="I1931" s="28">
        <v>2227.0</v>
      </c>
      <c r="J1931" s="28">
        <v>0.0</v>
      </c>
      <c r="K1931" s="25" t="s">
        <v>25</v>
      </c>
      <c r="L1931" s="26">
        <v>4.0</v>
      </c>
      <c r="M1931" s="26">
        <v>2.0</v>
      </c>
      <c r="N1931" s="26">
        <v>1.0</v>
      </c>
      <c r="O1931" s="26">
        <v>0.0</v>
      </c>
      <c r="P1931" s="30"/>
      <c r="Q1931" s="35">
        <v>94.0</v>
      </c>
      <c r="R1931" s="32">
        <v>45849.0</v>
      </c>
      <c r="S1931" s="32">
        <v>45722.0</v>
      </c>
      <c r="T1931" s="29"/>
      <c r="U1931" s="33"/>
      <c r="V1931" s="1"/>
    </row>
    <row r="1932" ht="24.0" customHeight="1">
      <c r="A1932" s="1"/>
      <c r="B1932" s="24" t="str">
        <f>HYPERLINK("https://www.compass.com/listing/111-east-10th-street-unit-20-manhattan-ny-10003/1850920238493563481/view?agent_id=610d3f3370540700019b0833","111 East 10th Street, Unit 20")</f>
        <v>111 East 10th Street, Unit 20</v>
      </c>
      <c r="C1932" s="25" t="s">
        <v>353</v>
      </c>
      <c r="D1932" s="26" t="s">
        <v>23</v>
      </c>
      <c r="E1932" s="27" t="str">
        <f>HYPERLINK("https://www.compass.com/building/111-e-10th-st-manhattan-ny-10003/282066663040392213/","111 E 10th St")</f>
        <v>111 E 10th St</v>
      </c>
      <c r="F1932" s="25" t="s">
        <v>24</v>
      </c>
      <c r="G1932" s="28">
        <v>995000.0</v>
      </c>
      <c r="H1932" s="29"/>
      <c r="I1932" s="28">
        <v>2076.0</v>
      </c>
      <c r="J1932" s="28">
        <v>0.0</v>
      </c>
      <c r="K1932" s="25" t="s">
        <v>25</v>
      </c>
      <c r="L1932" s="26">
        <v>4.0</v>
      </c>
      <c r="M1932" s="26">
        <v>2.0</v>
      </c>
      <c r="N1932" s="26">
        <v>1.0</v>
      </c>
      <c r="O1932" s="26">
        <v>0.0</v>
      </c>
      <c r="P1932" s="30"/>
      <c r="Q1932" s="35">
        <v>23.0</v>
      </c>
      <c r="R1932" s="32">
        <v>45828.0</v>
      </c>
      <c r="S1932" s="32">
        <v>45805.0</v>
      </c>
      <c r="T1932" s="29"/>
      <c r="U1932" s="33"/>
      <c r="V1932" s="1"/>
    </row>
    <row r="1933" ht="24.0" customHeight="1">
      <c r="A1933" s="1"/>
      <c r="B1933" s="24" t="str">
        <f>HYPERLINK("https://www.compass.com/listing/345-west-58th-street-unit-3p-manhattan-ny-10019/1844911741690160641/view?agent_id=610d3f3370540700019b0833","345 West 58th Street, Unit 3P")</f>
        <v>345 West 58th Street, Unit 3P</v>
      </c>
      <c r="C1933" s="25" t="s">
        <v>353</v>
      </c>
      <c r="D1933" s="26" t="s">
        <v>23</v>
      </c>
      <c r="E1933" s="27" t="str">
        <f>HYPERLINK("https://www.compass.com/building/coliseum-park-apartments-manhattan-ny/281945105399607589/","Coliseum Park Apartments")</f>
        <v>Coliseum Park Apartments</v>
      </c>
      <c r="F1933" s="25" t="s">
        <v>29</v>
      </c>
      <c r="G1933" s="28">
        <v>1100000.0</v>
      </c>
      <c r="H1933" s="28">
        <v>1000.0</v>
      </c>
      <c r="I1933" s="28">
        <v>2400.0</v>
      </c>
      <c r="J1933" s="28">
        <v>0.0</v>
      </c>
      <c r="K1933" s="25" t="s">
        <v>25</v>
      </c>
      <c r="L1933" s="26">
        <v>4.0</v>
      </c>
      <c r="M1933" s="26">
        <v>2.0</v>
      </c>
      <c r="N1933" s="26">
        <v>1.0</v>
      </c>
      <c r="O1933" s="30"/>
      <c r="P1933" s="34">
        <v>1100.0</v>
      </c>
      <c r="Q1933" s="35">
        <v>0.0</v>
      </c>
      <c r="R1933" s="32">
        <v>45797.0</v>
      </c>
      <c r="S1933" s="32">
        <v>45796.0</v>
      </c>
      <c r="T1933" s="29"/>
      <c r="U1933" s="33"/>
      <c r="V1933" s="1"/>
    </row>
    <row r="1934" ht="24.0" customHeight="1">
      <c r="A1934" s="1"/>
      <c r="B1934" s="24" t="str">
        <f>HYPERLINK("https://www.compass.com/listing/125-west-76th-street-unit-8c-manhattan-ny-10023/1774606762189942265/view?agent_id=610d3f3370540700019b0833","125 West 76th Street, Unit 8C")</f>
        <v>125 West 76th Street, Unit 8C</v>
      </c>
      <c r="C1934" s="25" t="s">
        <v>353</v>
      </c>
      <c r="D1934" s="26" t="s">
        <v>23</v>
      </c>
      <c r="E1934" s="27" t="str">
        <f>HYPERLINK("https://www.compass.com/building/125-w-76th-st-manhattan-ny-10023/281956731767034901/","125 W 76th St")</f>
        <v>125 W 76th St</v>
      </c>
      <c r="F1934" s="25" t="s">
        <v>29</v>
      </c>
      <c r="G1934" s="28">
        <v>995000.0</v>
      </c>
      <c r="H1934" s="28">
        <v>1106.0</v>
      </c>
      <c r="I1934" s="28">
        <v>2260.0</v>
      </c>
      <c r="J1934" s="28">
        <v>0.0</v>
      </c>
      <c r="K1934" s="25" t="s">
        <v>25</v>
      </c>
      <c r="L1934" s="26">
        <v>4.0</v>
      </c>
      <c r="M1934" s="26">
        <v>2.0</v>
      </c>
      <c r="N1934" s="26">
        <v>1.0</v>
      </c>
      <c r="O1934" s="26">
        <v>0.0</v>
      </c>
      <c r="P1934" s="26">
        <v>900.0</v>
      </c>
      <c r="Q1934" s="35">
        <v>24.0</v>
      </c>
      <c r="R1934" s="32">
        <v>45793.0</v>
      </c>
      <c r="S1934" s="32">
        <v>45700.0</v>
      </c>
      <c r="T1934" s="29"/>
      <c r="U1934" s="33"/>
      <c r="V1934" s="1"/>
    </row>
    <row r="1935" ht="24.0" customHeight="1">
      <c r="A1935" s="1"/>
      <c r="B1935" s="24" t="str">
        <f>HYPERLINK("https://www.compass.com/listing/205-clinton-avenue-unit-11f-brooklyn-ny-11205/1862653015621756577/view?agent_id=610d3f3370540700019b0833","205 Clinton Avenue, Unit 11F")</f>
        <v>205 Clinton Avenue, Unit 11F</v>
      </c>
      <c r="C1935" s="25" t="s">
        <v>353</v>
      </c>
      <c r="D1935" s="26" t="s">
        <v>23</v>
      </c>
      <c r="E1935" s="27" t="str">
        <f>HYPERLINK("https://www.compass.com/building/clinton-hill-coops-north-campus-brooklyn-ny/307445614635647509/","Clinton Hill Coops - North Campus")</f>
        <v>Clinton Hill Coops - North Campus</v>
      </c>
      <c r="F1935" s="25" t="s">
        <v>30</v>
      </c>
      <c r="G1935" s="28">
        <v>1075000.0</v>
      </c>
      <c r="H1935" s="28">
        <v>1075.0</v>
      </c>
      <c r="I1935" s="28">
        <v>1617.0</v>
      </c>
      <c r="J1935" s="28">
        <v>0.0</v>
      </c>
      <c r="K1935" s="25" t="s">
        <v>25</v>
      </c>
      <c r="L1935" s="26">
        <v>5.0</v>
      </c>
      <c r="M1935" s="26">
        <v>2.0</v>
      </c>
      <c r="N1935" s="26">
        <v>1.0</v>
      </c>
      <c r="O1935" s="26">
        <v>0.0</v>
      </c>
      <c r="P1935" s="34">
        <v>1000.0</v>
      </c>
      <c r="Q1935" s="35">
        <v>30.0</v>
      </c>
      <c r="R1935" s="32">
        <v>45851.0</v>
      </c>
      <c r="S1935" s="32">
        <v>45821.0</v>
      </c>
      <c r="T1935" s="29"/>
      <c r="U1935" s="33"/>
      <c r="V1935" s="1"/>
    </row>
    <row r="1936" ht="24.0" customHeight="1">
      <c r="A1936" s="1"/>
      <c r="B1936" s="24" t="str">
        <f>HYPERLINK("https://www.compass.com/listing/670-west-end-avenue-unit-9c-manhattan-ny-10025/1851332997399924817/view?agent_id=610d3f3370540700019b0833","670 West End Avenue, Unit 9C")</f>
        <v>670 West End Avenue, Unit 9C</v>
      </c>
      <c r="C1936" s="25" t="s">
        <v>353</v>
      </c>
      <c r="D1936" s="26" t="s">
        <v>23</v>
      </c>
      <c r="E1936" s="27" t="str">
        <f>HYPERLINK("https://www.compass.com/building/670-west-end-ave-manhattan-ny-10025/281972911420562197/","670 West End Ave")</f>
        <v>670 West End Ave</v>
      </c>
      <c r="F1936" s="25" t="s">
        <v>29</v>
      </c>
      <c r="G1936" s="28">
        <v>1495000.0</v>
      </c>
      <c r="H1936" s="29"/>
      <c r="I1936" s="28">
        <v>3025.0</v>
      </c>
      <c r="J1936" s="28">
        <v>0.0</v>
      </c>
      <c r="K1936" s="25" t="s">
        <v>25</v>
      </c>
      <c r="L1936" s="26">
        <v>5.0</v>
      </c>
      <c r="M1936" s="26">
        <v>2.0</v>
      </c>
      <c r="N1936" s="26">
        <v>1.0</v>
      </c>
      <c r="O1936" s="26">
        <v>0.0</v>
      </c>
      <c r="P1936" s="30"/>
      <c r="Q1936" s="35">
        <v>15.0</v>
      </c>
      <c r="R1936" s="32">
        <v>45821.0</v>
      </c>
      <c r="S1936" s="32">
        <v>45806.0</v>
      </c>
      <c r="T1936" s="29"/>
      <c r="U1936" s="33"/>
      <c r="V1936" s="1"/>
    </row>
    <row r="1937" ht="24.0" customHeight="1">
      <c r="A1937" s="1"/>
      <c r="B1937" s="24" t="str">
        <f>HYPERLINK("https://www.compass.com/listing/340-west-19th-street-unit-11-manhattan-ny-10011/1805379034267628577/view?agent_id=610d3f3370540700019b0833","340 West 19th Street, Unit 11")</f>
        <v>340 West 19th Street, Unit 11</v>
      </c>
      <c r="C1937" s="25" t="s">
        <v>353</v>
      </c>
      <c r="D1937" s="26" t="s">
        <v>23</v>
      </c>
      <c r="E1937" s="27" t="str">
        <f>HYPERLINK("https://www.compass.com/building/340-w-19th-st-manhattan-ny-10011/281909205378554757/","340 W 19th St")</f>
        <v>340 W 19th St</v>
      </c>
      <c r="F1937" s="25" t="s">
        <v>27</v>
      </c>
      <c r="G1937" s="28">
        <v>895000.0</v>
      </c>
      <c r="H1937" s="29"/>
      <c r="I1937" s="28">
        <v>1365.0</v>
      </c>
      <c r="J1937" s="28">
        <v>0.0</v>
      </c>
      <c r="K1937" s="25" t="s">
        <v>25</v>
      </c>
      <c r="L1937" s="26">
        <v>5.0</v>
      </c>
      <c r="M1937" s="26">
        <v>2.0</v>
      </c>
      <c r="N1937" s="26">
        <v>1.0</v>
      </c>
      <c r="O1937" s="26">
        <v>0.0</v>
      </c>
      <c r="P1937" s="30"/>
      <c r="Q1937" s="35">
        <v>21.0</v>
      </c>
      <c r="R1937" s="32">
        <v>45812.0</v>
      </c>
      <c r="S1937" s="32">
        <v>45744.0</v>
      </c>
      <c r="T1937" s="29"/>
      <c r="U1937" s="33"/>
      <c r="V1937" s="1"/>
    </row>
    <row r="1938" ht="24.0" customHeight="1">
      <c r="A1938" s="1"/>
      <c r="B1938" s="24" t="str">
        <f>HYPERLINK("https://www.compass.com/listing/423-atlantic-avenue-unit-3c-brooklyn-ny-11217/1820340198156663617/view?agent_id=610d3f3370540700019b0833","423 Atlantic Avenue, Unit 3C")</f>
        <v>423 Atlantic Avenue, Unit 3C</v>
      </c>
      <c r="C1938" s="25" t="s">
        <v>353</v>
      </c>
      <c r="D1938" s="26" t="s">
        <v>23</v>
      </c>
      <c r="E1938" s="27" t="str">
        <f>HYPERLINK("https://www.compass.com/building/exlax-building-brooklyn-ny/282504642716322325/","ExLax Building")</f>
        <v>ExLax Building</v>
      </c>
      <c r="F1938" s="25" t="s">
        <v>102</v>
      </c>
      <c r="G1938" s="28">
        <v>1400000.0</v>
      </c>
      <c r="H1938" s="29"/>
      <c r="I1938" s="28">
        <v>2126.0</v>
      </c>
      <c r="J1938" s="28">
        <v>0.0</v>
      </c>
      <c r="K1938" s="25" t="s">
        <v>25</v>
      </c>
      <c r="L1938" s="26">
        <v>4.0</v>
      </c>
      <c r="M1938" s="26">
        <v>2.0</v>
      </c>
      <c r="N1938" s="26">
        <v>1.0</v>
      </c>
      <c r="O1938" s="26">
        <v>0.0</v>
      </c>
      <c r="P1938" s="30"/>
      <c r="Q1938" s="35">
        <v>23.0</v>
      </c>
      <c r="R1938" s="32">
        <v>45793.0</v>
      </c>
      <c r="S1938" s="32">
        <v>45770.0</v>
      </c>
      <c r="T1938" s="29"/>
      <c r="U1938" s="33"/>
      <c r="V1938" s="1"/>
    </row>
    <row r="1939" ht="24.0" customHeight="1">
      <c r="A1939" s="1"/>
      <c r="B1939" s="24" t="str">
        <f>HYPERLINK("https://www.compass.com/listing/1-west-67th-street-unit-313-manhattan-ny-10023/1830038333059402409/view?agent_id=610d3f3370540700019b0833","1 West 67th Street, Unit 313")</f>
        <v>1 West 67th Street, Unit 313</v>
      </c>
      <c r="C1939" s="25" t="s">
        <v>353</v>
      </c>
      <c r="D1939" s="26" t="s">
        <v>23</v>
      </c>
      <c r="E1939" s="27" t="str">
        <f>HYPERLINK("https://www.compass.com/building/hotel-des-artistes-manhattan-ny/282059006271323077/","Hotel des Artistes")</f>
        <v>Hotel des Artistes</v>
      </c>
      <c r="F1939" s="25" t="s">
        <v>29</v>
      </c>
      <c r="G1939" s="28">
        <v>1495000.0</v>
      </c>
      <c r="H1939" s="29"/>
      <c r="I1939" s="28">
        <v>1228.0</v>
      </c>
      <c r="J1939" s="28">
        <v>0.0</v>
      </c>
      <c r="K1939" s="25" t="s">
        <v>25</v>
      </c>
      <c r="L1939" s="26">
        <v>5.0</v>
      </c>
      <c r="M1939" s="26">
        <v>2.0</v>
      </c>
      <c r="N1939" s="26">
        <v>1.0</v>
      </c>
      <c r="O1939" s="26">
        <v>0.0</v>
      </c>
      <c r="P1939" s="30"/>
      <c r="Q1939" s="35">
        <v>32.0</v>
      </c>
      <c r="R1939" s="32">
        <v>45812.0</v>
      </c>
      <c r="S1939" s="32">
        <v>45776.0</v>
      </c>
      <c r="T1939" s="29"/>
      <c r="U1939" s="33"/>
      <c r="V1939" s="1"/>
    </row>
    <row r="1940" ht="24.0" customHeight="1">
      <c r="A1940" s="1"/>
      <c r="B1940" s="24" t="str">
        <f>HYPERLINK("https://www.compass.com/listing/50-west-67th-street-unit-4b-manhattan-ny-10023/465255220461795529/view?agent_id=610d3f3370540700019b0833","50 W 67th St, Unit 4B")</f>
        <v>50 W 67th St, Unit 4B</v>
      </c>
      <c r="C1940" s="25" t="s">
        <v>353</v>
      </c>
      <c r="D1940" s="26" t="s">
        <v>23</v>
      </c>
      <c r="E1940" s="27" t="str">
        <f>HYPERLINK("https://www.compass.com/building/the-musicians-building-manhattan-ny/281960839760651365/","The Musician's Building")</f>
        <v>The Musician's Building</v>
      </c>
      <c r="F1940" s="25" t="s">
        <v>29</v>
      </c>
      <c r="G1940" s="28">
        <v>1350000.0</v>
      </c>
      <c r="H1940" s="29"/>
      <c r="I1940" s="28">
        <v>2555.0</v>
      </c>
      <c r="J1940" s="29"/>
      <c r="K1940" s="25" t="s">
        <v>25</v>
      </c>
      <c r="L1940" s="26">
        <v>4.0</v>
      </c>
      <c r="M1940" s="26">
        <v>2.0</v>
      </c>
      <c r="N1940" s="26">
        <v>1.0</v>
      </c>
      <c r="O1940" s="26">
        <v>0.0</v>
      </c>
      <c r="P1940" s="30"/>
      <c r="Q1940" s="35">
        <v>432.0</v>
      </c>
      <c r="R1940" s="32">
        <v>45812.0</v>
      </c>
      <c r="S1940" s="32">
        <v>44463.0</v>
      </c>
      <c r="T1940" s="29"/>
      <c r="U1940" s="33"/>
      <c r="V1940" s="1"/>
    </row>
    <row r="1941" ht="24.0" customHeight="1">
      <c r="A1941" s="1"/>
      <c r="B1941" s="24" t="str">
        <f>HYPERLINK("https://www.compass.com/listing/514-west-110th-street-unit-2d-manhattan-ny-10025/1816143464519497617/view?agent_id=610d3f3370540700019b0833","514 W 110th St, Unit 2D")</f>
        <v>514 W 110th St, Unit 2D</v>
      </c>
      <c r="C1941" s="25" t="s">
        <v>353</v>
      </c>
      <c r="D1941" s="26" t="s">
        <v>23</v>
      </c>
      <c r="E1941" s="27" t="str">
        <f>HYPERLINK("https://www.compass.com/building/514-w-110th-st-manhattan-ny-10025/294839811902709877/","514 W 110th St")</f>
        <v>514 W 110th St</v>
      </c>
      <c r="F1941" s="25" t="s">
        <v>29</v>
      </c>
      <c r="G1941" s="28">
        <v>975000.0</v>
      </c>
      <c r="H1941" s="28">
        <v>1146.0</v>
      </c>
      <c r="I1941" s="28">
        <v>2034.0</v>
      </c>
      <c r="J1941" s="28">
        <v>8904.0</v>
      </c>
      <c r="K1941" s="25" t="s">
        <v>28</v>
      </c>
      <c r="L1941" s="26">
        <v>4.0</v>
      </c>
      <c r="M1941" s="26">
        <v>2.0</v>
      </c>
      <c r="N1941" s="26">
        <v>1.0</v>
      </c>
      <c r="O1941" s="26">
        <v>0.0</v>
      </c>
      <c r="P1941" s="26">
        <v>851.0</v>
      </c>
      <c r="Q1941" s="35">
        <v>47.0</v>
      </c>
      <c r="R1941" s="32">
        <v>45804.0</v>
      </c>
      <c r="S1941" s="32">
        <v>45757.0</v>
      </c>
      <c r="T1941" s="29"/>
      <c r="U1941" s="33"/>
      <c r="V1941" s="1"/>
    </row>
    <row r="1942" ht="24.0" customHeight="1">
      <c r="A1942" s="1"/>
      <c r="B1942" s="24" t="str">
        <f>HYPERLINK("https://www.compass.com/listing/365-clinton-avenue-unit-6f-brooklyn-ny-11238/1854617294248456745/view?agent_id=610d3f3370540700019b0833","365 Clinton Avenue, Unit 6F")</f>
        <v>365 Clinton Avenue, Unit 6F</v>
      </c>
      <c r="C1942" s="25" t="s">
        <v>353</v>
      </c>
      <c r="D1942" s="26" t="s">
        <v>23</v>
      </c>
      <c r="E1942" s="27" t="str">
        <f>HYPERLINK("https://www.compass.com/building/clinton-hill-coops-south-campus-brooklyn-ny/293421716670054933/","Clinton Hill Coops - South Campus")</f>
        <v>Clinton Hill Coops - South Campus</v>
      </c>
      <c r="F1942" s="25" t="s">
        <v>30</v>
      </c>
      <c r="G1942" s="28">
        <v>975000.0</v>
      </c>
      <c r="H1942" s="28">
        <v>975.0</v>
      </c>
      <c r="I1942" s="28">
        <v>1456.0</v>
      </c>
      <c r="J1942" s="28">
        <v>0.0</v>
      </c>
      <c r="K1942" s="25" t="s">
        <v>25</v>
      </c>
      <c r="L1942" s="26">
        <v>5.0</v>
      </c>
      <c r="M1942" s="26">
        <v>2.0</v>
      </c>
      <c r="N1942" s="26">
        <v>1.0</v>
      </c>
      <c r="O1942" s="26">
        <v>0.0</v>
      </c>
      <c r="P1942" s="34">
        <v>1000.0</v>
      </c>
      <c r="Q1942" s="35">
        <v>25.0</v>
      </c>
      <c r="R1942" s="32">
        <v>45835.0</v>
      </c>
      <c r="S1942" s="32">
        <v>45810.0</v>
      </c>
      <c r="T1942" s="29"/>
      <c r="U1942" s="33"/>
      <c r="V1942" s="1"/>
    </row>
    <row r="1943" ht="24.0" customHeight="1">
      <c r="A1943" s="1"/>
      <c r="B1943" s="24" t="str">
        <f>HYPERLINK("https://www.compass.com/listing/465-west-broadway-unit-3s-manhattan-ny-10012/1825526241079753337/view?agent_id=610d3f3370540700019b0833","465 W Broadway, Unit 3S")</f>
        <v>465 W Broadway, Unit 3S</v>
      </c>
      <c r="C1943" s="25" t="s">
        <v>353</v>
      </c>
      <c r="D1943" s="26" t="s">
        <v>23</v>
      </c>
      <c r="E1943" s="27" t="str">
        <f>HYPERLINK("https://www.compass.com/building/465-w-broadway-manhattan-ny-10012/281915217410030293/","465 W Broadway")</f>
        <v>465 W Broadway</v>
      </c>
      <c r="F1943" s="25" t="s">
        <v>53</v>
      </c>
      <c r="G1943" s="28">
        <v>4000000.0</v>
      </c>
      <c r="H1943" s="28">
        <v>1333.0</v>
      </c>
      <c r="I1943" s="28">
        <v>2000.0</v>
      </c>
      <c r="J1943" s="28">
        <v>0.0</v>
      </c>
      <c r="K1943" s="25" t="s">
        <v>25</v>
      </c>
      <c r="L1943" s="26">
        <v>7.0</v>
      </c>
      <c r="M1943" s="26">
        <v>2.0</v>
      </c>
      <c r="N1943" s="26">
        <v>1.0</v>
      </c>
      <c r="O1943" s="26">
        <v>0.0</v>
      </c>
      <c r="P1943" s="34">
        <v>3000.0</v>
      </c>
      <c r="Q1943" s="35">
        <v>64.0</v>
      </c>
      <c r="R1943" s="32">
        <v>45863.0</v>
      </c>
      <c r="S1943" s="32">
        <v>45770.0</v>
      </c>
      <c r="T1943" s="29"/>
      <c r="U1943" s="33"/>
      <c r="V1943" s="1"/>
    </row>
    <row r="1944" ht="24.0" customHeight="1">
      <c r="A1944" s="1"/>
      <c r="B1944" s="24" t="str">
        <f>HYPERLINK("https://www.compass.com/listing/361-clinton-avenue-unit-5b-brooklyn-ny-11238/1853713264617715809/view?agent_id=610d3f3370540700019b0833","361 Clinton Avenue, Unit 5B")</f>
        <v>361 Clinton Avenue, Unit 5B</v>
      </c>
      <c r="C1944" s="25" t="s">
        <v>353</v>
      </c>
      <c r="D1944" s="26" t="s">
        <v>23</v>
      </c>
      <c r="E1944" s="27" t="str">
        <f>HYPERLINK("https://www.compass.com/building/clinton-hill-coops-south-campus-brooklyn-ny/293426245025209669/","Clinton Hill Coops - South Campus")</f>
        <v>Clinton Hill Coops - South Campus</v>
      </c>
      <c r="F1944" s="25" t="s">
        <v>30</v>
      </c>
      <c r="G1944" s="28">
        <v>785000.0</v>
      </c>
      <c r="H1944" s="29"/>
      <c r="I1944" s="28">
        <v>1268.0</v>
      </c>
      <c r="J1944" s="28">
        <v>0.0</v>
      </c>
      <c r="K1944" s="25" t="s">
        <v>25</v>
      </c>
      <c r="L1944" s="26">
        <v>4.0</v>
      </c>
      <c r="M1944" s="26">
        <v>2.0</v>
      </c>
      <c r="N1944" s="26">
        <v>1.0</v>
      </c>
      <c r="O1944" s="26">
        <v>0.0</v>
      </c>
      <c r="P1944" s="30"/>
      <c r="Q1944" s="35">
        <v>28.0</v>
      </c>
      <c r="R1944" s="32">
        <v>45837.0</v>
      </c>
      <c r="S1944" s="32">
        <v>45809.0</v>
      </c>
      <c r="T1944" s="29"/>
      <c r="U1944" s="33"/>
      <c r="V1944" s="1"/>
    </row>
    <row r="1945" ht="24.0" customHeight="1">
      <c r="A1945" s="1"/>
      <c r="B1945" s="24" t="str">
        <f>HYPERLINK("https://www.compass.com/listing/113-carroll-street-unit-4-brooklyn-ny-11231/1790122243449514273/view?agent_id=610d3f3370540700019b0833","113 Carroll Street, Unit 4")</f>
        <v>113 Carroll Street, Unit 4</v>
      </c>
      <c r="C1945" s="25" t="s">
        <v>353</v>
      </c>
      <c r="D1945" s="26" t="s">
        <v>23</v>
      </c>
      <c r="E1945" s="27" t="str">
        <f>HYPERLINK("https://www.compass.com/building/113-carroll-st-brooklyn-ny-11231/282500956871012949/","113 Carroll St")</f>
        <v>113 Carroll St</v>
      </c>
      <c r="F1945" s="25" t="s">
        <v>65</v>
      </c>
      <c r="G1945" s="28">
        <v>999000.0</v>
      </c>
      <c r="H1945" s="29"/>
      <c r="I1945" s="28">
        <v>525.0</v>
      </c>
      <c r="J1945" s="28">
        <v>0.0</v>
      </c>
      <c r="K1945" s="25" t="s">
        <v>25</v>
      </c>
      <c r="L1945" s="26">
        <v>4.0</v>
      </c>
      <c r="M1945" s="26">
        <v>2.0</v>
      </c>
      <c r="N1945" s="26">
        <v>1.0</v>
      </c>
      <c r="O1945" s="26">
        <v>0.0</v>
      </c>
      <c r="P1945" s="30"/>
      <c r="Q1945" s="35">
        <v>51.0</v>
      </c>
      <c r="R1945" s="32">
        <v>45812.0</v>
      </c>
      <c r="S1945" s="32">
        <v>45721.0</v>
      </c>
      <c r="T1945" s="29"/>
      <c r="U1945" s="33"/>
      <c r="V1945" s="1"/>
    </row>
    <row r="1946" ht="24.0" customHeight="1">
      <c r="A1946" s="1"/>
      <c r="B1946" s="24" t="str">
        <f>HYPERLINK("https://www.compass.com/listing/200-west-79th-street-unit-3e-manhattan-ny-10024/1832026621472198145/view?agent_id=610d3f3370540700019b0833","200 West 79th Street, Unit 3E")</f>
        <v>200 West 79th Street, Unit 3E</v>
      </c>
      <c r="C1946" s="25" t="s">
        <v>353</v>
      </c>
      <c r="D1946" s="26" t="s">
        <v>23</v>
      </c>
      <c r="E1946" s="27" t="str">
        <f>HYPERLINK("https://www.compass.com/building/the-gloucester-manhattan-ny/281963617757246133/","The Gloucester")</f>
        <v>The Gloucester</v>
      </c>
      <c r="F1946" s="25" t="s">
        <v>29</v>
      </c>
      <c r="G1946" s="28">
        <v>1139000.0</v>
      </c>
      <c r="H1946" s="28">
        <v>1340.0</v>
      </c>
      <c r="I1946" s="28">
        <v>2015.0</v>
      </c>
      <c r="J1946" s="28">
        <v>0.0</v>
      </c>
      <c r="K1946" s="25" t="s">
        <v>25</v>
      </c>
      <c r="L1946" s="26">
        <v>4.0</v>
      </c>
      <c r="M1946" s="26">
        <v>2.0</v>
      </c>
      <c r="N1946" s="26">
        <v>1.0</v>
      </c>
      <c r="O1946" s="26">
        <v>0.0</v>
      </c>
      <c r="P1946" s="26">
        <v>850.0</v>
      </c>
      <c r="Q1946" s="35">
        <v>69.0</v>
      </c>
      <c r="R1946" s="32">
        <v>45848.0</v>
      </c>
      <c r="S1946" s="32">
        <v>45779.0</v>
      </c>
      <c r="T1946" s="29"/>
      <c r="U1946" s="33"/>
      <c r="V1946" s="1"/>
    </row>
    <row r="1947" ht="24.0" customHeight="1">
      <c r="A1947" s="1"/>
      <c r="B1947" s="24" t="str">
        <f>HYPERLINK("https://www.compass.com/listing/652-broadway-unit-11f-manhattan-ny-10012/1800159862034767609/view?agent_id=610d3f3370540700019b0833","652 Broadway, Unit 11F")</f>
        <v>652 Broadway, Unit 11F</v>
      </c>
      <c r="C1947" s="25" t="s">
        <v>353</v>
      </c>
      <c r="D1947" s="26" t="s">
        <v>23</v>
      </c>
      <c r="E1947" s="27" t="str">
        <f>HYPERLINK("https://www.compass.com/building/652-broadway-manhattan-ny-10012/281915816222424437/","652 Broadway")</f>
        <v>652 Broadway</v>
      </c>
      <c r="F1947" s="25" t="s">
        <v>57</v>
      </c>
      <c r="G1947" s="28">
        <v>2195000.0</v>
      </c>
      <c r="H1947" s="29"/>
      <c r="I1947" s="28">
        <v>2664.0</v>
      </c>
      <c r="J1947" s="28">
        <v>0.0</v>
      </c>
      <c r="K1947" s="25" t="s">
        <v>25</v>
      </c>
      <c r="L1947" s="26">
        <v>5.0</v>
      </c>
      <c r="M1947" s="26">
        <v>2.0</v>
      </c>
      <c r="N1947" s="26">
        <v>1.0</v>
      </c>
      <c r="O1947" s="26">
        <v>0.0</v>
      </c>
      <c r="P1947" s="30"/>
      <c r="Q1947" s="35">
        <v>57.0</v>
      </c>
      <c r="R1947" s="32">
        <v>45853.0</v>
      </c>
      <c r="S1947" s="32">
        <v>45735.0</v>
      </c>
      <c r="T1947" s="29"/>
      <c r="U1947" s="33"/>
      <c r="V1947" s="1"/>
    </row>
    <row r="1948" ht="24.0" customHeight="1">
      <c r="A1948" s="1"/>
      <c r="B1948" s="24" t="str">
        <f>HYPERLINK("https://www.compass.com/listing/789-west-end-avenue-unit-ph6-manhattan-ny-10025/1810898875373451369/view?agent_id=610d3f3370540700019b0833","789 West End Avenue, Unit PH6")</f>
        <v>789 West End Avenue, Unit PH6</v>
      </c>
      <c r="C1948" s="25" t="s">
        <v>353</v>
      </c>
      <c r="D1948" s="26" t="s">
        <v>23</v>
      </c>
      <c r="E1948" s="27" t="str">
        <f>HYPERLINK("https://www.compass.com/building/789-west-end-ave-manhattan-ny-10025/281973232226098373/","789 West End Ave")</f>
        <v>789 West End Ave</v>
      </c>
      <c r="F1948" s="25" t="s">
        <v>29</v>
      </c>
      <c r="G1948" s="28">
        <v>1250000.0</v>
      </c>
      <c r="H1948" s="29"/>
      <c r="I1948" s="28">
        <v>2610.0</v>
      </c>
      <c r="J1948" s="28">
        <v>0.0</v>
      </c>
      <c r="K1948" s="25" t="s">
        <v>25</v>
      </c>
      <c r="L1948" s="26">
        <v>4.0</v>
      </c>
      <c r="M1948" s="26">
        <v>2.0</v>
      </c>
      <c r="N1948" s="26">
        <v>1.0</v>
      </c>
      <c r="O1948" s="26">
        <v>0.0</v>
      </c>
      <c r="P1948" s="30"/>
      <c r="Q1948" s="35">
        <v>74.0</v>
      </c>
      <c r="R1948" s="32">
        <v>45858.0</v>
      </c>
      <c r="S1948" s="32">
        <v>45750.0</v>
      </c>
      <c r="T1948" s="29"/>
      <c r="U1948" s="33"/>
      <c r="V1948" s="1"/>
    </row>
    <row r="1949" ht="24.0" customHeight="1">
      <c r="A1949" s="1"/>
      <c r="B1949" s="24" t="str">
        <f>HYPERLINK("https://www.compass.com/listing/200-west-79th-street-unit-15e-manhattan-ny-10024/1800966277509068713/view?agent_id=610d3f3370540700019b0833","200 W 79th St, Unit 15E")</f>
        <v>200 W 79th St, Unit 15E</v>
      </c>
      <c r="C1949" s="25" t="s">
        <v>353</v>
      </c>
      <c r="D1949" s="26" t="s">
        <v>23</v>
      </c>
      <c r="E1949" s="27" t="str">
        <f>HYPERLINK("https://www.compass.com/building/the-gloucester-manhattan-ny/281963617757246133/","The Gloucester")</f>
        <v>The Gloucester</v>
      </c>
      <c r="F1949" s="25" t="s">
        <v>29</v>
      </c>
      <c r="G1949" s="28">
        <v>1149000.0</v>
      </c>
      <c r="H1949" s="29"/>
      <c r="I1949" s="28">
        <v>2124.0</v>
      </c>
      <c r="J1949" s="28">
        <v>0.0</v>
      </c>
      <c r="K1949" s="25" t="s">
        <v>25</v>
      </c>
      <c r="L1949" s="26">
        <v>4.0</v>
      </c>
      <c r="M1949" s="26">
        <v>2.0</v>
      </c>
      <c r="N1949" s="26">
        <v>1.0</v>
      </c>
      <c r="O1949" s="26">
        <v>0.0</v>
      </c>
      <c r="P1949" s="30"/>
      <c r="Q1949" s="35">
        <v>25.0</v>
      </c>
      <c r="R1949" s="32">
        <v>45811.0</v>
      </c>
      <c r="S1949" s="32">
        <v>45736.0</v>
      </c>
      <c r="T1949" s="29"/>
      <c r="U1949" s="33"/>
      <c r="V1949" s="1"/>
    </row>
    <row r="1950" ht="24.0" customHeight="1">
      <c r="A1950" s="3"/>
      <c r="B1950" s="37" t="s">
        <v>350</v>
      </c>
      <c r="C1950" s="38"/>
      <c r="D1950" s="39"/>
      <c r="E1950" s="39"/>
      <c r="F1950" s="38"/>
      <c r="G1950" s="40">
        <f>IFERROR(__xludf.DUMMYFUNCTION("TO_DOLLARS(IFERROR(AVERAGE(G1791:G1949)))"),1015869.2704402516)</f>
        <v>1015869.27</v>
      </c>
      <c r="H1950" s="40">
        <f>IFERROR(__xludf.DUMMYFUNCTION("TO_DOLLARS(IFERROR(AVERAGE(H1791:H1949)))"),998.078947368421)</f>
        <v>998.0789474</v>
      </c>
      <c r="I1950" s="40">
        <f>IFERROR(__xludf.DUMMYFUNCTION("TO_DOLLARS(IFERROR(AVERAGE(I1791:I1949)))"),1587.0188679245282)</f>
        <v>1587.018868</v>
      </c>
      <c r="J1950" s="40">
        <f>IFERROR(__xludf.DUMMYFUNCTION("TO_DOLLARS(IFERROR(AVERAGE(J1791:J1949)))"),2081.2328767123286)</f>
        <v>2081.232877</v>
      </c>
      <c r="K1950" s="38"/>
      <c r="L1950" s="39"/>
      <c r="M1950" s="39"/>
      <c r="N1950" s="39"/>
      <c r="O1950" s="39"/>
      <c r="P1950" s="39">
        <f t="shared" ref="P1950:Q1950" si="20">IFERROR(AVERAGE(P1791:P1949),"")</f>
        <v>961.1923077</v>
      </c>
      <c r="Q1950" s="41">
        <f t="shared" si="20"/>
        <v>70.74522293</v>
      </c>
      <c r="R1950" s="42"/>
      <c r="S1950" s="42"/>
      <c r="T1950" s="40">
        <f>IFERROR(__xludf.DUMMYFUNCTION("TO_DOLLARS(IFERROR(AVERAGE(T1791:T1949)))"),1900000.0)</f>
        <v>1900000</v>
      </c>
      <c r="U1950" s="42"/>
      <c r="V1950" s="1"/>
    </row>
    <row r="1951" ht="24.0" customHeight="1">
      <c r="A1951" s="3"/>
      <c r="B1951" s="43" t="s">
        <v>351</v>
      </c>
      <c r="C1951" s="44"/>
      <c r="D1951" s="45"/>
      <c r="E1951" s="45"/>
      <c r="F1951" s="44"/>
      <c r="G1951" s="46">
        <f>IFERROR(__xludf.DUMMYFUNCTION("TO_DOLLARS(IFERROR(MEDIAN(G1791:G1949)))"),935000.0)</f>
        <v>935000</v>
      </c>
      <c r="H1951" s="46">
        <f>IFERROR(__xludf.DUMMYFUNCTION("TO_DOLLARS(IFERROR(MEDIAN(H1791:H1949)))"),1046.5)</f>
        <v>1046.5</v>
      </c>
      <c r="I1951" s="46">
        <f>IFERROR(__xludf.DUMMYFUNCTION("TO_DOLLARS(IFERROR(MEDIAN(I1791:I1949)))"),1397.0)</f>
        <v>1397</v>
      </c>
      <c r="J1951" s="46">
        <f>IFERROR(__xludf.DUMMYFUNCTION("TO_DOLLARS(IFERROR(MEDIAN(J1791:J1949)))"),0.0)</f>
        <v>0</v>
      </c>
      <c r="K1951" s="44"/>
      <c r="L1951" s="45"/>
      <c r="M1951" s="45"/>
      <c r="N1951" s="45"/>
      <c r="O1951" s="45"/>
      <c r="P1951" s="45">
        <f t="shared" ref="P1951:Q1951" si="21">IFERROR(MEDIAN(P1791:P1949),"")</f>
        <v>895</v>
      </c>
      <c r="Q1951" s="47">
        <f t="shared" si="21"/>
        <v>46</v>
      </c>
      <c r="R1951" s="48"/>
      <c r="S1951" s="48"/>
      <c r="T1951" s="46">
        <f>IFERROR(__xludf.DUMMYFUNCTION("TO_DOLLARS(IFERROR(MEDIAN(T1791:T1949)))"),1900000.0)</f>
        <v>1900000</v>
      </c>
      <c r="U1951" s="48"/>
      <c r="V1951" s="1"/>
    </row>
    <row r="1952">
      <c r="A1952" s="1"/>
      <c r="B1952" s="2"/>
      <c r="C1952" s="2"/>
      <c r="D1952" s="2"/>
      <c r="E1952" s="2"/>
      <c r="F1952" s="2"/>
      <c r="G1952" s="2"/>
      <c r="H1952" s="2"/>
      <c r="I1952" s="2"/>
      <c r="J1952" s="2"/>
      <c r="K1952" s="2"/>
      <c r="L1952" s="2"/>
      <c r="M1952" s="2"/>
      <c r="N1952" s="2"/>
      <c r="O1952" s="2"/>
      <c r="P1952" s="2"/>
      <c r="Q1952" s="2"/>
      <c r="R1952" s="2"/>
      <c r="S1952" s="2"/>
      <c r="T1952" s="2"/>
      <c r="U1952" s="2"/>
      <c r="V1952" s="1"/>
    </row>
    <row r="1953" ht="24.0" customHeight="1">
      <c r="A1953" s="3"/>
      <c r="B1953" s="10" t="s">
        <v>363</v>
      </c>
      <c r="C1953" s="5"/>
      <c r="D1953" s="5"/>
      <c r="E1953" s="5"/>
      <c r="F1953" s="5"/>
      <c r="G1953" s="5"/>
      <c r="H1953" s="5"/>
      <c r="I1953" s="5"/>
      <c r="J1953" s="5"/>
      <c r="K1953" s="5"/>
      <c r="L1953" s="5"/>
      <c r="M1953" s="5"/>
      <c r="N1953" s="5"/>
      <c r="O1953" s="5"/>
      <c r="P1953" s="5"/>
      <c r="Q1953" s="5"/>
      <c r="R1953" s="5"/>
      <c r="S1953" s="5"/>
      <c r="T1953" s="5"/>
      <c r="U1953" s="6"/>
      <c r="V1953" s="1"/>
    </row>
    <row r="1954" ht="24.0" customHeight="1">
      <c r="A1954" s="3"/>
      <c r="B1954" s="11" t="s">
        <v>2</v>
      </c>
      <c r="C1954" s="11" t="s">
        <v>3</v>
      </c>
      <c r="D1954" s="12" t="s">
        <v>4</v>
      </c>
      <c r="E1954" s="12" t="s">
        <v>5</v>
      </c>
      <c r="F1954" s="11" t="s">
        <v>6</v>
      </c>
      <c r="G1954" s="13" t="s">
        <v>7</v>
      </c>
      <c r="H1954" s="13" t="s">
        <v>8</v>
      </c>
      <c r="I1954" s="13" t="s">
        <v>9</v>
      </c>
      <c r="J1954" s="13" t="s">
        <v>10</v>
      </c>
      <c r="K1954" s="11" t="s">
        <v>11</v>
      </c>
      <c r="L1954" s="12" t="s">
        <v>12</v>
      </c>
      <c r="M1954" s="12" t="s">
        <v>13</v>
      </c>
      <c r="N1954" s="12" t="s">
        <v>14</v>
      </c>
      <c r="O1954" s="12" t="s">
        <v>15</v>
      </c>
      <c r="P1954" s="12" t="s">
        <v>16</v>
      </c>
      <c r="Q1954" s="13" t="s">
        <v>17</v>
      </c>
      <c r="R1954" s="11" t="s">
        <v>18</v>
      </c>
      <c r="S1954" s="11" t="s">
        <v>19</v>
      </c>
      <c r="T1954" s="13" t="s">
        <v>20</v>
      </c>
      <c r="U1954" s="11" t="s">
        <v>21</v>
      </c>
      <c r="V1954" s="1"/>
    </row>
    <row r="1955" ht="24.0" customHeight="1">
      <c r="A1955" s="1"/>
      <c r="B1955" s="14" t="str">
        <f>HYPERLINK("https://www.compass.com/listing/55-east-9th-street-unit-1hj-manhattan-ny-10003/70965853214075937/view?agent_id=610d3f3370540700019b0833","55 E 9th St, Unit 1HJ")</f>
        <v>55 E 9th St, Unit 1HJ</v>
      </c>
      <c r="C1955" s="15" t="s">
        <v>364</v>
      </c>
      <c r="D1955" s="16" t="s">
        <v>23</v>
      </c>
      <c r="E1955" s="17" t="str">
        <f>HYPERLINK("https://www.compass.com/building/55-e-9th-st-manhattan-ny-10003/292785859109861301/","55 E 9th St")</f>
        <v>55 E 9th St</v>
      </c>
      <c r="F1955" s="15" t="s">
        <v>43</v>
      </c>
      <c r="G1955" s="18">
        <v>1920000.0</v>
      </c>
      <c r="H1955" s="18">
        <v>1371.0</v>
      </c>
      <c r="I1955" s="18">
        <v>2389.0</v>
      </c>
      <c r="J1955" s="18">
        <v>0.0</v>
      </c>
      <c r="K1955" s="15" t="s">
        <v>25</v>
      </c>
      <c r="L1955" s="16">
        <v>6.0</v>
      </c>
      <c r="M1955" s="16">
        <v>2.0</v>
      </c>
      <c r="N1955" s="20"/>
      <c r="O1955" s="20"/>
      <c r="P1955" s="49">
        <v>1400.0</v>
      </c>
      <c r="Q1955" s="21"/>
      <c r="R1955" s="22">
        <v>43656.0</v>
      </c>
      <c r="S1955" s="23"/>
      <c r="T1955" s="19"/>
      <c r="U1955" s="23"/>
      <c r="V1955" s="1"/>
    </row>
    <row r="1956" ht="24.0" customHeight="1">
      <c r="A1956" s="1"/>
      <c r="B1956" s="24" t="str">
        <f>HYPERLINK("https://www.compass.com/listing/101-west-12th-street-unit-7w-manhattan-ny-10011/1386324540429350073/view?agent_id=610d3f3370540700019b0833","101 W 12th St, Unit 7W")</f>
        <v>101 W 12th St, Unit 7W</v>
      </c>
      <c r="C1956" s="25" t="s">
        <v>365</v>
      </c>
      <c r="D1956" s="26" t="s">
        <v>23</v>
      </c>
      <c r="E1956" s="27" t="str">
        <f>HYPERLINK("https://www.compass.com/building/the-john-adams-manhattan-ny/281904092027046869/","The John Adams")</f>
        <v>The John Adams</v>
      </c>
      <c r="F1956" s="25" t="s">
        <v>26</v>
      </c>
      <c r="G1956" s="28">
        <v>1450000.0</v>
      </c>
      <c r="H1956" s="29"/>
      <c r="I1956" s="28">
        <v>2158.0</v>
      </c>
      <c r="J1956" s="28">
        <v>0.0</v>
      </c>
      <c r="K1956" s="25" t="s">
        <v>25</v>
      </c>
      <c r="L1956" s="26">
        <v>4.0</v>
      </c>
      <c r="M1956" s="26">
        <v>2.0</v>
      </c>
      <c r="N1956" s="26">
        <v>1.0</v>
      </c>
      <c r="O1956" s="26">
        <v>0.0</v>
      </c>
      <c r="P1956" s="30"/>
      <c r="Q1956" s="31"/>
      <c r="R1956" s="32">
        <v>45282.0</v>
      </c>
      <c r="S1956" s="33"/>
      <c r="T1956" s="29"/>
      <c r="U1956" s="33"/>
      <c r="V1956" s="1"/>
    </row>
    <row r="1957" ht="24.0" customHeight="1">
      <c r="A1957" s="1"/>
      <c r="B1957" s="24" t="str">
        <f>HYPERLINK("https://www.compass.com/listing/198-east-7th-street-unit-res-manhattan-ny-10009/1424624515049512737/view?agent_id=610d3f3370540700019b0833","198 E 7th St, Unit RES")</f>
        <v>198 E 7th St, Unit RES</v>
      </c>
      <c r="C1957" s="25" t="s">
        <v>364</v>
      </c>
      <c r="D1957" s="26" t="s">
        <v>23</v>
      </c>
      <c r="E1957" s="27" t="str">
        <f>HYPERLINK("https://www.compass.com/building/198-e-7th-st-manhattan-ny-10009/281898427619486693/","198 E 7th St")</f>
        <v>198 E 7th St</v>
      </c>
      <c r="F1957" s="25" t="s">
        <v>24</v>
      </c>
      <c r="G1957" s="28">
        <v>1259000.0</v>
      </c>
      <c r="H1957" s="29"/>
      <c r="I1957" s="28">
        <v>1183.0</v>
      </c>
      <c r="J1957" s="28">
        <v>0.0</v>
      </c>
      <c r="K1957" s="25" t="s">
        <v>25</v>
      </c>
      <c r="L1957" s="26">
        <v>5.0</v>
      </c>
      <c r="M1957" s="26">
        <v>2.0</v>
      </c>
      <c r="N1957" s="30"/>
      <c r="O1957" s="30"/>
      <c r="P1957" s="30"/>
      <c r="Q1957" s="31"/>
      <c r="R1957" s="32">
        <v>45217.0</v>
      </c>
      <c r="S1957" s="33"/>
      <c r="T1957" s="29"/>
      <c r="U1957" s="33"/>
      <c r="V1957" s="1"/>
    </row>
    <row r="1958" ht="24.0" customHeight="1">
      <c r="A1958" s="1"/>
      <c r="B1958" s="24" t="str">
        <f>HYPERLINK("https://www.compass.com/listing/107-morton-street-unit-5b-manhattan-ny-10014/1277269726098291161/view?agent_id=610d3f3370540700019b0833","107 Morton St, Unit 5B")</f>
        <v>107 Morton St, Unit 5B</v>
      </c>
      <c r="C1958" s="25" t="s">
        <v>365</v>
      </c>
      <c r="D1958" s="26" t="s">
        <v>23</v>
      </c>
      <c r="E1958" s="27" t="str">
        <f>HYPERLINK("https://www.compass.com/building/west-village-houses-manhattan-ny/282062310921504101/","West Village Houses")</f>
        <v>West Village Houses</v>
      </c>
      <c r="F1958" s="25" t="s">
        <v>26</v>
      </c>
      <c r="G1958" s="28">
        <v>1195000.0</v>
      </c>
      <c r="H1958" s="29"/>
      <c r="I1958" s="28">
        <v>1425.0</v>
      </c>
      <c r="J1958" s="28">
        <v>0.0</v>
      </c>
      <c r="K1958" s="25" t="s">
        <v>25</v>
      </c>
      <c r="L1958" s="26">
        <v>5.0</v>
      </c>
      <c r="M1958" s="26">
        <v>2.0</v>
      </c>
      <c r="N1958" s="26">
        <v>1.0</v>
      </c>
      <c r="O1958" s="30"/>
      <c r="P1958" s="30"/>
      <c r="Q1958" s="31"/>
      <c r="R1958" s="32">
        <v>45054.0</v>
      </c>
      <c r="S1958" s="33"/>
      <c r="T1958" s="29"/>
      <c r="U1958" s="33"/>
      <c r="V1958" s="1"/>
    </row>
    <row r="1959" ht="24.0" customHeight="1">
      <c r="A1959" s="1"/>
      <c r="B1959" s="24" t="str">
        <f>HYPERLINK("https://www.compass.com/listing/210-east-17th-street-unit-4a-manhattan-ny-10003/369404304817009441/view?agent_id=610d3f3370540700019b0833","210 E 17th St, Unit 4A")</f>
        <v>210 E 17th St, Unit 4A</v>
      </c>
      <c r="C1959" s="25" t="s">
        <v>364</v>
      </c>
      <c r="D1959" s="26" t="s">
        <v>23</v>
      </c>
      <c r="E1959" s="27" t="str">
        <f>HYPERLINK("https://www.compass.com/building/210-e-17th-st-manhattan-ny-10003/281890680261842085/","210 E 17th St")</f>
        <v>210 E 17th St</v>
      </c>
      <c r="F1959" s="25" t="s">
        <v>48</v>
      </c>
      <c r="G1959" s="28">
        <v>830000.0</v>
      </c>
      <c r="H1959" s="29"/>
      <c r="I1959" s="28">
        <v>830347.0</v>
      </c>
      <c r="J1959" s="28">
        <v>9948000.0</v>
      </c>
      <c r="K1959" s="25" t="s">
        <v>25</v>
      </c>
      <c r="L1959" s="26">
        <v>5.0</v>
      </c>
      <c r="M1959" s="26">
        <v>2.0</v>
      </c>
      <c r="N1959" s="26">
        <v>1.0</v>
      </c>
      <c r="O1959" s="30"/>
      <c r="P1959" s="30"/>
      <c r="Q1959" s="31"/>
      <c r="R1959" s="32">
        <v>43763.0</v>
      </c>
      <c r="S1959" s="33"/>
      <c r="T1959" s="29"/>
      <c r="U1959" s="33"/>
      <c r="V1959" s="1"/>
    </row>
    <row r="1960" ht="24.0" customHeight="1">
      <c r="A1960" s="1"/>
      <c r="B1960" s="24" t="str">
        <f>HYPERLINK("https://www.compass.com/listing/504-east-6th-street-unit-3-manhattan-ny-10009/1780470670470854993/view?agent_id=610d3f3370540700019b0833","504 E 6th St, Unit 3")</f>
        <v>504 E 6th St, Unit 3</v>
      </c>
      <c r="C1960" s="25" t="s">
        <v>365</v>
      </c>
      <c r="D1960" s="26" t="s">
        <v>23</v>
      </c>
      <c r="E1960" s="27" t="str">
        <f>HYPERLINK("https://www.compass.com/building/504-e-6th-st-manhattan-ny-10009/281900419830003093/","504 E 6th St")</f>
        <v>504 E 6th St</v>
      </c>
      <c r="F1960" s="25" t="s">
        <v>24</v>
      </c>
      <c r="G1960" s="28">
        <v>899000.0</v>
      </c>
      <c r="H1960" s="29"/>
      <c r="I1960" s="28">
        <v>1250.0</v>
      </c>
      <c r="J1960" s="28">
        <v>0.0</v>
      </c>
      <c r="K1960" s="25" t="s">
        <v>25</v>
      </c>
      <c r="L1960" s="26">
        <v>4.0</v>
      </c>
      <c r="M1960" s="26">
        <v>2.0</v>
      </c>
      <c r="N1960" s="26">
        <v>1.0</v>
      </c>
      <c r="O1960" s="26">
        <v>0.0</v>
      </c>
      <c r="P1960" s="30"/>
      <c r="Q1960" s="31"/>
      <c r="R1960" s="32">
        <v>45837.0</v>
      </c>
      <c r="S1960" s="33"/>
      <c r="T1960" s="29"/>
      <c r="U1960" s="33"/>
      <c r="V1960" s="1"/>
    </row>
    <row r="1961" ht="24.0" customHeight="1">
      <c r="A1961" s="1"/>
      <c r="B1961" s="24" t="str">
        <f>HYPERLINK("https://www.compass.com/listing/21-east-22nd-street-unit-9f-manhattan-ny-10010/688373052685385761/view?agent_id=610d3f3370540700019b0833","21 E 22nd St, Unit 9F")</f>
        <v>21 E 22nd St, Unit 9F</v>
      </c>
      <c r="C1961" s="25" t="s">
        <v>364</v>
      </c>
      <c r="D1961" s="26" t="s">
        <v>23</v>
      </c>
      <c r="E1961" s="27" t="str">
        <f>HYPERLINK("https://www.compass.com/building/21-e-22nd-st-manhattan-ny-10010/281902113280245685/","21 E 22nd St")</f>
        <v>21 E 22nd St</v>
      </c>
      <c r="F1961" s="25" t="s">
        <v>115</v>
      </c>
      <c r="G1961" s="28">
        <v>1550000.0</v>
      </c>
      <c r="H1961" s="29"/>
      <c r="I1961" s="28">
        <v>1838.0</v>
      </c>
      <c r="J1961" s="28">
        <v>0.0</v>
      </c>
      <c r="K1961" s="25" t="s">
        <v>25</v>
      </c>
      <c r="L1961" s="26">
        <v>5.0</v>
      </c>
      <c r="M1961" s="26">
        <v>2.0</v>
      </c>
      <c r="N1961" s="26">
        <v>1.0</v>
      </c>
      <c r="O1961" s="30"/>
      <c r="P1961" s="30"/>
      <c r="Q1961" s="31"/>
      <c r="R1961" s="32">
        <v>44239.0</v>
      </c>
      <c r="S1961" s="33"/>
      <c r="T1961" s="29"/>
      <c r="U1961" s="33"/>
      <c r="V1961" s="1"/>
    </row>
    <row r="1962" ht="24.0" customHeight="1">
      <c r="A1962" s="1"/>
      <c r="B1962" s="24" t="str">
        <f>HYPERLINK("https://www.compass.com/listing/131-thompson-street-unit-6c-manhattan-ny-10012/1104390130399210321/view?agent_id=610d3f3370540700019b0833","131 Thompson St, Unit 6C")</f>
        <v>131 Thompson St, Unit 6C</v>
      </c>
      <c r="C1962" s="25" t="s">
        <v>364</v>
      </c>
      <c r="D1962" s="26" t="s">
        <v>23</v>
      </c>
      <c r="E1962" s="27" t="str">
        <f>HYPERLINK("https://www.compass.com/building/131-thompson-st-manhattan-ny-10012/281912851327642069/","131 Thompson St")</f>
        <v>131 Thompson St</v>
      </c>
      <c r="F1962" s="25" t="s">
        <v>53</v>
      </c>
      <c r="G1962" s="28">
        <v>1195000.0</v>
      </c>
      <c r="H1962" s="29"/>
      <c r="I1962" s="28">
        <v>1402.0</v>
      </c>
      <c r="J1962" s="28">
        <v>0.0</v>
      </c>
      <c r="K1962" s="25" t="s">
        <v>25</v>
      </c>
      <c r="L1962" s="26">
        <v>4.0</v>
      </c>
      <c r="M1962" s="26">
        <v>2.0</v>
      </c>
      <c r="N1962" s="26">
        <v>1.0</v>
      </c>
      <c r="O1962" s="26">
        <v>0.0</v>
      </c>
      <c r="P1962" s="30"/>
      <c r="Q1962" s="31"/>
      <c r="R1962" s="32">
        <v>44881.0</v>
      </c>
      <c r="S1962" s="33"/>
      <c r="T1962" s="29"/>
      <c r="U1962" s="33"/>
      <c r="V1962" s="1"/>
    </row>
    <row r="1963" ht="24.0" customHeight="1">
      <c r="A1963" s="1"/>
      <c r="B1963" s="24" t="str">
        <f>HYPERLINK("https://www.compass.com/listing/415-9th-street-unit-33-brooklyn-ny-11215/1734245997637074681/view?agent_id=610d3f3370540700019b0833","415 9th St, Unit 33")</f>
        <v>415 9th St, Unit 33</v>
      </c>
      <c r="C1963" s="25" t="s">
        <v>364</v>
      </c>
      <c r="D1963" s="26" t="s">
        <v>23</v>
      </c>
      <c r="E1963" s="27" t="str">
        <f>HYPERLINK("https://www.compass.com/building/415-9th-st-brooklyn-ny-11215/293396935463750933/","415 9th St")</f>
        <v>415 9th St</v>
      </c>
      <c r="F1963" s="25" t="s">
        <v>40</v>
      </c>
      <c r="G1963" s="28" t="s">
        <v>366</v>
      </c>
      <c r="H1963" s="29"/>
      <c r="I1963" s="28">
        <v>1550.0</v>
      </c>
      <c r="J1963" s="28">
        <v>0.0</v>
      </c>
      <c r="K1963" s="25" t="s">
        <v>25</v>
      </c>
      <c r="L1963" s="26">
        <v>4.0</v>
      </c>
      <c r="M1963" s="26">
        <v>2.0</v>
      </c>
      <c r="N1963" s="26">
        <v>1.0</v>
      </c>
      <c r="O1963" s="30"/>
      <c r="P1963" s="26">
        <v>796.0</v>
      </c>
      <c r="Q1963" s="31"/>
      <c r="R1963" s="32">
        <v>45678.0</v>
      </c>
      <c r="S1963" s="33"/>
      <c r="T1963" s="29"/>
      <c r="U1963" s="33"/>
      <c r="V1963" s="1"/>
    </row>
    <row r="1964" ht="24.0" customHeight="1">
      <c r="A1964" s="1"/>
      <c r="B1964" s="24" t="str">
        <f>HYPERLINK("https://www.compass.com/listing/66-washington-avenue-unit-3r-brooklyn-ny-11205/1761186779906885057/view?agent_id=610d3f3370540700019b0833","66 Washington Ave, Unit 3R")</f>
        <v>66 Washington Ave, Unit 3R</v>
      </c>
      <c r="C1964" s="25" t="s">
        <v>364</v>
      </c>
      <c r="D1964" s="26" t="s">
        <v>23</v>
      </c>
      <c r="E1964" s="27" t="str">
        <f>HYPERLINK("https://www.compass.com/building/66-washington-ave-brooklyn-ny-11205/282510173996668885/","66 Washington Ave")</f>
        <v>66 Washington Ave</v>
      </c>
      <c r="F1964" s="25" t="s">
        <v>30</v>
      </c>
      <c r="G1964" s="28">
        <v>1995000.0</v>
      </c>
      <c r="H1964" s="28">
        <v>1099.0</v>
      </c>
      <c r="I1964" s="28">
        <v>2779.0</v>
      </c>
      <c r="J1964" s="28">
        <v>21353.0</v>
      </c>
      <c r="K1964" s="25" t="s">
        <v>28</v>
      </c>
      <c r="L1964" s="26">
        <v>4.0</v>
      </c>
      <c r="M1964" s="26">
        <v>2.0</v>
      </c>
      <c r="N1964" s="26">
        <v>1.0</v>
      </c>
      <c r="O1964" s="26">
        <v>0.0</v>
      </c>
      <c r="P1964" s="34">
        <v>1816.0</v>
      </c>
      <c r="Q1964" s="31"/>
      <c r="R1964" s="32">
        <v>45682.0</v>
      </c>
      <c r="S1964" s="33"/>
      <c r="T1964" s="29"/>
      <c r="U1964" s="33"/>
      <c r="V1964" s="1"/>
    </row>
    <row r="1965" ht="24.0" customHeight="1">
      <c r="A1965" s="1"/>
      <c r="B1965" s="24" t="str">
        <f>HYPERLINK("https://www.compass.com/listing/22-north-6th-street-unit-4p-brooklyn-ny-11249/1785172175292888497/view?agent_id=610d3f3370540700019b0833","22 N 6th St, Unit 4P")</f>
        <v>22 N 6th St, Unit 4P</v>
      </c>
      <c r="C1965" s="25" t="s">
        <v>365</v>
      </c>
      <c r="D1965" s="26" t="s">
        <v>23</v>
      </c>
      <c r="E1965" s="27" t="str">
        <f>HYPERLINK("https://www.compass.com/building/the-edge-south-tower-brooklyn-ny/293425924999814037/","The Edge - South Tower")</f>
        <v>The Edge - South Tower</v>
      </c>
      <c r="F1965" s="25" t="s">
        <v>46</v>
      </c>
      <c r="G1965" s="28">
        <v>1495000.0</v>
      </c>
      <c r="H1965" s="28">
        <v>1703.0</v>
      </c>
      <c r="I1965" s="28">
        <v>1296.0</v>
      </c>
      <c r="J1965" s="28">
        <v>72.0</v>
      </c>
      <c r="K1965" s="25" t="s">
        <v>28</v>
      </c>
      <c r="L1965" s="26">
        <v>3.0</v>
      </c>
      <c r="M1965" s="26">
        <v>2.0</v>
      </c>
      <c r="N1965" s="26">
        <v>1.0</v>
      </c>
      <c r="O1965" s="30"/>
      <c r="P1965" s="26">
        <v>878.0</v>
      </c>
      <c r="Q1965" s="31"/>
      <c r="R1965" s="32">
        <v>45831.0</v>
      </c>
      <c r="S1965" s="32">
        <v>45714.0</v>
      </c>
      <c r="T1965" s="29"/>
      <c r="U1965" s="33"/>
      <c r="V1965" s="1"/>
    </row>
    <row r="1966" ht="24.0" customHeight="1">
      <c r="A1966" s="1"/>
      <c r="B1966" s="24" t="str">
        <f>HYPERLINK("https://www.compass.com/listing/211-berry-street-unit-2-brooklyn-ny-11249/1623482526003186561/view?agent_id=610d3f3370540700019b0833","211 Berry St, Unit 2")</f>
        <v>211 Berry St, Unit 2</v>
      </c>
      <c r="C1966" s="25" t="s">
        <v>365</v>
      </c>
      <c r="D1966" s="26" t="s">
        <v>23</v>
      </c>
      <c r="E1966" s="27" t="str">
        <f>HYPERLINK("https://www.compass.com/building/the-northside-condo-brooklyn-ny/293421500210413765/","The Northside Condo")</f>
        <v>The Northside Condo</v>
      </c>
      <c r="F1966" s="25" t="s">
        <v>46</v>
      </c>
      <c r="G1966" s="28">
        <v>1395000.0</v>
      </c>
      <c r="H1966" s="28">
        <v>1453.0</v>
      </c>
      <c r="I1966" s="28">
        <v>1066.0</v>
      </c>
      <c r="J1966" s="28">
        <v>3807.0</v>
      </c>
      <c r="K1966" s="25" t="s">
        <v>28</v>
      </c>
      <c r="L1966" s="26">
        <v>3.0</v>
      </c>
      <c r="M1966" s="26">
        <v>2.0</v>
      </c>
      <c r="N1966" s="26">
        <v>1.0</v>
      </c>
      <c r="O1966" s="30"/>
      <c r="P1966" s="26">
        <v>960.0</v>
      </c>
      <c r="Q1966" s="31"/>
      <c r="R1966" s="32">
        <v>45798.0</v>
      </c>
      <c r="S1966" s="33"/>
      <c r="T1966" s="29"/>
      <c r="U1966" s="33"/>
      <c r="V1966" s="1"/>
    </row>
    <row r="1967" ht="24.0" customHeight="1">
      <c r="A1967" s="1"/>
      <c r="B1967" s="24" t="str">
        <f>HYPERLINK("https://www.compass.com/listing/55-east-76th-street-unit-1d-manhattan-ny-10075/1517484953783033889/view?agent_id=610d3f3370540700019b0833","55 E 76th St, Unit 1D")</f>
        <v>55 E 76th St, Unit 1D</v>
      </c>
      <c r="C1967" s="25" t="s">
        <v>365</v>
      </c>
      <c r="D1967" s="26" t="s">
        <v>23</v>
      </c>
      <c r="E1967" s="27" t="str">
        <f>HYPERLINK("https://www.compass.com/building/55-e-76th-st-manhattan-ny-10075/307446726931453973/","55 E 76th St")</f>
        <v>55 E 76th St</v>
      </c>
      <c r="F1967" s="25" t="s">
        <v>64</v>
      </c>
      <c r="G1967" s="28">
        <v>950000.0</v>
      </c>
      <c r="H1967" s="29"/>
      <c r="I1967" s="28">
        <v>1844.0</v>
      </c>
      <c r="J1967" s="28">
        <v>0.0</v>
      </c>
      <c r="K1967" s="25" t="s">
        <v>25</v>
      </c>
      <c r="L1967" s="26">
        <v>5.0</v>
      </c>
      <c r="M1967" s="26">
        <v>2.0</v>
      </c>
      <c r="N1967" s="26">
        <v>1.0</v>
      </c>
      <c r="O1967" s="26">
        <v>0.0</v>
      </c>
      <c r="P1967" s="30"/>
      <c r="Q1967" s="31"/>
      <c r="R1967" s="32">
        <v>45358.0</v>
      </c>
      <c r="S1967" s="33"/>
      <c r="T1967" s="29"/>
      <c r="U1967" s="33"/>
      <c r="V1967" s="1"/>
    </row>
    <row r="1968" ht="24.0" customHeight="1">
      <c r="A1968" s="1"/>
      <c r="B1968" s="24" t="str">
        <f>HYPERLINK("https://www.compass.com/listing/1160-3rd-avenue-unit-10d-manhattan-ny-10065/1515241649658919489/view?agent_id=610d3f3370540700019b0833","1160 3rd Ave, Unit 10D")</f>
        <v>1160 3rd Ave, Unit 10D</v>
      </c>
      <c r="C1968" s="25" t="s">
        <v>364</v>
      </c>
      <c r="D1968" s="26" t="s">
        <v>23</v>
      </c>
      <c r="E1968" s="27" t="str">
        <f>HYPERLINK("https://www.compass.com/building/frost-house-manhattan-ny/294841838984617765/","Frost House")</f>
        <v>Frost House</v>
      </c>
      <c r="F1968" s="25" t="s">
        <v>64</v>
      </c>
      <c r="G1968" s="28">
        <v>899999.0</v>
      </c>
      <c r="H1968" s="29"/>
      <c r="I1968" s="28">
        <v>2685.0</v>
      </c>
      <c r="J1968" s="28">
        <v>0.0</v>
      </c>
      <c r="K1968" s="25" t="s">
        <v>25</v>
      </c>
      <c r="L1968" s="26">
        <v>5.0</v>
      </c>
      <c r="M1968" s="26">
        <v>2.0</v>
      </c>
      <c r="N1968" s="26">
        <v>1.0</v>
      </c>
      <c r="O1968" s="30"/>
      <c r="P1968" s="30"/>
      <c r="Q1968" s="31"/>
      <c r="R1968" s="32">
        <v>45355.0</v>
      </c>
      <c r="S1968" s="33"/>
      <c r="T1968" s="29"/>
      <c r="U1968" s="33"/>
      <c r="V1968" s="1"/>
    </row>
    <row r="1969" ht="24.0" customHeight="1">
      <c r="A1969" s="1"/>
      <c r="B1969" s="24" t="str">
        <f>HYPERLINK("https://www.compass.com/listing/55-east-76th-street-unit-1d-manhattan-ny-10075/1205955951255599273/view?agent_id=610d3f3370540700019b0833","55 E 76th St, Unit 1D")</f>
        <v>55 E 76th St, Unit 1D</v>
      </c>
      <c r="C1969" s="25" t="s">
        <v>365</v>
      </c>
      <c r="D1969" s="26" t="s">
        <v>23</v>
      </c>
      <c r="E1969" s="27" t="str">
        <f>HYPERLINK("https://www.compass.com/building/55-e-76th-st-manhattan-ny-10075/307446726931453973/","55 E 76th St")</f>
        <v>55 E 76th St</v>
      </c>
      <c r="F1969" s="25" t="s">
        <v>64</v>
      </c>
      <c r="G1969" s="28">
        <v>1150000.0</v>
      </c>
      <c r="H1969" s="29"/>
      <c r="I1969" s="28">
        <v>1844.0</v>
      </c>
      <c r="J1969" s="28">
        <v>0.0</v>
      </c>
      <c r="K1969" s="25" t="s">
        <v>25</v>
      </c>
      <c r="L1969" s="26">
        <v>5.0</v>
      </c>
      <c r="M1969" s="26">
        <v>2.0</v>
      </c>
      <c r="N1969" s="26">
        <v>1.0</v>
      </c>
      <c r="O1969" s="26">
        <v>0.0</v>
      </c>
      <c r="P1969" s="30"/>
      <c r="Q1969" s="31"/>
      <c r="R1969" s="32">
        <v>45344.0</v>
      </c>
      <c r="S1969" s="33"/>
      <c r="T1969" s="29"/>
      <c r="U1969" s="33"/>
      <c r="V1969" s="1"/>
    </row>
    <row r="1970" ht="24.0" customHeight="1">
      <c r="A1970" s="1"/>
      <c r="B1970" s="24" t="str">
        <f>HYPERLINK("https://www.compass.com/listing/190-green-street-unit-401-brooklyn-ny-11222/1816132693714326457/view?agent_id=610d3f3370540700019b0833","190 Green St, Unit 401")</f>
        <v>190 Green St, Unit 401</v>
      </c>
      <c r="C1970" s="25" t="s">
        <v>364</v>
      </c>
      <c r="D1970" s="26" t="s">
        <v>23</v>
      </c>
      <c r="E1970" s="27" t="str">
        <f>HYPERLINK("https://www.compass.com/building/the-glass-house-on-green-street-brooklyn-ny/282416588269907925/","The Glass House on Green Street")</f>
        <v>The Glass House on Green Street</v>
      </c>
      <c r="F1970" s="25" t="s">
        <v>56</v>
      </c>
      <c r="G1970" s="28">
        <v>1500000.0</v>
      </c>
      <c r="H1970" s="28">
        <v>1500.0</v>
      </c>
      <c r="I1970" s="28">
        <v>1824.0</v>
      </c>
      <c r="J1970" s="28">
        <v>12269.0</v>
      </c>
      <c r="K1970" s="25" t="s">
        <v>28</v>
      </c>
      <c r="L1970" s="26">
        <v>4.0</v>
      </c>
      <c r="M1970" s="26">
        <v>2.0</v>
      </c>
      <c r="N1970" s="26">
        <v>1.0</v>
      </c>
      <c r="O1970" s="26">
        <v>0.0</v>
      </c>
      <c r="P1970" s="34">
        <v>1000.0</v>
      </c>
      <c r="Q1970" s="31"/>
      <c r="R1970" s="32">
        <v>45770.0</v>
      </c>
      <c r="S1970" s="33"/>
      <c r="T1970" s="29"/>
      <c r="U1970" s="33"/>
      <c r="V1970" s="1"/>
    </row>
    <row r="1971" ht="24.0" customHeight="1">
      <c r="A1971" s="1"/>
      <c r="B1971" s="24" t="str">
        <f>HYPERLINK("https://www.compass.com/listing/1136-1st-avenue-manhattan-ny-10065/608292573528093841/view?agent_id=610d3f3370540700019b0833","1136 1st Ave, Unit 3")</f>
        <v>1136 1st Ave, Unit 3</v>
      </c>
      <c r="C1971" s="25" t="s">
        <v>364</v>
      </c>
      <c r="D1971" s="26" t="s">
        <v>23</v>
      </c>
      <c r="E1971" s="27" t="str">
        <f>HYPERLINK("https://www.compass.com/building/1136-1st-ave-manhattan-ny-10065/282035322680787605/","1136 1st Ave")</f>
        <v>1136 1st Ave</v>
      </c>
      <c r="F1971" s="25" t="s">
        <v>64</v>
      </c>
      <c r="G1971" s="28">
        <v>1000.0</v>
      </c>
      <c r="H1971" s="29"/>
      <c r="I1971" s="28">
        <v>2.0</v>
      </c>
      <c r="J1971" s="28">
        <v>12.0</v>
      </c>
      <c r="K1971" s="25" t="s">
        <v>36</v>
      </c>
      <c r="L1971" s="26">
        <v>2.0</v>
      </c>
      <c r="M1971" s="26">
        <v>2.0</v>
      </c>
      <c r="N1971" s="26">
        <v>1.0</v>
      </c>
      <c r="O1971" s="26">
        <v>0.0</v>
      </c>
      <c r="P1971" s="30"/>
      <c r="Q1971" s="31"/>
      <c r="R1971" s="32">
        <v>44091.0</v>
      </c>
      <c r="S1971" s="33"/>
      <c r="T1971" s="29"/>
      <c r="U1971" s="33"/>
      <c r="V1971" s="1"/>
    </row>
    <row r="1972" ht="24.0" customHeight="1">
      <c r="A1972" s="1"/>
      <c r="B1972" s="24" t="str">
        <f>HYPERLINK("https://www.compass.com/listing/305-east-88th-street-unit-4a-manhattan-ny-10128/1810475224521956265/view?agent_id=610d3f3370540700019b0833","305 E 88th St, Unit 4A")</f>
        <v>305 E 88th St, Unit 4A</v>
      </c>
      <c r="C1972" s="25" t="s">
        <v>365</v>
      </c>
      <c r="D1972" s="26" t="s">
        <v>23</v>
      </c>
      <c r="E1972" s="27" t="str">
        <f>HYPERLINK("https://www.compass.com/building/305-e-88th-st-manhattan-ny-10128/282050901131159461/","305 E 88th St")</f>
        <v>305 E 88th St</v>
      </c>
      <c r="F1972" s="25" t="s">
        <v>44</v>
      </c>
      <c r="G1972" s="28">
        <v>900000.0</v>
      </c>
      <c r="H1972" s="29"/>
      <c r="I1972" s="28">
        <v>1816.0</v>
      </c>
      <c r="J1972" s="28">
        <v>0.0</v>
      </c>
      <c r="K1972" s="25" t="s">
        <v>25</v>
      </c>
      <c r="L1972" s="26">
        <v>4.0</v>
      </c>
      <c r="M1972" s="26">
        <v>2.0</v>
      </c>
      <c r="N1972" s="26">
        <v>1.0</v>
      </c>
      <c r="O1972" s="30"/>
      <c r="P1972" s="30"/>
      <c r="Q1972" s="31"/>
      <c r="R1972" s="32">
        <v>45782.0</v>
      </c>
      <c r="S1972" s="33"/>
      <c r="T1972" s="29"/>
      <c r="U1972" s="33"/>
      <c r="V1972" s="1"/>
    </row>
    <row r="1973" ht="24.0" customHeight="1">
      <c r="A1973" s="1"/>
      <c r="B1973" s="24" t="str">
        <f>HYPERLINK("https://www.compass.com/listing/118-union-street-unit-9a-brooklyn-ny-11231/1714853586117415441/view?agent_id=610d3f3370540700019b0833","118 Union St, Unit 9A")</f>
        <v>118 Union St, Unit 9A</v>
      </c>
      <c r="C1973" s="25" t="s">
        <v>365</v>
      </c>
      <c r="D1973" s="26" t="s">
        <v>23</v>
      </c>
      <c r="E1973" s="27" t="str">
        <f t="shared" ref="E1973:E1974" si="22">HYPERLINK("https://www.compass.com/building/fifth-columbia-terrace-brooklyn-ny/293416757878696997/","Fifth Columbia Terrace")</f>
        <v>Fifth Columbia Terrace</v>
      </c>
      <c r="F1973" s="25" t="s">
        <v>122</v>
      </c>
      <c r="G1973" s="28">
        <v>1100000.0</v>
      </c>
      <c r="H1973" s="28">
        <v>1299.0</v>
      </c>
      <c r="I1973" s="28">
        <v>719.0</v>
      </c>
      <c r="J1973" s="28">
        <v>3396.0</v>
      </c>
      <c r="K1973" s="25" t="s">
        <v>28</v>
      </c>
      <c r="L1973" s="26">
        <v>3.0</v>
      </c>
      <c r="M1973" s="26">
        <v>2.0</v>
      </c>
      <c r="N1973" s="26">
        <v>1.0</v>
      </c>
      <c r="O1973" s="30"/>
      <c r="P1973" s="26">
        <v>847.0</v>
      </c>
      <c r="Q1973" s="31"/>
      <c r="R1973" s="32">
        <v>45628.0</v>
      </c>
      <c r="S1973" s="33"/>
      <c r="T1973" s="29"/>
      <c r="U1973" s="33"/>
      <c r="V1973" s="1"/>
    </row>
    <row r="1974" ht="24.0" customHeight="1">
      <c r="A1974" s="1"/>
      <c r="B1974" s="24" t="str">
        <f>HYPERLINK("https://www.compass.com/listing/118-union-street-unit-9a-brooklyn-ny-11231/1730638424085241977/view?agent_id=610d3f3370540700019b0833","118 Union St, Unit 9A")</f>
        <v>118 Union St, Unit 9A</v>
      </c>
      <c r="C1974" s="25" t="s">
        <v>365</v>
      </c>
      <c r="D1974" s="26" t="s">
        <v>23</v>
      </c>
      <c r="E1974" s="27" t="str">
        <f t="shared" si="22"/>
        <v>Fifth Columbia Terrace</v>
      </c>
      <c r="F1974" s="25" t="s">
        <v>122</v>
      </c>
      <c r="G1974" s="28">
        <v>1100000.0</v>
      </c>
      <c r="H1974" s="28">
        <v>1299.0</v>
      </c>
      <c r="I1974" s="28">
        <v>719.0</v>
      </c>
      <c r="J1974" s="28">
        <v>3396.0</v>
      </c>
      <c r="K1974" s="25" t="s">
        <v>28</v>
      </c>
      <c r="L1974" s="26">
        <v>3.0</v>
      </c>
      <c r="M1974" s="26">
        <v>2.0</v>
      </c>
      <c r="N1974" s="26">
        <v>1.0</v>
      </c>
      <c r="O1974" s="30"/>
      <c r="P1974" s="26">
        <v>847.0</v>
      </c>
      <c r="Q1974" s="31"/>
      <c r="R1974" s="32">
        <v>45659.0</v>
      </c>
      <c r="S1974" s="33"/>
      <c r="T1974" s="29"/>
      <c r="U1974" s="33"/>
      <c r="V1974" s="1"/>
    </row>
    <row r="1975" ht="24.0" customHeight="1">
      <c r="A1975" s="1"/>
      <c r="B1975" s="24" t="str">
        <f>HYPERLINK("https://www.compass.com/listing/40-west-116th-street-unit-a916-manhattan-ny-10026/608355961320743273/view?agent_id=610d3f3370540700019b0833","40 W 116th St, Unit A916")</f>
        <v>40 W 116th St, Unit A916</v>
      </c>
      <c r="C1975" s="25" t="s">
        <v>364</v>
      </c>
      <c r="D1975" s="26" t="s">
        <v>23</v>
      </c>
      <c r="E1975" s="27" t="str">
        <f>HYPERLINK("https://www.compass.com/building/kalahari-manhattan-ny/281976942591307493/","Kalahari")</f>
        <v>Kalahari</v>
      </c>
      <c r="F1975" s="25" t="s">
        <v>45</v>
      </c>
      <c r="G1975" s="28">
        <v>1300000.0</v>
      </c>
      <c r="H1975" s="28">
        <v>1566.0</v>
      </c>
      <c r="I1975" s="28">
        <v>823.0</v>
      </c>
      <c r="J1975" s="28">
        <v>180.0</v>
      </c>
      <c r="K1975" s="25" t="s">
        <v>28</v>
      </c>
      <c r="L1975" s="26">
        <v>4.0</v>
      </c>
      <c r="M1975" s="26">
        <v>2.0</v>
      </c>
      <c r="N1975" s="26">
        <v>1.0</v>
      </c>
      <c r="O1975" s="30"/>
      <c r="P1975" s="26">
        <v>830.0</v>
      </c>
      <c r="Q1975" s="31"/>
      <c r="R1975" s="32">
        <v>44091.0</v>
      </c>
      <c r="S1975" s="33"/>
      <c r="T1975" s="29"/>
      <c r="U1975" s="33"/>
      <c r="V1975" s="1"/>
    </row>
    <row r="1976" ht="24.0" customHeight="1">
      <c r="A1976" s="1"/>
      <c r="B1976" s="24" t="str">
        <f>HYPERLINK("https://www.compass.com/listing/345-west-145th-street-unit-10a5-manhattan-ny-10031/1465692964392784681/view?agent_id=610d3f3370540700019b0833","345 W 145th St, Unit 10A5")</f>
        <v>345 W 145th St, Unit 10A5</v>
      </c>
      <c r="C1976" s="25" t="s">
        <v>364</v>
      </c>
      <c r="D1976" s="26" t="s">
        <v>23</v>
      </c>
      <c r="E1976" s="27" t="str">
        <f>HYPERLINK("https://www.compass.com/building/hillview-towers-manhattan-ny/282066461822849397/","Hillview Towers")</f>
        <v>Hillview Towers</v>
      </c>
      <c r="F1976" s="25" t="s">
        <v>71</v>
      </c>
      <c r="G1976" s="28">
        <v>830000.0</v>
      </c>
      <c r="H1976" s="29"/>
      <c r="I1976" s="28">
        <v>1374.0</v>
      </c>
      <c r="J1976" s="28">
        <v>0.0</v>
      </c>
      <c r="K1976" s="25" t="s">
        <v>25</v>
      </c>
      <c r="L1976" s="26">
        <v>4.0</v>
      </c>
      <c r="M1976" s="26">
        <v>2.0</v>
      </c>
      <c r="N1976" s="26">
        <v>1.0</v>
      </c>
      <c r="O1976" s="30"/>
      <c r="P1976" s="30"/>
      <c r="Q1976" s="31"/>
      <c r="R1976" s="32">
        <v>45551.0</v>
      </c>
      <c r="S1976" s="32">
        <v>45309.0</v>
      </c>
      <c r="T1976" s="29"/>
      <c r="U1976" s="33"/>
      <c r="V1976" s="1"/>
    </row>
    <row r="1977" ht="24.0" customHeight="1">
      <c r="A1977" s="1"/>
      <c r="B1977" s="24" t="str">
        <f>HYPERLINK("https://www.compass.com/listing/301-west-53rd-street-unit-5d-manhattan-ny-10019/1748667788040723737/view?agent_id=610d3f3370540700019b0833","301 W 53rd St, Unit 5D")</f>
        <v>301 W 53rd St, Unit 5D</v>
      </c>
      <c r="C1977" s="25" t="s">
        <v>364</v>
      </c>
      <c r="D1977" s="26" t="s">
        <v>23</v>
      </c>
      <c r="E1977" s="27" t="str">
        <f>HYPERLINK("https://www.compass.com/building/fifty-third-and-eighth-manhattan-ny/281944545158031557/","Fifty Third and Eighth")</f>
        <v>Fifty Third and Eighth</v>
      </c>
      <c r="F1977" s="25" t="s">
        <v>47</v>
      </c>
      <c r="G1977" s="28">
        <v>1300000.0</v>
      </c>
      <c r="H1977" s="29"/>
      <c r="I1977" s="28">
        <v>1828.0</v>
      </c>
      <c r="J1977" s="28">
        <v>12036.0</v>
      </c>
      <c r="K1977" s="25" t="s">
        <v>28</v>
      </c>
      <c r="L1977" s="26">
        <v>5.0</v>
      </c>
      <c r="M1977" s="26">
        <v>2.0</v>
      </c>
      <c r="N1977" s="26">
        <v>1.0</v>
      </c>
      <c r="O1977" s="30"/>
      <c r="P1977" s="26">
        <v>0.0</v>
      </c>
      <c r="Q1977" s="31"/>
      <c r="R1977" s="32">
        <v>45838.0</v>
      </c>
      <c r="S1977" s="33"/>
      <c r="T1977" s="29"/>
      <c r="U1977" s="33"/>
      <c r="V1977" s="1"/>
    </row>
    <row r="1978" ht="24.0" customHeight="1">
      <c r="A1978" s="1"/>
      <c r="B1978" s="24" t="str">
        <f>HYPERLINK("https://www.compass.com/listing/120-west-58th-street-unit-5d-manhattan-ny-10019/460133916750809153/view?agent_id=610d3f3370540700019b0833","120 W 58th St, Unit 5D")</f>
        <v>120 W 58th St, Unit 5D</v>
      </c>
      <c r="C1978" s="25" t="s">
        <v>365</v>
      </c>
      <c r="D1978" s="26" t="s">
        <v>23</v>
      </c>
      <c r="E1978" s="27" t="str">
        <f>HYPERLINK("https://www.compass.com/building/park-south-manhattan-ny/281943708696373045/","Park South")</f>
        <v>Park South</v>
      </c>
      <c r="F1978" s="25" t="s">
        <v>195</v>
      </c>
      <c r="G1978" s="28">
        <v>780000.0</v>
      </c>
      <c r="H1978" s="29"/>
      <c r="I1978" s="28">
        <v>1967.0</v>
      </c>
      <c r="J1978" s="28">
        <v>12279.0</v>
      </c>
      <c r="K1978" s="25" t="s">
        <v>28</v>
      </c>
      <c r="L1978" s="26">
        <v>3.0</v>
      </c>
      <c r="M1978" s="26">
        <v>2.0</v>
      </c>
      <c r="N1978" s="26">
        <v>1.0</v>
      </c>
      <c r="O1978" s="30"/>
      <c r="P1978" s="30"/>
      <c r="Q1978" s="31"/>
      <c r="R1978" s="32">
        <v>44109.0</v>
      </c>
      <c r="S1978" s="33"/>
      <c r="T1978" s="29"/>
      <c r="U1978" s="33"/>
      <c r="V1978" s="1"/>
    </row>
    <row r="1979" ht="24.0" customHeight="1">
      <c r="A1979" s="1"/>
      <c r="B1979" s="24" t="str">
        <f>HYPERLINK("https://www.compass.com/listing/549-west-123rd-street-unit-6b-manhattan-ny-10027/992791680612130737/view?agent_id=610d3f3370540700019b0833","549 W 123rd St, Unit 6B")</f>
        <v>549 W 123rd St, Unit 6B</v>
      </c>
      <c r="C1979" s="25" t="s">
        <v>365</v>
      </c>
      <c r="D1979" s="26" t="s">
        <v>23</v>
      </c>
      <c r="E1979" s="27" t="str">
        <f>HYPERLINK("https://www.compass.com/building/morningside-gardens-manhattan-ny/282059380772338885/","Morningside Gardens")</f>
        <v>Morningside Gardens</v>
      </c>
      <c r="F1979" s="25" t="s">
        <v>41</v>
      </c>
      <c r="G1979" s="28">
        <v>675000.0</v>
      </c>
      <c r="H1979" s="29"/>
      <c r="I1979" s="28">
        <v>1312.0</v>
      </c>
      <c r="J1979" s="28">
        <v>0.0</v>
      </c>
      <c r="K1979" s="25" t="s">
        <v>25</v>
      </c>
      <c r="L1979" s="26">
        <v>5.0</v>
      </c>
      <c r="M1979" s="26">
        <v>2.0</v>
      </c>
      <c r="N1979" s="26">
        <v>1.0</v>
      </c>
      <c r="O1979" s="30"/>
      <c r="P1979" s="30"/>
      <c r="Q1979" s="31"/>
      <c r="R1979" s="32">
        <v>44712.0</v>
      </c>
      <c r="S1979" s="32">
        <v>44630.0</v>
      </c>
      <c r="T1979" s="29"/>
      <c r="U1979" s="33"/>
      <c r="V1979" s="1"/>
    </row>
    <row r="1980" ht="24.0" customHeight="1">
      <c r="A1980" s="1"/>
      <c r="B1980" s="24" t="str">
        <f>HYPERLINK("https://www.compass.com/listing/456-west-167th-street-unit-7e-manhattan-ny-10032/1429843368198729361/view?agent_id=610d3f3370540700019b0833","456 W 167th St, Unit 7E")</f>
        <v>456 W 167th St, Unit 7E</v>
      </c>
      <c r="C1980" s="25" t="s">
        <v>364</v>
      </c>
      <c r="D1980" s="26" t="s">
        <v>23</v>
      </c>
      <c r="E1980" s="27" t="str">
        <f>HYPERLINK("https://www.compass.com/building/edgecombe-parc-manhattan-ny/282005897969005013/","Edgecombe Parc")</f>
        <v>Edgecombe Parc</v>
      </c>
      <c r="F1980" s="25" t="s">
        <v>77</v>
      </c>
      <c r="G1980" s="28">
        <v>599000.0</v>
      </c>
      <c r="H1980" s="29"/>
      <c r="I1980" s="28">
        <v>1783.0</v>
      </c>
      <c r="J1980" s="28">
        <v>12684.0</v>
      </c>
      <c r="K1980" s="25" t="s">
        <v>28</v>
      </c>
      <c r="L1980" s="26">
        <v>4.0</v>
      </c>
      <c r="M1980" s="26">
        <v>2.0</v>
      </c>
      <c r="N1980" s="26">
        <v>1.0</v>
      </c>
      <c r="O1980" s="30"/>
      <c r="P1980" s="30"/>
      <c r="Q1980" s="31"/>
      <c r="R1980" s="32">
        <v>45279.0</v>
      </c>
      <c r="S1980" s="32">
        <v>45224.0</v>
      </c>
      <c r="T1980" s="29"/>
      <c r="U1980" s="33"/>
      <c r="V1980" s="1"/>
    </row>
    <row r="1981" ht="24.0" customHeight="1">
      <c r="A1981" s="1"/>
      <c r="B1981" s="24" t="str">
        <f>HYPERLINK("https://www.compass.com/listing/220-madison-avenue-unit-14-15-o-manhattan-ny-10016/4852351235199600689/view?agent_id=610d3f3370540700019b0833","220 Madison Ave, Unit 14/15 O")</f>
        <v>220 Madison Ave, Unit 14/15 O</v>
      </c>
      <c r="C1981" s="25" t="s">
        <v>364</v>
      </c>
      <c r="D1981" s="26" t="s">
        <v>23</v>
      </c>
      <c r="E1981" s="27" t="str">
        <f>HYPERLINK("https://www.compass.com/building/the-john-murray-house-manhattan-ny/281922631026907733/","The John Murray House")</f>
        <v>The John Murray House</v>
      </c>
      <c r="F1981" s="25" t="s">
        <v>72</v>
      </c>
      <c r="G1981" s="28">
        <v>3000000.0</v>
      </c>
      <c r="H1981" s="29"/>
      <c r="I1981" s="28">
        <v>0.0</v>
      </c>
      <c r="J1981" s="28">
        <v>0.0</v>
      </c>
      <c r="K1981" s="25" t="s">
        <v>156</v>
      </c>
      <c r="L1981" s="26">
        <v>3.0</v>
      </c>
      <c r="M1981" s="26">
        <v>2.0</v>
      </c>
      <c r="N1981" s="30"/>
      <c r="O1981" s="30"/>
      <c r="P1981" s="30"/>
      <c r="Q1981" s="31"/>
      <c r="R1981" s="32">
        <v>43596.0</v>
      </c>
      <c r="S1981" s="32">
        <v>42675.0</v>
      </c>
      <c r="T1981" s="29"/>
      <c r="U1981" s="33"/>
      <c r="V1981" s="1"/>
    </row>
    <row r="1982" ht="24.0" customHeight="1">
      <c r="A1982" s="1"/>
      <c r="B1982" s="24" t="str">
        <f>HYPERLINK("https://www.compass.com/listing/91-payson-avenue-unit-4g-manhattan-ny-10034/1529750328541077705/view?agent_id=610d3f3370540700019b0833","91 Payson Ave, Unit 4G")</f>
        <v>91 Payson Ave, Unit 4G</v>
      </c>
      <c r="C1982" s="25" t="s">
        <v>365</v>
      </c>
      <c r="D1982" s="26" t="s">
        <v>23</v>
      </c>
      <c r="E1982" s="27" t="str">
        <f>HYPERLINK("https://www.compass.com/building/payson-house-manhattan-ny/282016269249550197/","Payson House")</f>
        <v>Payson House</v>
      </c>
      <c r="F1982" s="25" t="s">
        <v>81</v>
      </c>
      <c r="G1982" s="28">
        <v>699000.0</v>
      </c>
      <c r="H1982" s="28">
        <v>696.0</v>
      </c>
      <c r="I1982" s="28">
        <v>1191.0</v>
      </c>
      <c r="J1982" s="28">
        <v>0.0</v>
      </c>
      <c r="K1982" s="25" t="s">
        <v>25</v>
      </c>
      <c r="L1982" s="26">
        <v>5.0</v>
      </c>
      <c r="M1982" s="26">
        <v>2.0</v>
      </c>
      <c r="N1982" s="26">
        <v>1.0</v>
      </c>
      <c r="O1982" s="26">
        <v>0.0</v>
      </c>
      <c r="P1982" s="34">
        <v>1005.0</v>
      </c>
      <c r="Q1982" s="31"/>
      <c r="R1982" s="32">
        <v>45381.0</v>
      </c>
      <c r="S1982" s="33"/>
      <c r="T1982" s="29"/>
      <c r="U1982" s="33"/>
      <c r="V1982" s="1"/>
    </row>
    <row r="1983" ht="24.0" customHeight="1">
      <c r="A1983" s="1"/>
      <c r="B1983" s="24" t="str">
        <f>HYPERLINK("https://www.compass.com/listing/1050-hancock-street-unit-3e-brooklyn-ny-11221/1666744531148585881/view?agent_id=610d3f3370540700019b0833","1050 Hancock St, Unit 3E")</f>
        <v>1050 Hancock St, Unit 3E</v>
      </c>
      <c r="C1983" s="25" t="s">
        <v>365</v>
      </c>
      <c r="D1983" s="26" t="s">
        <v>23</v>
      </c>
      <c r="E1983" s="27" t="str">
        <f>HYPERLINK("https://www.compass.com/building/1050-hancock-st-brooklyn-ny-11221/293527600507180741/","1050 Hancock St")</f>
        <v>1050 Hancock St</v>
      </c>
      <c r="F1983" s="25" t="s">
        <v>82</v>
      </c>
      <c r="G1983" s="28">
        <v>370000.0</v>
      </c>
      <c r="H1983" s="28">
        <v>435.0</v>
      </c>
      <c r="I1983" s="28">
        <v>925.0</v>
      </c>
      <c r="J1983" s="28">
        <v>0.0</v>
      </c>
      <c r="K1983" s="25" t="s">
        <v>25</v>
      </c>
      <c r="L1983" s="26">
        <v>4.0</v>
      </c>
      <c r="M1983" s="26">
        <v>2.0</v>
      </c>
      <c r="N1983" s="26">
        <v>1.0</v>
      </c>
      <c r="O1983" s="30"/>
      <c r="P1983" s="26">
        <v>850.0</v>
      </c>
      <c r="Q1983" s="31"/>
      <c r="R1983" s="32">
        <v>45583.0</v>
      </c>
      <c r="S1983" s="32">
        <v>45551.0</v>
      </c>
      <c r="T1983" s="29"/>
      <c r="U1983" s="33"/>
      <c r="V1983" s="1"/>
    </row>
    <row r="1984" ht="24.0" customHeight="1">
      <c r="A1984" s="1"/>
      <c r="B1984" s="24" t="str">
        <f>HYPERLINK("https://www.compass.com/listing/11-12-44th-avenue-unit-5e-queens-ny-11101/1110947331836052049/view?agent_id=610d3f3370540700019b0833","11-12 44th Ave, Unit 5E")</f>
        <v>11-12 44th Ave, Unit 5E</v>
      </c>
      <c r="C1984" s="25" t="s">
        <v>364</v>
      </c>
      <c r="D1984" s="26" t="s">
        <v>23</v>
      </c>
      <c r="E1984" s="27" t="str">
        <f>HYPERLINK("https://www.compass.com/building/11-12-44th-ave-queens-ny-11101/293528837440975541/","11-12 44th Ave")</f>
        <v>11-12 44th Ave</v>
      </c>
      <c r="F1984" s="25" t="s">
        <v>215</v>
      </c>
      <c r="G1984" s="28">
        <v>1150000.0</v>
      </c>
      <c r="H1984" s="28">
        <v>1480.0</v>
      </c>
      <c r="I1984" s="28">
        <v>1225.0</v>
      </c>
      <c r="J1984" s="28">
        <v>6491.0</v>
      </c>
      <c r="K1984" s="25" t="s">
        <v>28</v>
      </c>
      <c r="L1984" s="26">
        <v>4.0</v>
      </c>
      <c r="M1984" s="26">
        <v>2.0</v>
      </c>
      <c r="N1984" s="26">
        <v>1.0</v>
      </c>
      <c r="O1984" s="30"/>
      <c r="P1984" s="26">
        <v>777.0</v>
      </c>
      <c r="Q1984" s="31"/>
      <c r="R1984" s="32">
        <v>44788.0</v>
      </c>
      <c r="S1984" s="33"/>
      <c r="T1984" s="29"/>
      <c r="U1984" s="33"/>
      <c r="V1984" s="1"/>
    </row>
    <row r="1985" ht="24.0" customHeight="1">
      <c r="A1985" s="1"/>
      <c r="B1985" s="24" t="str">
        <f>HYPERLINK("https://www.compass.com/listing/33-55-14th-street-unit-15b-queens-ny-11106/1816191157035992913/view?agent_id=610d3f3370540700019b0833","33-55 14th St, Unit 15B")</f>
        <v>33-55 14th St, Unit 15B</v>
      </c>
      <c r="C1985" s="25" t="s">
        <v>365</v>
      </c>
      <c r="D1985" s="26" t="s">
        <v>23</v>
      </c>
      <c r="E1985" s="27" t="str">
        <f>HYPERLINK("https://www.compass.com/building/33-55-14th-st-queens-ny-11106/294841954361536725/","33-55 14th St")</f>
        <v>33-55 14th St</v>
      </c>
      <c r="F1985" s="25" t="s">
        <v>68</v>
      </c>
      <c r="G1985" s="28">
        <v>650000.0</v>
      </c>
      <c r="H1985" s="28">
        <v>730.0</v>
      </c>
      <c r="I1985" s="28">
        <v>1180.0</v>
      </c>
      <c r="J1985" s="29"/>
      <c r="K1985" s="25" t="s">
        <v>25</v>
      </c>
      <c r="L1985" s="26">
        <v>5.0</v>
      </c>
      <c r="M1985" s="26">
        <v>2.0</v>
      </c>
      <c r="N1985" s="26">
        <v>1.0</v>
      </c>
      <c r="O1985" s="30"/>
      <c r="P1985" s="26">
        <v>890.0</v>
      </c>
      <c r="Q1985" s="31"/>
      <c r="R1985" s="32">
        <v>45758.0</v>
      </c>
      <c r="S1985" s="33"/>
      <c r="T1985" s="29"/>
      <c r="U1985" s="33"/>
      <c r="V1985" s="1"/>
    </row>
    <row r="1986" ht="24.0" customHeight="1">
      <c r="A1986" s="1"/>
      <c r="B1986" s="24" t="str">
        <f>HYPERLINK("https://www.compass.com/listing/21-10-33rd-road-unit-11a-queens-ny-11106/1292144464238884137/view?agent_id=610d3f3370540700019b0833","21-10 33rd Rd, Unit 11A")</f>
        <v>21-10 33rd Rd, Unit 11A</v>
      </c>
      <c r="C1986" s="25" t="s">
        <v>364</v>
      </c>
      <c r="D1986" s="26" t="s">
        <v>23</v>
      </c>
      <c r="E1986" s="27" t="str">
        <f>HYPERLINK("https://www.compass.com/building/queensview-queens-ny/307460047697087925/","Queensview")</f>
        <v>Queensview</v>
      </c>
      <c r="F1986" s="25" t="s">
        <v>68</v>
      </c>
      <c r="G1986" s="28">
        <v>300000.0</v>
      </c>
      <c r="H1986" s="29"/>
      <c r="I1986" s="28">
        <v>1062.0</v>
      </c>
      <c r="J1986" s="28">
        <v>0.0</v>
      </c>
      <c r="K1986" s="25" t="s">
        <v>25</v>
      </c>
      <c r="L1986" s="26">
        <v>4.0</v>
      </c>
      <c r="M1986" s="26">
        <v>2.0</v>
      </c>
      <c r="N1986" s="26">
        <v>1.0</v>
      </c>
      <c r="O1986" s="30"/>
      <c r="P1986" s="30"/>
      <c r="Q1986" s="31"/>
      <c r="R1986" s="32">
        <v>45027.0</v>
      </c>
      <c r="S1986" s="33"/>
      <c r="T1986" s="29"/>
      <c r="U1986" s="33"/>
      <c r="V1986" s="1"/>
    </row>
    <row r="1987" ht="24.0" customHeight="1">
      <c r="A1987" s="1"/>
      <c r="B1987" s="24" t="str">
        <f>HYPERLINK("https://www.compass.com/listing/21-41-34th-avenue-unit-6a-queens-ny-11106/1444425706426095161/view?agent_id=610d3f3370540700019b0833","21-41 34th Ave, Unit 6A")</f>
        <v>21-41 34th Ave, Unit 6A</v>
      </c>
      <c r="C1987" s="25" t="s">
        <v>364</v>
      </c>
      <c r="D1987" s="26" t="s">
        <v>23</v>
      </c>
      <c r="E1987" s="27" t="str">
        <f>HYPERLINK("https://www.compass.com/building/queensview-queens-ny/307443572420524501/","Queensview ")</f>
        <v>Queensview </v>
      </c>
      <c r="F1987" s="25" t="s">
        <v>68</v>
      </c>
      <c r="G1987" s="28">
        <v>510000.0</v>
      </c>
      <c r="H1987" s="28">
        <v>567.0</v>
      </c>
      <c r="I1987" s="28">
        <v>1190.0</v>
      </c>
      <c r="J1987" s="28">
        <v>0.0</v>
      </c>
      <c r="K1987" s="25" t="s">
        <v>25</v>
      </c>
      <c r="L1987" s="26">
        <v>5.0</v>
      </c>
      <c r="M1987" s="26">
        <v>2.0</v>
      </c>
      <c r="N1987" s="26">
        <v>1.0</v>
      </c>
      <c r="O1987" s="30"/>
      <c r="P1987" s="26">
        <v>900.0</v>
      </c>
      <c r="Q1987" s="31"/>
      <c r="R1987" s="32">
        <v>45267.0</v>
      </c>
      <c r="S1987" s="33"/>
      <c r="T1987" s="29"/>
      <c r="U1987" s="33"/>
      <c r="V1987" s="1"/>
    </row>
    <row r="1988" ht="24.0" customHeight="1">
      <c r="A1988" s="1"/>
      <c r="B1988" s="24" t="str">
        <f>HYPERLINK("https://www.compass.com/listing/33-52-crescent-street-unit-7c-queens-ny-11106/1394288465539547177/view?agent_id=610d3f3370540700019b0833","33-52 Crescent St, Unit 7C")</f>
        <v>33-52 Crescent St, Unit 7C</v>
      </c>
      <c r="C1988" s="25" t="s">
        <v>364</v>
      </c>
      <c r="D1988" s="26" t="s">
        <v>23</v>
      </c>
      <c r="E1988" s="27" t="str">
        <f>HYPERLINK("https://www.compass.com/building/queensview-queens-ny/307437811015732181/","Queensview")</f>
        <v>Queensview</v>
      </c>
      <c r="F1988" s="25" t="s">
        <v>68</v>
      </c>
      <c r="G1988" s="28">
        <v>535000.0</v>
      </c>
      <c r="H1988" s="28">
        <v>535.0</v>
      </c>
      <c r="I1988" s="28">
        <v>1263.0</v>
      </c>
      <c r="J1988" s="28">
        <v>0.0</v>
      </c>
      <c r="K1988" s="25" t="s">
        <v>25</v>
      </c>
      <c r="L1988" s="26">
        <v>5.0</v>
      </c>
      <c r="M1988" s="26">
        <v>2.0</v>
      </c>
      <c r="N1988" s="26">
        <v>1.0</v>
      </c>
      <c r="O1988" s="30"/>
      <c r="P1988" s="34">
        <v>1000.0</v>
      </c>
      <c r="Q1988" s="31"/>
      <c r="R1988" s="32">
        <v>45267.0</v>
      </c>
      <c r="S1988" s="33"/>
      <c r="T1988" s="29"/>
      <c r="U1988" s="33"/>
      <c r="V1988" s="1"/>
    </row>
    <row r="1989" ht="24.0" customHeight="1">
      <c r="A1989" s="1"/>
      <c r="B1989" s="24" t="str">
        <f>HYPERLINK("https://www.compass.com/listing/33-43-14th-street-unit-5b-queens-ny-11106/1292220779684891721/view?agent_id=610d3f3370540700019b0833","33-43 14th St, Unit 5B")</f>
        <v>33-43 14th St, Unit 5B</v>
      </c>
      <c r="C1989" s="25" t="s">
        <v>364</v>
      </c>
      <c r="D1989" s="26" t="s">
        <v>23</v>
      </c>
      <c r="E1989" s="27" t="str">
        <f t="shared" ref="E1989:E1990" si="23">HYPERLINK("https://www.compass.com/building/north-queensview-queens-ny/293534737299934069/","North QueensView")</f>
        <v>North QueensView</v>
      </c>
      <c r="F1989" s="25" t="s">
        <v>68</v>
      </c>
      <c r="G1989" s="28">
        <v>469000.0</v>
      </c>
      <c r="H1989" s="29"/>
      <c r="I1989" s="28">
        <v>734.0</v>
      </c>
      <c r="J1989" s="28">
        <v>0.0</v>
      </c>
      <c r="K1989" s="25" t="s">
        <v>25</v>
      </c>
      <c r="L1989" s="26">
        <v>5.0</v>
      </c>
      <c r="M1989" s="26">
        <v>2.0</v>
      </c>
      <c r="N1989" s="26">
        <v>1.0</v>
      </c>
      <c r="O1989" s="30"/>
      <c r="P1989" s="30"/>
      <c r="Q1989" s="31"/>
      <c r="R1989" s="32">
        <v>45027.0</v>
      </c>
      <c r="S1989" s="33"/>
      <c r="T1989" s="29"/>
      <c r="U1989" s="33"/>
      <c r="V1989" s="1"/>
    </row>
    <row r="1990" ht="24.0" customHeight="1">
      <c r="A1990" s="1"/>
      <c r="B1990" s="24" t="str">
        <f>HYPERLINK("https://www.compass.com/listing/33-43-14th-street-unit-2d-queens-ny-11106/1292368295520713153/view?agent_id=610d3f3370540700019b0833","33-43 14th St, Unit 2D")</f>
        <v>33-43 14th St, Unit 2D</v>
      </c>
      <c r="C1990" s="25" t="s">
        <v>364</v>
      </c>
      <c r="D1990" s="26" t="s">
        <v>23</v>
      </c>
      <c r="E1990" s="27" t="str">
        <f t="shared" si="23"/>
        <v>North QueensView</v>
      </c>
      <c r="F1990" s="25" t="s">
        <v>68</v>
      </c>
      <c r="G1990" s="28">
        <v>465000.0</v>
      </c>
      <c r="H1990" s="29"/>
      <c r="I1990" s="28">
        <v>0.0</v>
      </c>
      <c r="J1990" s="28">
        <v>0.0</v>
      </c>
      <c r="K1990" s="25" t="s">
        <v>25</v>
      </c>
      <c r="L1990" s="26">
        <v>5.0</v>
      </c>
      <c r="M1990" s="26">
        <v>2.0</v>
      </c>
      <c r="N1990" s="26">
        <v>1.0</v>
      </c>
      <c r="O1990" s="30"/>
      <c r="P1990" s="30"/>
      <c r="Q1990" s="31"/>
      <c r="R1990" s="32">
        <v>45027.0</v>
      </c>
      <c r="S1990" s="33"/>
      <c r="T1990" s="29"/>
      <c r="U1990" s="33"/>
      <c r="V1990" s="1"/>
    </row>
    <row r="1991" ht="24.0" customHeight="1">
      <c r="A1991" s="1"/>
      <c r="B1991" s="24" t="str">
        <f>HYPERLINK("https://www.compass.com/listing/33-65-14th-street-unit-11d-queens-ny-11106/1292225252494456409/view?agent_id=610d3f3370540700019b0833","33-65 14th St, Unit 11D")</f>
        <v>33-65 14th St, Unit 11D</v>
      </c>
      <c r="C1991" s="25" t="s">
        <v>364</v>
      </c>
      <c r="D1991" s="26" t="s">
        <v>23</v>
      </c>
      <c r="E1991" s="27" t="str">
        <f t="shared" ref="E1991:E1993" si="24">HYPERLINK("https://www.compass.com/building/33-65-14th-st-queens-ny-11106/294845868922140549/","33-65 14th St")</f>
        <v>33-65 14th St</v>
      </c>
      <c r="F1991" s="25" t="s">
        <v>68</v>
      </c>
      <c r="G1991" s="28">
        <v>499000.0</v>
      </c>
      <c r="H1991" s="29"/>
      <c r="I1991" s="28">
        <v>790.0</v>
      </c>
      <c r="J1991" s="28">
        <v>0.0</v>
      </c>
      <c r="K1991" s="25" t="s">
        <v>25</v>
      </c>
      <c r="L1991" s="26">
        <v>5.0</v>
      </c>
      <c r="M1991" s="26">
        <v>2.0</v>
      </c>
      <c r="N1991" s="26">
        <v>1.0</v>
      </c>
      <c r="O1991" s="30"/>
      <c r="P1991" s="30"/>
      <c r="Q1991" s="31"/>
      <c r="R1991" s="32">
        <v>45027.0</v>
      </c>
      <c r="S1991" s="33"/>
      <c r="T1991" s="29"/>
      <c r="U1991" s="33"/>
      <c r="V1991" s="1"/>
    </row>
    <row r="1992" ht="24.0" customHeight="1">
      <c r="A1992" s="1"/>
      <c r="B1992" s="24" t="str">
        <f>HYPERLINK("https://www.compass.com/listing/33-65-14th-street-unit-12b-queens-ny-11106/1292333316786568705/view?agent_id=610d3f3370540700019b0833","33-65 14th St, Unit 12B")</f>
        <v>33-65 14th St, Unit 12B</v>
      </c>
      <c r="C1992" s="25" t="s">
        <v>364</v>
      </c>
      <c r="D1992" s="26" t="s">
        <v>23</v>
      </c>
      <c r="E1992" s="27" t="str">
        <f t="shared" si="24"/>
        <v>33-65 14th St</v>
      </c>
      <c r="F1992" s="25" t="s">
        <v>68</v>
      </c>
      <c r="G1992" s="28">
        <v>515000.0</v>
      </c>
      <c r="H1992" s="29"/>
      <c r="I1992" s="28">
        <v>859.0</v>
      </c>
      <c r="J1992" s="28">
        <v>0.0</v>
      </c>
      <c r="K1992" s="25" t="s">
        <v>25</v>
      </c>
      <c r="L1992" s="26">
        <v>4.0</v>
      </c>
      <c r="M1992" s="26">
        <v>2.0</v>
      </c>
      <c r="N1992" s="26">
        <v>1.0</v>
      </c>
      <c r="O1992" s="30"/>
      <c r="P1992" s="30"/>
      <c r="Q1992" s="31"/>
      <c r="R1992" s="32">
        <v>45027.0</v>
      </c>
      <c r="S1992" s="33"/>
      <c r="T1992" s="29"/>
      <c r="U1992" s="33"/>
      <c r="V1992" s="1"/>
    </row>
    <row r="1993" ht="24.0" customHeight="1">
      <c r="A1993" s="1"/>
      <c r="B1993" s="24" t="str">
        <f>HYPERLINK("https://www.compass.com/listing/33-65-14th-street-unit-15a-queens-ny-11106/1292277440293758617/view?agent_id=610d3f3370540700019b0833","33-65 14th St, Unit 15A")</f>
        <v>33-65 14th St, Unit 15A</v>
      </c>
      <c r="C1993" s="25" t="s">
        <v>364</v>
      </c>
      <c r="D1993" s="26" t="s">
        <v>23</v>
      </c>
      <c r="E1993" s="27" t="str">
        <f t="shared" si="24"/>
        <v>33-65 14th St</v>
      </c>
      <c r="F1993" s="25" t="s">
        <v>68</v>
      </c>
      <c r="G1993" s="28">
        <v>525000.0</v>
      </c>
      <c r="H1993" s="29"/>
      <c r="I1993" s="28">
        <v>1001.0</v>
      </c>
      <c r="J1993" s="28">
        <v>0.0</v>
      </c>
      <c r="K1993" s="25" t="s">
        <v>25</v>
      </c>
      <c r="L1993" s="26">
        <v>5.0</v>
      </c>
      <c r="M1993" s="26">
        <v>2.0</v>
      </c>
      <c r="N1993" s="26">
        <v>1.0</v>
      </c>
      <c r="O1993" s="30"/>
      <c r="P1993" s="30"/>
      <c r="Q1993" s="31"/>
      <c r="R1993" s="32">
        <v>45027.0</v>
      </c>
      <c r="S1993" s="33"/>
      <c r="T1993" s="29"/>
      <c r="U1993" s="33"/>
      <c r="V1993" s="1"/>
    </row>
    <row r="1994" ht="24.0" customHeight="1">
      <c r="A1994" s="1"/>
      <c r="B1994" s="24" t="str">
        <f>HYPERLINK("https://www.compass.com/listing/1916-80th-street-unit-1-queens-ny-11370/1299662967145667185/view?agent_id=610d3f3370540700019b0833","1916 80th St, Unit 1")</f>
        <v>1916 80th St, Unit 1</v>
      </c>
      <c r="C1994" s="25" t="s">
        <v>364</v>
      </c>
      <c r="D1994" s="26" t="s">
        <v>23</v>
      </c>
      <c r="E1994" s="26" t="s">
        <v>367</v>
      </c>
      <c r="F1994" s="25" t="s">
        <v>68</v>
      </c>
      <c r="G1994" s="28">
        <v>499000.0</v>
      </c>
      <c r="H1994" s="28">
        <v>646.0</v>
      </c>
      <c r="I1994" s="28">
        <v>307.0</v>
      </c>
      <c r="J1994" s="28">
        <v>3687.0</v>
      </c>
      <c r="K1994" s="25" t="s">
        <v>28</v>
      </c>
      <c r="L1994" s="26">
        <v>4.0</v>
      </c>
      <c r="M1994" s="26">
        <v>2.0</v>
      </c>
      <c r="N1994" s="26">
        <v>1.0</v>
      </c>
      <c r="O1994" s="30"/>
      <c r="P1994" s="26">
        <v>772.0</v>
      </c>
      <c r="Q1994" s="31"/>
      <c r="R1994" s="32">
        <v>45027.0</v>
      </c>
      <c r="S1994" s="33"/>
      <c r="T1994" s="29"/>
      <c r="U1994" s="33"/>
      <c r="V1994" s="1"/>
    </row>
    <row r="1995" ht="24.0" customHeight="1">
      <c r="A1995" s="1"/>
      <c r="B1995" s="24" t="str">
        <f>HYPERLINK("https://www.compass.com/listing/224-11-manor-road-unit-lowr-queens-ny-11427/1689874417018205385/view?agent_id=610d3f3370540700019b0833","224-11 Manor Rd, Unit LOWR")</f>
        <v>224-11 Manor Rd, Unit LOWR</v>
      </c>
      <c r="C1995" s="25" t="s">
        <v>364</v>
      </c>
      <c r="D1995" s="26" t="s">
        <v>23</v>
      </c>
      <c r="E1995" s="27" t="str">
        <f t="shared" ref="E1995:E1996" si="25">HYPERLINK("https://www.compass.com/building/224-11-manor-rd-queens-ny-11427/445804544497472877/","224-11 Manor Rd")</f>
        <v>224-11 Manor Rd</v>
      </c>
      <c r="F1995" s="25" t="s">
        <v>69</v>
      </c>
      <c r="G1995" s="28">
        <v>299999.0</v>
      </c>
      <c r="H1995" s="29"/>
      <c r="I1995" s="28">
        <v>888.0</v>
      </c>
      <c r="J1995" s="28">
        <v>0.0</v>
      </c>
      <c r="K1995" s="25" t="s">
        <v>25</v>
      </c>
      <c r="L1995" s="26">
        <v>5.0</v>
      </c>
      <c r="M1995" s="26">
        <v>2.0</v>
      </c>
      <c r="N1995" s="26">
        <v>1.0</v>
      </c>
      <c r="O1995" s="30"/>
      <c r="P1995" s="30"/>
      <c r="Q1995" s="31"/>
      <c r="R1995" s="32">
        <v>45616.0</v>
      </c>
      <c r="S1995" s="33"/>
      <c r="T1995" s="29"/>
      <c r="U1995" s="33"/>
      <c r="V1995" s="1"/>
    </row>
    <row r="1996" ht="24.0" customHeight="1">
      <c r="A1996" s="1"/>
      <c r="B1996" s="24" t="str">
        <f>HYPERLINK("https://www.compass.com/listing/224-11-manor-road-unit-lowr-queens-ny-11427/1724210942429511585/view?agent_id=610d3f3370540700019b0833","224-11 Manor Rd, Unit LOWR")</f>
        <v>224-11 Manor Rd, Unit LOWR</v>
      </c>
      <c r="C1996" s="25" t="s">
        <v>365</v>
      </c>
      <c r="D1996" s="26" t="s">
        <v>23</v>
      </c>
      <c r="E1996" s="27" t="str">
        <f t="shared" si="25"/>
        <v>224-11 Manor Rd</v>
      </c>
      <c r="F1996" s="25" t="s">
        <v>69</v>
      </c>
      <c r="G1996" s="28">
        <v>299999.0</v>
      </c>
      <c r="H1996" s="29"/>
      <c r="I1996" s="28">
        <v>0.0</v>
      </c>
      <c r="J1996" s="28">
        <v>0.0</v>
      </c>
      <c r="K1996" s="25" t="s">
        <v>25</v>
      </c>
      <c r="L1996" s="26">
        <v>5.0</v>
      </c>
      <c r="M1996" s="26">
        <v>2.0</v>
      </c>
      <c r="N1996" s="26">
        <v>1.0</v>
      </c>
      <c r="O1996" s="30"/>
      <c r="P1996" s="30"/>
      <c r="Q1996" s="31"/>
      <c r="R1996" s="32">
        <v>45765.0</v>
      </c>
      <c r="S1996" s="33"/>
      <c r="T1996" s="29"/>
      <c r="U1996" s="33"/>
      <c r="V1996" s="1"/>
    </row>
    <row r="1997" ht="24.0" customHeight="1">
      <c r="A1997" s="1"/>
      <c r="B1997" s="24" t="str">
        <f>HYPERLINK("https://www.compass.com/listing/225-04-stronghurst-avenue-unit-uppr-queens-ny-11427/1299501665622045617/view?agent_id=610d3f3370540700019b0833","225-04 Stronghurst Ave, Unit UPPR")</f>
        <v>225-04 Stronghurst Ave, Unit UPPR</v>
      </c>
      <c r="C1997" s="25" t="s">
        <v>364</v>
      </c>
      <c r="D1997" s="26" t="s">
        <v>23</v>
      </c>
      <c r="E1997" s="27" t="str">
        <f>HYPERLINK("https://www.compass.com/building/225-04-stronghurst-ave-queens-ny-11427/445083184691269165/","225-04 Stronghurst Ave")</f>
        <v>225-04 Stronghurst Ave</v>
      </c>
      <c r="F1997" s="25" t="s">
        <v>69</v>
      </c>
      <c r="G1997" s="28">
        <v>289900.0</v>
      </c>
      <c r="H1997" s="29"/>
      <c r="I1997" s="28">
        <v>769.0</v>
      </c>
      <c r="J1997" s="28">
        <v>0.0</v>
      </c>
      <c r="K1997" s="25" t="s">
        <v>25</v>
      </c>
      <c r="L1997" s="26">
        <v>5.0</v>
      </c>
      <c r="M1997" s="26">
        <v>2.0</v>
      </c>
      <c r="N1997" s="26">
        <v>1.0</v>
      </c>
      <c r="O1997" s="30"/>
      <c r="P1997" s="30"/>
      <c r="Q1997" s="31"/>
      <c r="R1997" s="32">
        <v>45027.0</v>
      </c>
      <c r="S1997" s="33"/>
      <c r="T1997" s="29"/>
      <c r="U1997" s="33"/>
      <c r="V1997" s="1"/>
    </row>
    <row r="1998" ht="24.0" customHeight="1">
      <c r="A1998" s="1"/>
      <c r="B1998" s="24" t="str">
        <f>HYPERLINK("https://www.compass.com/listing/224-24-manor-road-unit-uppr-queens-ny-11427/1299480979842612729/view?agent_id=610d3f3370540700019b0833","224-24 Manor Rd, Unit UPPR")</f>
        <v>224-24 Manor Rd, Unit UPPR</v>
      </c>
      <c r="C1998" s="25" t="s">
        <v>364</v>
      </c>
      <c r="D1998" s="26" t="s">
        <v>23</v>
      </c>
      <c r="E1998" s="27" t="str">
        <f>HYPERLINK("https://www.compass.com/building/224-24-manor-rd-queens-ny-11427/1096374997275115533/","224-24 Manor Rd")</f>
        <v>224-24 Manor Rd</v>
      </c>
      <c r="F1998" s="25" t="s">
        <v>69</v>
      </c>
      <c r="G1998" s="28">
        <v>262000.0</v>
      </c>
      <c r="H1998" s="29"/>
      <c r="I1998" s="28">
        <v>807.0</v>
      </c>
      <c r="J1998" s="28">
        <v>0.0</v>
      </c>
      <c r="K1998" s="25" t="s">
        <v>25</v>
      </c>
      <c r="L1998" s="26">
        <v>5.0</v>
      </c>
      <c r="M1998" s="26">
        <v>2.0</v>
      </c>
      <c r="N1998" s="26">
        <v>1.0</v>
      </c>
      <c r="O1998" s="30"/>
      <c r="P1998" s="30"/>
      <c r="Q1998" s="31"/>
      <c r="R1998" s="32">
        <v>45027.0</v>
      </c>
      <c r="S1998" s="33"/>
      <c r="T1998" s="29"/>
      <c r="U1998" s="33"/>
      <c r="V1998" s="1"/>
    </row>
    <row r="1999" ht="24.0" customHeight="1">
      <c r="A1999" s="1"/>
      <c r="B1999" s="24" t="str">
        <f>HYPERLINK("https://www.compass.com/listing/229-10a-87th-avenue-unit-duplex-queens-ny-11427/1344979065362592017/view?agent_id=610d3f3370540700019b0833","229-10A 87th Ave, Unit DUPLEX")</f>
        <v>229-10A 87th Ave, Unit DUPLEX</v>
      </c>
      <c r="C1999" s="25" t="s">
        <v>364</v>
      </c>
      <c r="D1999" s="26" t="s">
        <v>23</v>
      </c>
      <c r="E1999" s="26" t="s">
        <v>368</v>
      </c>
      <c r="F1999" s="25" t="s">
        <v>69</v>
      </c>
      <c r="G1999" s="28">
        <v>329000.0</v>
      </c>
      <c r="H1999" s="29"/>
      <c r="I1999" s="28">
        <v>811.0</v>
      </c>
      <c r="J1999" s="28">
        <v>0.0</v>
      </c>
      <c r="K1999" s="25" t="s">
        <v>25</v>
      </c>
      <c r="L1999" s="26">
        <v>5.0</v>
      </c>
      <c r="M1999" s="26">
        <v>2.0</v>
      </c>
      <c r="N1999" s="26">
        <v>1.0</v>
      </c>
      <c r="O1999" s="30"/>
      <c r="P1999" s="30"/>
      <c r="Q1999" s="31"/>
      <c r="R1999" s="32">
        <v>45267.0</v>
      </c>
      <c r="S1999" s="33"/>
      <c r="T1999" s="29"/>
      <c r="U1999" s="33"/>
      <c r="V1999" s="1"/>
    </row>
    <row r="2000" ht="24.0" customHeight="1">
      <c r="A2000" s="1"/>
      <c r="B2000" s="24" t="str">
        <f>HYPERLINK("https://www.compass.com/listing/22-55-78th-street-unit-2f-queens-ny-11370/1292764997884913305/view?agent_id=610d3f3370540700019b0833","22-55 78th St, Unit 2F")</f>
        <v>22-55 78th St, Unit 2F</v>
      </c>
      <c r="C2000" s="25" t="s">
        <v>364</v>
      </c>
      <c r="D2000" s="26" t="s">
        <v>23</v>
      </c>
      <c r="E2000" s="27" t="str">
        <f>HYPERLINK("https://www.compass.com/building/22-55-78th-st-queens-ny-11370/307438470536197077/","22-55 78th St")</f>
        <v>22-55 78th St</v>
      </c>
      <c r="F2000" s="25" t="s">
        <v>68</v>
      </c>
      <c r="G2000" s="28">
        <v>559000.0</v>
      </c>
      <c r="H2000" s="29"/>
      <c r="I2000" s="28">
        <v>520.0</v>
      </c>
      <c r="J2000" s="28">
        <v>0.0</v>
      </c>
      <c r="K2000" s="25" t="s">
        <v>28</v>
      </c>
      <c r="L2000" s="26">
        <v>4.0</v>
      </c>
      <c r="M2000" s="26">
        <v>2.0</v>
      </c>
      <c r="N2000" s="26">
        <v>1.0</v>
      </c>
      <c r="O2000" s="30"/>
      <c r="P2000" s="30"/>
      <c r="Q2000" s="31"/>
      <c r="R2000" s="32">
        <v>45035.0</v>
      </c>
      <c r="S2000" s="33"/>
      <c r="T2000" s="29"/>
      <c r="U2000" s="33"/>
      <c r="V2000" s="1"/>
    </row>
    <row r="2001" ht="24.0" customHeight="1">
      <c r="A2001" s="1"/>
      <c r="B2001" s="24" t="str">
        <f>HYPERLINK("https://www.compass.com/listing/221-67-manor-road-unit-duplex-queens-ny-11427/1292205501579909913/view?agent_id=610d3f3370540700019b0833","221-67 Manor Rd, Unit DUPLEX")</f>
        <v>221-67 Manor Rd, Unit DUPLEX</v>
      </c>
      <c r="C2001" s="25" t="s">
        <v>364</v>
      </c>
      <c r="D2001" s="26" t="s">
        <v>23</v>
      </c>
      <c r="E2001" s="27" t="str">
        <f>HYPERLINK("https://www.compass.com/building/221-67-manor-rd-queens-ny-11427/307440293514967781/","221-67 Manor Rd")</f>
        <v>221-67 Manor Rd</v>
      </c>
      <c r="F2001" s="25" t="s">
        <v>69</v>
      </c>
      <c r="G2001" s="28">
        <v>338000.0</v>
      </c>
      <c r="H2001" s="29"/>
      <c r="I2001" s="28">
        <v>751.0</v>
      </c>
      <c r="J2001" s="28">
        <v>0.0</v>
      </c>
      <c r="K2001" s="25" t="s">
        <v>25</v>
      </c>
      <c r="L2001" s="26">
        <v>5.0</v>
      </c>
      <c r="M2001" s="26">
        <v>2.0</v>
      </c>
      <c r="N2001" s="26">
        <v>1.0</v>
      </c>
      <c r="O2001" s="30"/>
      <c r="P2001" s="30"/>
      <c r="Q2001" s="31"/>
      <c r="R2001" s="32">
        <v>45027.0</v>
      </c>
      <c r="S2001" s="33"/>
      <c r="T2001" s="29"/>
      <c r="U2001" s="33"/>
      <c r="V2001" s="1"/>
    </row>
    <row r="2002" ht="24.0" customHeight="1">
      <c r="A2002" s="1"/>
      <c r="B2002" s="24" t="str">
        <f>HYPERLINK("https://www.compass.com/listing/225-32-manor-road-unit-dup-queens-ny-11427/1408205509906910841/view?agent_id=610d3f3370540700019b0833","225-32 Manor Rd, Unit DUP")</f>
        <v>225-32 Manor Rd, Unit DUP</v>
      </c>
      <c r="C2002" s="25" t="s">
        <v>364</v>
      </c>
      <c r="D2002" s="26" t="s">
        <v>23</v>
      </c>
      <c r="E2002" s="27" t="str">
        <f>HYPERLINK("https://www.compass.com/building/225-32-manor-rd-queens-ny-11427/445805168987214837/","225-32 Manor Rd")</f>
        <v>225-32 Manor Rd</v>
      </c>
      <c r="F2002" s="25" t="s">
        <v>69</v>
      </c>
      <c r="G2002" s="28">
        <v>367000.0</v>
      </c>
      <c r="H2002" s="29"/>
      <c r="I2002" s="28">
        <v>807.0</v>
      </c>
      <c r="J2002" s="28">
        <v>0.0</v>
      </c>
      <c r="K2002" s="25" t="s">
        <v>25</v>
      </c>
      <c r="L2002" s="26">
        <v>5.0</v>
      </c>
      <c r="M2002" s="26">
        <v>2.0</v>
      </c>
      <c r="N2002" s="26">
        <v>1.0</v>
      </c>
      <c r="O2002" s="30"/>
      <c r="P2002" s="30"/>
      <c r="Q2002" s="31"/>
      <c r="R2002" s="32">
        <v>45219.0</v>
      </c>
      <c r="S2002" s="33"/>
      <c r="T2002" s="29"/>
      <c r="U2002" s="33"/>
      <c r="V2002" s="1"/>
    </row>
    <row r="2003" ht="24.0" customHeight="1">
      <c r="A2003" s="1"/>
      <c r="B2003" s="24" t="str">
        <f>HYPERLINK("https://www.compass.com/listing/32-20-92nd-street-unit-408-queens-ny-11369/1299503082575704313/view?agent_id=610d3f3370540700019b0833","32-20 92nd St, Unit 408")</f>
        <v>32-20 92nd St, Unit 408</v>
      </c>
      <c r="C2003" s="25" t="s">
        <v>364</v>
      </c>
      <c r="D2003" s="26" t="s">
        <v>23</v>
      </c>
      <c r="E2003" s="27" t="str">
        <f>HYPERLINK("https://www.compass.com/building/32-20-92nd-st-queens-ny-11369/307458701107208597/","32-20 92nd St")</f>
        <v>32-20 92nd St</v>
      </c>
      <c r="F2003" s="25" t="s">
        <v>33</v>
      </c>
      <c r="G2003" s="28">
        <v>310000.0</v>
      </c>
      <c r="H2003" s="29"/>
      <c r="I2003" s="28">
        <v>806.0</v>
      </c>
      <c r="J2003" s="28">
        <v>0.0</v>
      </c>
      <c r="K2003" s="25" t="s">
        <v>25</v>
      </c>
      <c r="L2003" s="26">
        <v>5.0</v>
      </c>
      <c r="M2003" s="26">
        <v>2.0</v>
      </c>
      <c r="N2003" s="26">
        <v>1.0</v>
      </c>
      <c r="O2003" s="30"/>
      <c r="P2003" s="30"/>
      <c r="Q2003" s="31"/>
      <c r="R2003" s="32">
        <v>45027.0</v>
      </c>
      <c r="S2003" s="33"/>
      <c r="T2003" s="29"/>
      <c r="U2003" s="33"/>
      <c r="V2003" s="1"/>
    </row>
    <row r="2004" ht="24.0" customHeight="1">
      <c r="A2004" s="1"/>
      <c r="B2004" s="24" t="str">
        <f>HYPERLINK("https://www.compass.com/listing/221-22-manor-road-unit-lowr-queens-ny-11427/1408074804823763465/view?agent_id=610d3f3370540700019b0833","221-22 Manor Rd, Unit LOWR")</f>
        <v>221-22 Manor Rd, Unit LOWR</v>
      </c>
      <c r="C2004" s="25" t="s">
        <v>364</v>
      </c>
      <c r="D2004" s="26" t="s">
        <v>23</v>
      </c>
      <c r="E2004" s="27" t="str">
        <f>HYPERLINK("https://www.compass.com/building/221-22-manor-rd-queens-ny-11427/293531297240875893/","221-22 Manor Rd")</f>
        <v>221-22 Manor Rd</v>
      </c>
      <c r="F2004" s="25" t="s">
        <v>69</v>
      </c>
      <c r="G2004" s="28">
        <v>269000.0</v>
      </c>
      <c r="H2004" s="29"/>
      <c r="I2004" s="28">
        <v>811.0</v>
      </c>
      <c r="J2004" s="28">
        <v>0.0</v>
      </c>
      <c r="K2004" s="25" t="s">
        <v>25</v>
      </c>
      <c r="L2004" s="26">
        <v>5.0</v>
      </c>
      <c r="M2004" s="26">
        <v>2.0</v>
      </c>
      <c r="N2004" s="26">
        <v>1.0</v>
      </c>
      <c r="O2004" s="30"/>
      <c r="P2004" s="30"/>
      <c r="Q2004" s="31"/>
      <c r="R2004" s="32">
        <v>45119.0</v>
      </c>
      <c r="S2004" s="33"/>
      <c r="T2004" s="29"/>
      <c r="U2004" s="33"/>
      <c r="V2004" s="1"/>
    </row>
    <row r="2005" ht="24.0" customHeight="1">
      <c r="A2005" s="1"/>
      <c r="B2005" s="24" t="str">
        <f>HYPERLINK("https://www.compass.com/listing/915-east-17th-street-unit-107-brooklyn-ny-11230/29641171643003441/view?agent_id=610d3f3370540700019b0833","915 E 17th St, Unit 107")</f>
        <v>915 E 17th St, Unit 107</v>
      </c>
      <c r="C2005" s="25" t="s">
        <v>364</v>
      </c>
      <c r="D2005" s="26" t="s">
        <v>23</v>
      </c>
      <c r="E2005" s="27" t="str">
        <f>HYPERLINK("https://www.compass.com/building/terrace-gardens-plaza-brooklyn-ny/293416540907350741/","Terrace Gardens Plaza")</f>
        <v>Terrace Gardens Plaza</v>
      </c>
      <c r="F2005" s="25" t="s">
        <v>34</v>
      </c>
      <c r="G2005" s="28">
        <v>399000.0</v>
      </c>
      <c r="H2005" s="29"/>
      <c r="I2005" s="28">
        <v>757.0</v>
      </c>
      <c r="J2005" s="28">
        <v>0.0</v>
      </c>
      <c r="K2005" s="25" t="s">
        <v>28</v>
      </c>
      <c r="L2005" s="26">
        <v>5.0</v>
      </c>
      <c r="M2005" s="26">
        <v>2.0</v>
      </c>
      <c r="N2005" s="30"/>
      <c r="O2005" s="30"/>
      <c r="P2005" s="30"/>
      <c r="Q2005" s="31"/>
      <c r="R2005" s="32">
        <v>43370.0</v>
      </c>
      <c r="S2005" s="33"/>
      <c r="T2005" s="29"/>
      <c r="U2005" s="33"/>
      <c r="V2005" s="1"/>
    </row>
    <row r="2006" ht="24.0" customHeight="1">
      <c r="A2006" s="1"/>
      <c r="B2006" s="24" t="str">
        <f>HYPERLINK("https://www.compass.com/listing/222-24-union-turnpike-unit-3b-queens-ny-11427/1299547490767786841/view?agent_id=610d3f3370540700019b0833","222-24 Union Tpke, Unit 3B")</f>
        <v>222-24 Union Tpke, Unit 3B</v>
      </c>
      <c r="C2006" s="25" t="s">
        <v>364</v>
      </c>
      <c r="D2006" s="26" t="s">
        <v>23</v>
      </c>
      <c r="E2006" s="26" t="s">
        <v>369</v>
      </c>
      <c r="F2006" s="25" t="s">
        <v>37</v>
      </c>
      <c r="G2006" s="28">
        <v>299000.0</v>
      </c>
      <c r="H2006" s="29"/>
      <c r="I2006" s="28">
        <v>951.0</v>
      </c>
      <c r="J2006" s="28">
        <v>0.0</v>
      </c>
      <c r="K2006" s="25" t="s">
        <v>25</v>
      </c>
      <c r="L2006" s="26">
        <v>4.0</v>
      </c>
      <c r="M2006" s="26">
        <v>2.0</v>
      </c>
      <c r="N2006" s="26">
        <v>1.0</v>
      </c>
      <c r="O2006" s="30"/>
      <c r="P2006" s="30"/>
      <c r="Q2006" s="31"/>
      <c r="R2006" s="32">
        <v>45027.0</v>
      </c>
      <c r="S2006" s="33"/>
      <c r="T2006" s="29"/>
      <c r="U2006" s="33"/>
      <c r="V2006" s="1"/>
    </row>
    <row r="2007" ht="24.0" customHeight="1">
      <c r="A2007" s="1"/>
      <c r="B2007" s="24" t="str">
        <f>HYPERLINK("https://www.compass.com/listing/66-48-gray-street-queens-ny-11379/1292162537931447537/view?agent_id=610d3f3370540700019b0833","66-48 Gray St")</f>
        <v>66-48 Gray St</v>
      </c>
      <c r="C2007" s="25" t="s">
        <v>364</v>
      </c>
      <c r="D2007" s="26" t="s">
        <v>23</v>
      </c>
      <c r="E2007" s="27" t="str">
        <f>HYPERLINK("https://www.compass.com/building/66-48-gray-st-queens-ny-11379/293530736160470421/","66-48 Gray St")</f>
        <v>66-48 Gray St</v>
      </c>
      <c r="F2007" s="25" t="s">
        <v>269</v>
      </c>
      <c r="G2007" s="28">
        <v>949000.0</v>
      </c>
      <c r="H2007" s="29"/>
      <c r="I2007" s="28">
        <v>0.0</v>
      </c>
      <c r="J2007" s="28">
        <v>0.0</v>
      </c>
      <c r="K2007" s="25" t="s">
        <v>25</v>
      </c>
      <c r="L2007" s="26">
        <v>3.0</v>
      </c>
      <c r="M2007" s="26">
        <v>2.0</v>
      </c>
      <c r="N2007" s="26">
        <v>1.0</v>
      </c>
      <c r="O2007" s="30"/>
      <c r="P2007" s="30"/>
      <c r="Q2007" s="31"/>
      <c r="R2007" s="32">
        <v>45027.0</v>
      </c>
      <c r="S2007" s="33"/>
      <c r="T2007" s="29"/>
      <c r="U2007" s="33"/>
      <c r="V2007" s="1"/>
    </row>
    <row r="2008" ht="24.0" customHeight="1">
      <c r="A2008" s="1"/>
      <c r="B2008" s="24" t="str">
        <f>HYPERLINK("https://www.compass.com/listing/251-47-71st-road-unit-57a-queens-ny-11426/1597279770342867009/view?agent_id=610d3f3370540700019b0833","251-47 71st Rd, Unit 57A")</f>
        <v>251-47 71st Rd, Unit 57A</v>
      </c>
      <c r="C2008" s="25" t="s">
        <v>364</v>
      </c>
      <c r="D2008" s="26" t="s">
        <v>23</v>
      </c>
      <c r="E2008" s="27" t="str">
        <f>HYPERLINK("https://www.compass.com/building/251-47-71st-rd-queens-ny-11426/344163476302742149/","251-47 71st Rd")</f>
        <v>251-47 71st Rd</v>
      </c>
      <c r="F2008" s="25" t="s">
        <v>92</v>
      </c>
      <c r="G2008" s="28">
        <v>360000.0</v>
      </c>
      <c r="H2008" s="29"/>
      <c r="I2008" s="28">
        <v>111.0</v>
      </c>
      <c r="J2008" s="28">
        <v>1332.0</v>
      </c>
      <c r="K2008" s="25" t="s">
        <v>25</v>
      </c>
      <c r="L2008" s="26">
        <v>4.0</v>
      </c>
      <c r="M2008" s="26">
        <v>2.0</v>
      </c>
      <c r="N2008" s="26">
        <v>1.0</v>
      </c>
      <c r="O2008" s="30"/>
      <c r="P2008" s="30"/>
      <c r="Q2008" s="31"/>
      <c r="R2008" s="32">
        <v>45457.0</v>
      </c>
      <c r="S2008" s="33"/>
      <c r="T2008" s="29"/>
      <c r="U2008" s="33"/>
      <c r="V2008" s="1"/>
    </row>
    <row r="2009" ht="24.0" customHeight="1">
      <c r="A2009" s="1"/>
      <c r="B2009" s="24" t="str">
        <f>HYPERLINK("https://www.compass.com/listing/345-west-70th-street-unit-3f-manhattan-ny-10023/1079062421212074265/view?agent_id=610d3f3370540700019b0833","345 W 70th St, Unit 3F")</f>
        <v>345 W 70th St, Unit 3F</v>
      </c>
      <c r="C2009" s="25" t="s">
        <v>364</v>
      </c>
      <c r="D2009" s="26" t="s">
        <v>23</v>
      </c>
      <c r="E2009" s="27" t="str">
        <f>HYPERLINK("https://www.compass.com/building/345-w-70th-st-manhattan-ny-10023/281960274032929269/","345 W 70th St")</f>
        <v>345 W 70th St</v>
      </c>
      <c r="F2009" s="25" t="s">
        <v>29</v>
      </c>
      <c r="G2009" s="28">
        <v>1249000.0</v>
      </c>
      <c r="H2009" s="29"/>
      <c r="I2009" s="28">
        <v>1570.0</v>
      </c>
      <c r="J2009" s="28">
        <v>0.0</v>
      </c>
      <c r="K2009" s="25" t="s">
        <v>25</v>
      </c>
      <c r="L2009" s="26">
        <v>5.0</v>
      </c>
      <c r="M2009" s="26">
        <v>2.0</v>
      </c>
      <c r="N2009" s="26">
        <v>1.0</v>
      </c>
      <c r="O2009" s="30"/>
      <c r="P2009" s="30"/>
      <c r="Q2009" s="31"/>
      <c r="R2009" s="32">
        <v>44778.0</v>
      </c>
      <c r="S2009" s="33"/>
      <c r="T2009" s="29"/>
      <c r="U2009" s="33"/>
      <c r="V2009" s="1"/>
    </row>
    <row r="2010" ht="24.0" customHeight="1">
      <c r="A2010" s="1"/>
      <c r="B2010" s="24" t="str">
        <f>HYPERLINK("https://www.compass.com/listing/211-06-75th-avenue-unit-5e-queens-ny-11364/1692490102659932721/view?agent_id=610d3f3370540700019b0833","211-06 75th Ave, Unit 5E")</f>
        <v>211-06 75th Ave, Unit 5E</v>
      </c>
      <c r="C2010" s="25" t="s">
        <v>364</v>
      </c>
      <c r="D2010" s="26" t="s">
        <v>23</v>
      </c>
      <c r="E2010" s="27" t="str">
        <f t="shared" ref="E2010:E2011" si="26">HYPERLINK("https://www.compass.com/building/211-06-75th-ave-queens-ny-11364/307437215659136901/","211-06 75th Ave")</f>
        <v>211-06 75th Ave</v>
      </c>
      <c r="F2010" s="25" t="s">
        <v>37</v>
      </c>
      <c r="G2010" s="28">
        <v>499000.0</v>
      </c>
      <c r="H2010" s="29"/>
      <c r="I2010" s="28">
        <v>0.0</v>
      </c>
      <c r="J2010" s="28">
        <v>0.0</v>
      </c>
      <c r="K2010" s="25" t="s">
        <v>25</v>
      </c>
      <c r="L2010" s="26">
        <v>4.0</v>
      </c>
      <c r="M2010" s="26">
        <v>2.0</v>
      </c>
      <c r="N2010" s="26">
        <v>1.0</v>
      </c>
      <c r="O2010" s="30"/>
      <c r="P2010" s="30"/>
      <c r="Q2010" s="31"/>
      <c r="R2010" s="32">
        <v>45608.0</v>
      </c>
      <c r="S2010" s="33"/>
      <c r="T2010" s="29"/>
      <c r="U2010" s="33"/>
      <c r="V2010" s="1"/>
    </row>
    <row r="2011" ht="24.0" customHeight="1">
      <c r="A2011" s="1"/>
      <c r="B2011" s="24" t="str">
        <f>HYPERLINK("https://www.compass.com/listing/211-06-75th-avenue-unit-5e-queens-ny-11364/1724210963183076833/view?agent_id=610d3f3370540700019b0833","211-06 75th Ave, Unit 5E")</f>
        <v>211-06 75th Ave, Unit 5E</v>
      </c>
      <c r="C2011" s="25" t="s">
        <v>365</v>
      </c>
      <c r="D2011" s="26" t="s">
        <v>23</v>
      </c>
      <c r="E2011" s="27" t="str">
        <f t="shared" si="26"/>
        <v>211-06 75th Ave</v>
      </c>
      <c r="F2011" s="25" t="s">
        <v>37</v>
      </c>
      <c r="G2011" s="28">
        <v>499000.0</v>
      </c>
      <c r="H2011" s="29"/>
      <c r="I2011" s="28">
        <v>0.0</v>
      </c>
      <c r="J2011" s="28">
        <v>0.0</v>
      </c>
      <c r="K2011" s="25" t="s">
        <v>25</v>
      </c>
      <c r="L2011" s="26">
        <v>4.0</v>
      </c>
      <c r="M2011" s="26">
        <v>2.0</v>
      </c>
      <c r="N2011" s="26">
        <v>1.0</v>
      </c>
      <c r="O2011" s="30"/>
      <c r="P2011" s="30"/>
      <c r="Q2011" s="31"/>
      <c r="R2011" s="32">
        <v>45765.0</v>
      </c>
      <c r="S2011" s="33"/>
      <c r="T2011" s="29"/>
      <c r="U2011" s="33"/>
      <c r="V2011" s="1"/>
    </row>
    <row r="2012" ht="24.0" customHeight="1">
      <c r="A2012" s="1"/>
      <c r="B2012" s="24" t="str">
        <f>HYPERLINK("https://www.compass.com/listing/213-02-73rd-avenue-unit-3f-queens-ny-11364/1408074536372343425/view?agent_id=610d3f3370540700019b0833","213-02 73rd Ave, Unit 3F")</f>
        <v>213-02 73rd Ave, Unit 3F</v>
      </c>
      <c r="C2012" s="25" t="s">
        <v>364</v>
      </c>
      <c r="D2012" s="26" t="s">
        <v>23</v>
      </c>
      <c r="E2012" s="27" t="str">
        <f>HYPERLINK("https://www.compass.com/building/213-02-73rd-ave-queens-ny-11364/441141177036010061/","213-02 73rd Ave")</f>
        <v>213-02 73rd Ave</v>
      </c>
      <c r="F2012" s="25" t="s">
        <v>37</v>
      </c>
      <c r="G2012" s="28">
        <v>340000.0</v>
      </c>
      <c r="H2012" s="29"/>
      <c r="I2012" s="28">
        <v>801.0</v>
      </c>
      <c r="J2012" s="28">
        <v>0.0</v>
      </c>
      <c r="K2012" s="25" t="s">
        <v>25</v>
      </c>
      <c r="L2012" s="26">
        <v>5.0</v>
      </c>
      <c r="M2012" s="26">
        <v>2.0</v>
      </c>
      <c r="N2012" s="26">
        <v>1.0</v>
      </c>
      <c r="O2012" s="30"/>
      <c r="P2012" s="30"/>
      <c r="Q2012" s="31"/>
      <c r="R2012" s="32">
        <v>45121.0</v>
      </c>
      <c r="S2012" s="33"/>
      <c r="T2012" s="29"/>
      <c r="U2012" s="33"/>
      <c r="V2012" s="1"/>
    </row>
    <row r="2013" ht="24.0" customHeight="1">
      <c r="A2013" s="1"/>
      <c r="B2013" s="24" t="str">
        <f>HYPERLINK("https://www.compass.com/listing/219-15-75th-avenue-unit-lowr-queens-ny-11364/1764870286445071857/view?agent_id=610d3f3370540700019b0833","219-15 75th Ave, Unit LOWR")</f>
        <v>219-15 75th Ave, Unit LOWR</v>
      </c>
      <c r="C2013" s="25" t="s">
        <v>364</v>
      </c>
      <c r="D2013" s="26" t="s">
        <v>23</v>
      </c>
      <c r="E2013" s="27" t="str">
        <f>HYPERLINK("https://www.compass.com/building/219-15-75th-ave-queens-ny-11364/307438932522101733/","219-15 75th Ave")</f>
        <v>219-15 75th Ave</v>
      </c>
      <c r="F2013" s="25" t="s">
        <v>37</v>
      </c>
      <c r="G2013" s="28">
        <v>369000.0</v>
      </c>
      <c r="H2013" s="29"/>
      <c r="I2013" s="28">
        <v>994.0</v>
      </c>
      <c r="J2013" s="28">
        <v>0.0</v>
      </c>
      <c r="K2013" s="25" t="s">
        <v>25</v>
      </c>
      <c r="L2013" s="26">
        <v>5.0</v>
      </c>
      <c r="M2013" s="26">
        <v>2.0</v>
      </c>
      <c r="N2013" s="26">
        <v>1.0</v>
      </c>
      <c r="O2013" s="30"/>
      <c r="P2013" s="30"/>
      <c r="Q2013" s="31"/>
      <c r="R2013" s="32">
        <v>45027.0</v>
      </c>
      <c r="S2013" s="33"/>
      <c r="T2013" s="29"/>
      <c r="U2013" s="33"/>
      <c r="V2013" s="1"/>
    </row>
    <row r="2014" ht="24.0" customHeight="1">
      <c r="A2014" s="1"/>
      <c r="B2014" s="24" t="str">
        <f>HYPERLINK("https://www.compass.com/listing/73-70-springfield-boulevard-unit-uppr-queens-ny-11364/1709586562347394905/view?agent_id=610d3f3370540700019b0833","73-70 Springfield Blvd, Unit UPPR")</f>
        <v>73-70 Springfield Blvd, Unit UPPR</v>
      </c>
      <c r="C2014" s="25" t="s">
        <v>364</v>
      </c>
      <c r="D2014" s="26" t="s">
        <v>23</v>
      </c>
      <c r="E2014" s="27" t="str">
        <f>HYPERLINK("https://www.compass.com/building/73-70-springfield-blvd-queens-ny-11364/381308801534430901/","73-70 Springfield Blvd")</f>
        <v>73-70 Springfield Blvd</v>
      </c>
      <c r="F2014" s="25" t="s">
        <v>37</v>
      </c>
      <c r="G2014" s="28">
        <v>319000.0</v>
      </c>
      <c r="H2014" s="29"/>
      <c r="I2014" s="28">
        <v>684.0</v>
      </c>
      <c r="J2014" s="28">
        <v>0.0</v>
      </c>
      <c r="K2014" s="25" t="s">
        <v>25</v>
      </c>
      <c r="L2014" s="26">
        <v>4.0</v>
      </c>
      <c r="M2014" s="26">
        <v>2.0</v>
      </c>
      <c r="N2014" s="26">
        <v>1.0</v>
      </c>
      <c r="O2014" s="30"/>
      <c r="P2014" s="30"/>
      <c r="Q2014" s="31"/>
      <c r="R2014" s="32">
        <v>45027.0</v>
      </c>
      <c r="S2014" s="33"/>
      <c r="T2014" s="29"/>
      <c r="U2014" s="33"/>
      <c r="V2014" s="1"/>
    </row>
    <row r="2015" ht="24.0" customHeight="1">
      <c r="A2015" s="1"/>
      <c r="B2015" s="24" t="str">
        <f>HYPERLINK("https://www.compass.com/listing/27-10-parsons-boulevard-unit-2b-queens-ny-11354/1292222963083837505/view?agent_id=610d3f3370540700019b0833","27-10 Parsons Blvd, Unit 2B")</f>
        <v>27-10 Parsons Blvd, Unit 2B</v>
      </c>
      <c r="C2015" s="25" t="s">
        <v>364</v>
      </c>
      <c r="D2015" s="26" t="s">
        <v>23</v>
      </c>
      <c r="E2015" s="27" t="str">
        <f>HYPERLINK("https://www.compass.com/building/27-10-parsons-blvd-queens-ny-11354/294838642505804501/","27-10 Parsons Blvd")</f>
        <v>27-10 Parsons Blvd</v>
      </c>
      <c r="F2015" s="25" t="s">
        <v>185</v>
      </c>
      <c r="G2015" s="28">
        <v>275000.0</v>
      </c>
      <c r="H2015" s="29"/>
      <c r="I2015" s="28">
        <v>0.0</v>
      </c>
      <c r="J2015" s="28">
        <v>0.0</v>
      </c>
      <c r="K2015" s="25" t="s">
        <v>25</v>
      </c>
      <c r="L2015" s="26">
        <v>5.0</v>
      </c>
      <c r="M2015" s="26">
        <v>2.0</v>
      </c>
      <c r="N2015" s="26">
        <v>1.0</v>
      </c>
      <c r="O2015" s="30"/>
      <c r="P2015" s="30"/>
      <c r="Q2015" s="31"/>
      <c r="R2015" s="32">
        <v>45027.0</v>
      </c>
      <c r="S2015" s="33"/>
      <c r="T2015" s="29"/>
      <c r="U2015" s="33"/>
      <c r="V2015" s="1"/>
    </row>
    <row r="2016" ht="24.0" customHeight="1">
      <c r="A2016" s="1"/>
      <c r="B2016" s="24" t="str">
        <f>HYPERLINK("https://www.compass.com/listing/70-25-yellowstone-boulevard-unit-2t-queens-ny-11375/1624593623686616337/view?agent_id=610d3f3370540700019b0833","70-25 Yellowstone Blvd, Unit 2T")</f>
        <v>70-25 Yellowstone Blvd, Unit 2T</v>
      </c>
      <c r="C2016" s="25" t="s">
        <v>364</v>
      </c>
      <c r="D2016" s="26" t="s">
        <v>23</v>
      </c>
      <c r="E2016" s="27" t="str">
        <f>HYPERLINK("https://www.compass.com/building/gerard-towers-queens-ny/293527034418783141/","Gerard Towers")</f>
        <v>Gerard Towers</v>
      </c>
      <c r="F2016" s="25" t="s">
        <v>83</v>
      </c>
      <c r="G2016" s="28">
        <v>548000.0</v>
      </c>
      <c r="H2016" s="28">
        <v>548.0</v>
      </c>
      <c r="I2016" s="28">
        <v>1550.0</v>
      </c>
      <c r="J2016" s="28">
        <v>0.0</v>
      </c>
      <c r="K2016" s="25" t="s">
        <v>25</v>
      </c>
      <c r="L2016" s="26">
        <v>4.0</v>
      </c>
      <c r="M2016" s="26">
        <v>2.0</v>
      </c>
      <c r="N2016" s="26">
        <v>1.0</v>
      </c>
      <c r="O2016" s="30"/>
      <c r="P2016" s="34">
        <v>1000.0</v>
      </c>
      <c r="Q2016" s="31"/>
      <c r="R2016" s="32">
        <v>45523.0</v>
      </c>
      <c r="S2016" s="33"/>
      <c r="T2016" s="29"/>
      <c r="U2016" s="33"/>
      <c r="V2016" s="1"/>
    </row>
    <row r="2017" ht="24.0" customHeight="1">
      <c r="A2017" s="1"/>
      <c r="B2017" s="24" t="str">
        <f>HYPERLINK("https://www.compass.com/listing/193-bleecker-street-unit-12b-manhattan-ny-10012/1809606058000045545/view?agent_id=610d3f3370540700019b0833","193 Bleecker St, Unit 12B")</f>
        <v>193 Bleecker St, Unit 12B</v>
      </c>
      <c r="C2017" s="25" t="s">
        <v>370</v>
      </c>
      <c r="D2017" s="26" t="s">
        <v>23</v>
      </c>
      <c r="E2017" s="27" t="str">
        <f>HYPERLINK("https://www.compass.com/building/193-bleecker-st-manhattan-ny-10012/294844283769023541/","193 Bleecker St")</f>
        <v>193 Bleecker St</v>
      </c>
      <c r="F2017" s="25" t="s">
        <v>43</v>
      </c>
      <c r="G2017" s="28">
        <v>699000.0</v>
      </c>
      <c r="H2017" s="29"/>
      <c r="I2017" s="28">
        <v>1177.0</v>
      </c>
      <c r="J2017" s="28">
        <v>0.0</v>
      </c>
      <c r="K2017" s="25" t="s">
        <v>25</v>
      </c>
      <c r="L2017" s="26">
        <v>4.0</v>
      </c>
      <c r="M2017" s="26">
        <v>2.0</v>
      </c>
      <c r="N2017" s="26">
        <v>1.0</v>
      </c>
      <c r="O2017" s="26">
        <v>0.0</v>
      </c>
      <c r="P2017" s="30"/>
      <c r="Q2017" s="35">
        <v>351.0</v>
      </c>
      <c r="R2017" s="32">
        <v>45636.0</v>
      </c>
      <c r="S2017" s="32">
        <v>45140.0</v>
      </c>
      <c r="T2017" s="29"/>
      <c r="U2017" s="33"/>
      <c r="V2017" s="1"/>
    </row>
    <row r="2018" ht="24.0" customHeight="1">
      <c r="A2018" s="1"/>
      <c r="B2018" s="24" t="str">
        <f>HYPERLINK("https://www.compass.com/listing/250-mercer-street-unit-b1401-manhattan-ny-10012/1607956741653985657/view?agent_id=610d3f3370540700019b0833","250 Mercer Street, Unit B1401")</f>
        <v>250 Mercer Street, Unit B1401</v>
      </c>
      <c r="C2018" s="25" t="s">
        <v>364</v>
      </c>
      <c r="D2018" s="26" t="s">
        <v>23</v>
      </c>
      <c r="E2018" s="27" t="str">
        <f>HYPERLINK("https://www.compass.com/building/mercer-square-owners-corp-manhattan-ny/281913053375656181/","Mercer Square Owners Corp")</f>
        <v>Mercer Square Owners Corp</v>
      </c>
      <c r="F2018" s="25" t="s">
        <v>43</v>
      </c>
      <c r="G2018" s="28">
        <v>1695000.0</v>
      </c>
      <c r="H2018" s="29"/>
      <c r="I2018" s="28">
        <v>2974.0</v>
      </c>
      <c r="J2018" s="28">
        <v>0.0</v>
      </c>
      <c r="K2018" s="25" t="s">
        <v>25</v>
      </c>
      <c r="L2018" s="26">
        <v>4.0</v>
      </c>
      <c r="M2018" s="26">
        <v>2.0</v>
      </c>
      <c r="N2018" s="26">
        <v>1.0</v>
      </c>
      <c r="O2018" s="26">
        <v>0.0</v>
      </c>
      <c r="P2018" s="30"/>
      <c r="Q2018" s="35">
        <v>116.0</v>
      </c>
      <c r="R2018" s="32">
        <v>45586.0</v>
      </c>
      <c r="S2018" s="32">
        <v>45470.0</v>
      </c>
      <c r="T2018" s="29"/>
      <c r="U2018" s="33"/>
      <c r="V2018" s="1"/>
    </row>
    <row r="2019" ht="24.0" customHeight="1">
      <c r="A2019" s="1"/>
      <c r="B2019" s="24" t="str">
        <f>HYPERLINK("https://www.compass.com/listing/39-1-2-washington-square-south-unit-5-manhattan-ny-10012/1417410545270894073/view?agent_id=610d3f3370540700019b0833","39 1/2 Washington Square South, Unit 5")</f>
        <v>39 1/2 Washington Square South, Unit 5</v>
      </c>
      <c r="C2019" s="25" t="s">
        <v>364</v>
      </c>
      <c r="D2019" s="26" t="s">
        <v>23</v>
      </c>
      <c r="E2019" s="27" t="str">
        <f>HYPERLINK("https://www.compass.com/building/39-1-2-washington-square-s-manhattan-ny-10012/567444506100370533/","39 1/2 Washington Square S")</f>
        <v>39 1/2 Washington Square S</v>
      </c>
      <c r="F2019" s="25" t="s">
        <v>43</v>
      </c>
      <c r="G2019" s="28">
        <v>2195000.0</v>
      </c>
      <c r="H2019" s="29"/>
      <c r="I2019" s="28">
        <v>1650.0</v>
      </c>
      <c r="J2019" s="28">
        <v>0.0</v>
      </c>
      <c r="K2019" s="25" t="s">
        <v>25</v>
      </c>
      <c r="L2019" s="26">
        <v>6.0</v>
      </c>
      <c r="M2019" s="26">
        <v>2.0</v>
      </c>
      <c r="N2019" s="26">
        <v>1.0</v>
      </c>
      <c r="O2019" s="30"/>
      <c r="P2019" s="30"/>
      <c r="Q2019" s="35">
        <v>37.0</v>
      </c>
      <c r="R2019" s="32">
        <v>45281.0</v>
      </c>
      <c r="S2019" s="32">
        <v>45243.0</v>
      </c>
      <c r="T2019" s="29"/>
      <c r="U2019" s="33"/>
      <c r="V2019" s="1"/>
    </row>
    <row r="2020" ht="24.0" customHeight="1">
      <c r="A2020" s="1"/>
      <c r="B2020" s="24" t="str">
        <f>HYPERLINK("https://www.compass.com/listing/39-washington-square-south-unit-5-manhattan-ny-10012/1443924821936364473/view?agent_id=610d3f3370540700019b0833","39 Washington Square South, Unit 5")</f>
        <v>39 Washington Square South, Unit 5</v>
      </c>
      <c r="C2020" s="25" t="s">
        <v>370</v>
      </c>
      <c r="D2020" s="26" t="s">
        <v>23</v>
      </c>
      <c r="E2020" s="27" t="str">
        <f>HYPERLINK("https://www.compass.com/building/39-washington-square-s-manhattan-ny-10012/298447612197545621/","39 Washington Square S")</f>
        <v>39 Washington Square S</v>
      </c>
      <c r="F2020" s="25" t="s">
        <v>43</v>
      </c>
      <c r="G2020" s="28">
        <v>2195000.0</v>
      </c>
      <c r="H2020" s="29"/>
      <c r="I2020" s="28">
        <v>1650.0</v>
      </c>
      <c r="J2020" s="29"/>
      <c r="K2020" s="25" t="s">
        <v>25</v>
      </c>
      <c r="L2020" s="26">
        <v>6.0</v>
      </c>
      <c r="M2020" s="26">
        <v>2.0</v>
      </c>
      <c r="N2020" s="26">
        <v>1.0</v>
      </c>
      <c r="O2020" s="30"/>
      <c r="P2020" s="30"/>
      <c r="Q2020" s="35">
        <v>38.0</v>
      </c>
      <c r="R2020" s="32">
        <v>45567.0</v>
      </c>
      <c r="S2020" s="32">
        <v>45243.0</v>
      </c>
      <c r="T2020" s="29"/>
      <c r="U2020" s="33"/>
      <c r="V2020" s="1"/>
    </row>
    <row r="2021" ht="24.0" customHeight="1">
      <c r="A2021" s="1"/>
      <c r="B2021" s="24" t="str">
        <f>HYPERLINK("https://www.compass.com/listing/33-5th-avenue-unit-7c-manhattan-ny-10003/177475691254650257/view?agent_id=610d3f3370540700019b0833","33 5th Avenue, Unit 7C")</f>
        <v>33 5th Avenue, Unit 7C</v>
      </c>
      <c r="C2021" s="25" t="s">
        <v>364</v>
      </c>
      <c r="D2021" s="26" t="s">
        <v>23</v>
      </c>
      <c r="E2021" s="27" t="str">
        <f>HYPERLINK("https://www.compass.com/building/33-5th-ave-manhattan-ny-10003/281892710195928629/","33 5th Ave")</f>
        <v>33 5th Ave</v>
      </c>
      <c r="F2021" s="25" t="s">
        <v>43</v>
      </c>
      <c r="G2021" s="28">
        <v>1895000.0</v>
      </c>
      <c r="H2021" s="29"/>
      <c r="I2021" s="28">
        <v>2676.0</v>
      </c>
      <c r="J2021" s="28">
        <v>0.0</v>
      </c>
      <c r="K2021" s="25" t="s">
        <v>25</v>
      </c>
      <c r="L2021" s="26">
        <v>6.0</v>
      </c>
      <c r="M2021" s="26">
        <v>2.0</v>
      </c>
      <c r="N2021" s="26">
        <v>0.0</v>
      </c>
      <c r="O2021" s="26">
        <v>0.0</v>
      </c>
      <c r="P2021" s="30"/>
      <c r="Q2021" s="35">
        <v>206.0</v>
      </c>
      <c r="R2021" s="32">
        <v>43717.0</v>
      </c>
      <c r="S2021" s="32">
        <v>43496.0</v>
      </c>
      <c r="T2021" s="29"/>
      <c r="U2021" s="33"/>
      <c r="V2021" s="1"/>
    </row>
    <row r="2022" ht="24.0" customHeight="1">
      <c r="A2022" s="1"/>
      <c r="B2022" s="24" t="str">
        <f>HYPERLINK("https://www.compass.com/listing/1-west-67th-street-unit-300-manhattan-ny-10023/1840087393384968217/view?agent_id=610d3f3370540700019b0833","1 West 67th Street, Unit 300")</f>
        <v>1 West 67th Street, Unit 300</v>
      </c>
      <c r="C2022" s="25" t="s">
        <v>365</v>
      </c>
      <c r="D2022" s="26" t="s">
        <v>23</v>
      </c>
      <c r="E2022" s="27" t="str">
        <f>HYPERLINK("https://www.compass.com/building/hotel-des-artistes-manhattan-ny/282059006271323077/","Hotel des Artistes")</f>
        <v>Hotel des Artistes</v>
      </c>
      <c r="F2022" s="25" t="s">
        <v>29</v>
      </c>
      <c r="G2022" s="28">
        <v>1775000.0</v>
      </c>
      <c r="H2022" s="29"/>
      <c r="I2022" s="28">
        <v>5377.0</v>
      </c>
      <c r="J2022" s="28">
        <v>0.0</v>
      </c>
      <c r="K2022" s="25" t="s">
        <v>25</v>
      </c>
      <c r="L2022" s="26">
        <v>5.0</v>
      </c>
      <c r="M2022" s="26">
        <v>2.0</v>
      </c>
      <c r="N2022" s="26">
        <v>1.0</v>
      </c>
      <c r="O2022" s="30"/>
      <c r="P2022" s="30"/>
      <c r="Q2022" s="35">
        <v>42.0</v>
      </c>
      <c r="R2022" s="32">
        <v>45833.0</v>
      </c>
      <c r="S2022" s="32">
        <v>45790.0</v>
      </c>
      <c r="T2022" s="29"/>
      <c r="U2022" s="33"/>
      <c r="V2022" s="1"/>
    </row>
    <row r="2023" ht="24.0" customHeight="1">
      <c r="A2023" s="1"/>
      <c r="B2023" s="24" t="str">
        <f>HYPERLINK("https://www.compass.com/listing/184-thompson-street-unit-3fl-1v-manhattan-ny-10012/4852306673412344321/view?agent_id=610d3f3370540700019b0833","184 Thompson Street, Unit 3FL/1V")</f>
        <v>184 Thompson Street, Unit 3FL/1V</v>
      </c>
      <c r="C2023" s="25" t="s">
        <v>370</v>
      </c>
      <c r="D2023" s="26" t="s">
        <v>23</v>
      </c>
      <c r="E2023" s="27" t="str">
        <f>HYPERLINK("https://www.compass.com/building/184-thompson-st-manhattan-ny-10012/281913651978333013/","184 Thompson St")</f>
        <v>184 Thompson St</v>
      </c>
      <c r="F2023" s="25" t="s">
        <v>43</v>
      </c>
      <c r="G2023" s="28">
        <v>1495000.0</v>
      </c>
      <c r="H2023" s="28">
        <v>1530.0</v>
      </c>
      <c r="I2023" s="28">
        <v>1699.0</v>
      </c>
      <c r="J2023" s="28">
        <v>9156.0</v>
      </c>
      <c r="K2023" s="25" t="s">
        <v>28</v>
      </c>
      <c r="L2023" s="26">
        <v>4.0</v>
      </c>
      <c r="M2023" s="26">
        <v>2.0</v>
      </c>
      <c r="N2023" s="26">
        <v>0.0</v>
      </c>
      <c r="O2023" s="26">
        <v>0.0</v>
      </c>
      <c r="P2023" s="26">
        <v>977.0</v>
      </c>
      <c r="Q2023" s="35">
        <v>8.0</v>
      </c>
      <c r="R2023" s="32">
        <v>45636.0</v>
      </c>
      <c r="S2023" s="32">
        <v>42443.0</v>
      </c>
      <c r="T2023" s="29"/>
      <c r="U2023" s="33"/>
      <c r="V2023" s="1"/>
    </row>
    <row r="2024" ht="24.0" customHeight="1">
      <c r="A2024" s="1"/>
      <c r="B2024" s="24" t="str">
        <f>HYPERLINK("https://www.compass.com/listing/92-horatio-street-unit-3s-manhattan-ny-10014/29509479909418241/view?agent_id=610d3f3370540700019b0833","92 Horatio Street, Unit 3S")</f>
        <v>92 Horatio Street, Unit 3S</v>
      </c>
      <c r="C2024" s="25" t="s">
        <v>364</v>
      </c>
      <c r="D2024" s="26" t="s">
        <v>23</v>
      </c>
      <c r="E2024" s="27" t="str">
        <f>HYPERLINK("https://www.compass.com/building/92-horatio-st-manhattan-ny-10014/281936370476307461/","92 Horatio St")</f>
        <v>92 Horatio St</v>
      </c>
      <c r="F2024" s="25" t="s">
        <v>26</v>
      </c>
      <c r="G2024" s="28">
        <v>1495000.0</v>
      </c>
      <c r="H2024" s="29"/>
      <c r="I2024" s="28">
        <v>1756.0</v>
      </c>
      <c r="J2024" s="28">
        <v>0.0</v>
      </c>
      <c r="K2024" s="25" t="s">
        <v>25</v>
      </c>
      <c r="L2024" s="26">
        <v>4.0</v>
      </c>
      <c r="M2024" s="26">
        <v>2.0</v>
      </c>
      <c r="N2024" s="30"/>
      <c r="O2024" s="30"/>
      <c r="P2024" s="30"/>
      <c r="Q2024" s="35">
        <v>268.0</v>
      </c>
      <c r="R2024" s="32">
        <v>43615.0</v>
      </c>
      <c r="S2024" s="32">
        <v>43347.0</v>
      </c>
      <c r="T2024" s="29"/>
      <c r="U2024" s="33"/>
      <c r="V2024" s="1"/>
    </row>
    <row r="2025" ht="24.0" customHeight="1">
      <c r="A2025" s="1"/>
      <c r="B2025" s="24" t="str">
        <f>HYPERLINK("https://www.compass.com/listing/23-east-10th-street-unit-215-manhattan-ny-10003/1265911463004250729/view?agent_id=610d3f3370540700019b0833","23 East 10th Street, Unit 215")</f>
        <v>23 East 10th Street, Unit 215</v>
      </c>
      <c r="C2025" s="25" t="s">
        <v>365</v>
      </c>
      <c r="D2025" s="26" t="s">
        <v>23</v>
      </c>
      <c r="E2025" s="27" t="str">
        <f t="shared" ref="E2025:E2027" si="27">HYPERLINK("https://www.compass.com/building/the-albert-manhattan-ny/292786710872340549/","The Albert")</f>
        <v>The Albert</v>
      </c>
      <c r="F2025" s="25" t="s">
        <v>43</v>
      </c>
      <c r="G2025" s="28">
        <v>1650000.0</v>
      </c>
      <c r="H2025" s="29"/>
      <c r="I2025" s="28">
        <v>2460.0</v>
      </c>
      <c r="J2025" s="28">
        <v>0.0</v>
      </c>
      <c r="K2025" s="25" t="s">
        <v>25</v>
      </c>
      <c r="L2025" s="26">
        <v>4.0</v>
      </c>
      <c r="M2025" s="26">
        <v>2.0</v>
      </c>
      <c r="N2025" s="26">
        <v>1.0</v>
      </c>
      <c r="O2025" s="26">
        <v>0.0</v>
      </c>
      <c r="P2025" s="30"/>
      <c r="Q2025" s="35">
        <v>0.0</v>
      </c>
      <c r="R2025" s="32">
        <v>45000.0</v>
      </c>
      <c r="S2025" s="32">
        <v>44998.0</v>
      </c>
      <c r="T2025" s="29"/>
      <c r="U2025" s="33"/>
      <c r="V2025" s="1"/>
    </row>
    <row r="2026" ht="24.0" customHeight="1">
      <c r="A2026" s="1"/>
      <c r="B2026" s="24" t="str">
        <f>HYPERLINK("https://www.compass.com/listing/23-east-10th-street-unit-215-manhattan-ny-10003/4848798201500673281/view?agent_id=610d3f3370540700019b0833","23 East 10th Street, Unit 215")</f>
        <v>23 East 10th Street, Unit 215</v>
      </c>
      <c r="C2026" s="25" t="s">
        <v>370</v>
      </c>
      <c r="D2026" s="26" t="s">
        <v>23</v>
      </c>
      <c r="E2026" s="27" t="str">
        <f t="shared" si="27"/>
        <v>The Albert</v>
      </c>
      <c r="F2026" s="25" t="s">
        <v>43</v>
      </c>
      <c r="G2026" s="28">
        <v>1599000.0</v>
      </c>
      <c r="H2026" s="29"/>
      <c r="I2026" s="28">
        <v>2239.0</v>
      </c>
      <c r="J2026" s="29"/>
      <c r="K2026" s="25" t="s">
        <v>25</v>
      </c>
      <c r="L2026" s="26">
        <v>4.0</v>
      </c>
      <c r="M2026" s="26">
        <v>2.0</v>
      </c>
      <c r="N2026" s="26">
        <v>0.0</v>
      </c>
      <c r="O2026" s="26">
        <v>0.0</v>
      </c>
      <c r="P2026" s="30"/>
      <c r="Q2026" s="35">
        <v>476.0</v>
      </c>
      <c r="R2026" s="32">
        <v>45636.0</v>
      </c>
      <c r="S2026" s="32">
        <v>42480.0</v>
      </c>
      <c r="T2026" s="29"/>
      <c r="U2026" s="33"/>
      <c r="V2026" s="1"/>
    </row>
    <row r="2027" ht="24.0" customHeight="1">
      <c r="A2027" s="1"/>
      <c r="B2027" s="24" t="str">
        <f>HYPERLINK("https://www.compass.com/listing/23-east-10th-street-unit-215-manhattan-ny-10003/1273360264983185241/view?agent_id=610d3f3370540700019b0833","23 East 10th Street, Unit 215")</f>
        <v>23 East 10th Street, Unit 215</v>
      </c>
      <c r="C2027" s="25" t="s">
        <v>365</v>
      </c>
      <c r="D2027" s="26" t="s">
        <v>23</v>
      </c>
      <c r="E2027" s="27" t="str">
        <f t="shared" si="27"/>
        <v>The Albert</v>
      </c>
      <c r="F2027" s="25" t="s">
        <v>43</v>
      </c>
      <c r="G2027" s="28">
        <v>1498000.0</v>
      </c>
      <c r="H2027" s="29"/>
      <c r="I2027" s="28">
        <v>2460.0</v>
      </c>
      <c r="J2027" s="28">
        <v>0.0</v>
      </c>
      <c r="K2027" s="25" t="s">
        <v>25</v>
      </c>
      <c r="L2027" s="26">
        <v>4.0</v>
      </c>
      <c r="M2027" s="26">
        <v>2.0</v>
      </c>
      <c r="N2027" s="26">
        <v>1.0</v>
      </c>
      <c r="O2027" s="30"/>
      <c r="P2027" s="30"/>
      <c r="Q2027" s="35">
        <v>293.0</v>
      </c>
      <c r="R2027" s="32">
        <v>45345.0</v>
      </c>
      <c r="S2027" s="32">
        <v>45008.0</v>
      </c>
      <c r="T2027" s="29"/>
      <c r="U2027" s="33"/>
      <c r="V2027" s="1"/>
    </row>
    <row r="2028" ht="24.0" customHeight="1">
      <c r="A2028" s="1"/>
      <c r="B2028" s="24" t="str">
        <f>HYPERLINK("https://www.compass.com/listing/20-east-9th-street-unit-14r-manhattan-ny-10003/621670224120393913/view?agent_id=610d3f3370540700019b0833","20 East 9th Street, Unit 14R")</f>
        <v>20 East 9th Street, Unit 14R</v>
      </c>
      <c r="C2028" s="25" t="s">
        <v>365</v>
      </c>
      <c r="D2028" s="26" t="s">
        <v>23</v>
      </c>
      <c r="E2028" s="27" t="str">
        <f>HYPERLINK("https://www.compass.com/building/the-brevoort-east-manhattan-ny/294842299787520981/","The Brevoort East")</f>
        <v>The Brevoort East</v>
      </c>
      <c r="F2028" s="25" t="s">
        <v>43</v>
      </c>
      <c r="G2028" s="28">
        <v>1250000.0</v>
      </c>
      <c r="H2028" s="29"/>
      <c r="I2028" s="28">
        <v>1428.0</v>
      </c>
      <c r="J2028" s="28">
        <v>0.0</v>
      </c>
      <c r="K2028" s="25" t="s">
        <v>25</v>
      </c>
      <c r="L2028" s="26">
        <v>4.0</v>
      </c>
      <c r="M2028" s="26">
        <v>2.0</v>
      </c>
      <c r="N2028" s="26">
        <v>1.0</v>
      </c>
      <c r="O2028" s="26">
        <v>0.0</v>
      </c>
      <c r="P2028" s="30"/>
      <c r="Q2028" s="35">
        <v>133.0</v>
      </c>
      <c r="R2028" s="32">
        <v>44242.0</v>
      </c>
      <c r="S2028" s="32">
        <v>44109.0</v>
      </c>
      <c r="T2028" s="29"/>
      <c r="U2028" s="33"/>
      <c r="V2028" s="1"/>
    </row>
    <row r="2029" ht="24.0" customHeight="1">
      <c r="A2029" s="1"/>
      <c r="B2029" s="24" t="str">
        <f>HYPERLINK("https://www.compass.com/listing/30-east-9th-street-unit-2bb-manhattan-ny-10003/547069041968314569/view?agent_id=610d3f3370540700019b0833","30 East 9th Street, Unit 2BB")</f>
        <v>30 East 9th Street, Unit 2BB</v>
      </c>
      <c r="C2029" s="25" t="s">
        <v>364</v>
      </c>
      <c r="D2029" s="26" t="s">
        <v>23</v>
      </c>
      <c r="E2029" s="27" t="str">
        <f>HYPERLINK("https://www.compass.com/building/the-lafayette-manhattan-ny/292781948961564533/","The Lafayette")</f>
        <v>The Lafayette</v>
      </c>
      <c r="F2029" s="25" t="s">
        <v>43</v>
      </c>
      <c r="G2029" s="28">
        <v>1295000.0</v>
      </c>
      <c r="H2029" s="29"/>
      <c r="I2029" s="28">
        <v>1930.0</v>
      </c>
      <c r="J2029" s="28">
        <v>0.0</v>
      </c>
      <c r="K2029" s="25" t="s">
        <v>25</v>
      </c>
      <c r="L2029" s="26">
        <v>4.0</v>
      </c>
      <c r="M2029" s="26">
        <v>2.0</v>
      </c>
      <c r="N2029" s="26">
        <v>1.0</v>
      </c>
      <c r="O2029" s="26">
        <v>0.0</v>
      </c>
      <c r="P2029" s="30"/>
      <c r="Q2029" s="35">
        <v>109.0</v>
      </c>
      <c r="R2029" s="32">
        <v>44117.0</v>
      </c>
      <c r="S2029" s="32">
        <v>44008.0</v>
      </c>
      <c r="T2029" s="29"/>
      <c r="U2029" s="33"/>
      <c r="V2029" s="1"/>
    </row>
    <row r="2030" ht="24.0" customHeight="1">
      <c r="A2030" s="1"/>
      <c r="B2030" s="24" t="str">
        <f>HYPERLINK("https://www.compass.com/listing/50-54-east-8th-street-unit-3e-manhattan-ny-10003/1778990250716666057/view?agent_id=610d3f3370540700019b0833","50-54 East 8th Street, Unit 3E")</f>
        <v>50-54 East 8th Street, Unit 3E</v>
      </c>
      <c r="C2030" s="25" t="s">
        <v>364</v>
      </c>
      <c r="D2030" s="26" t="s">
        <v>23</v>
      </c>
      <c r="E2030" s="27" t="str">
        <f t="shared" ref="E2030:E2031" si="28">HYPERLINK("https://www.compass.com/building/50-54-e-8th-st-manhattan-ny-10003/436383059332391421/","50-54 E 8th St")</f>
        <v>50-54 E 8th St</v>
      </c>
      <c r="F2030" s="25" t="s">
        <v>43</v>
      </c>
      <c r="G2030" s="28">
        <v>735000.0</v>
      </c>
      <c r="H2030" s="29"/>
      <c r="I2030" s="28">
        <v>3311.0</v>
      </c>
      <c r="J2030" s="28">
        <v>0.0</v>
      </c>
      <c r="K2030" s="25" t="s">
        <v>25</v>
      </c>
      <c r="L2030" s="26">
        <v>4.0</v>
      </c>
      <c r="M2030" s="26">
        <v>2.0</v>
      </c>
      <c r="N2030" s="26">
        <v>1.0</v>
      </c>
      <c r="O2030" s="30"/>
      <c r="P2030" s="30"/>
      <c r="Q2030" s="35">
        <v>83.0</v>
      </c>
      <c r="R2030" s="32">
        <v>45855.0</v>
      </c>
      <c r="S2030" s="32">
        <v>45708.0</v>
      </c>
      <c r="T2030" s="29"/>
      <c r="U2030" s="33"/>
      <c r="V2030" s="1"/>
    </row>
    <row r="2031" ht="24.0" customHeight="1">
      <c r="A2031" s="1"/>
      <c r="B2031" s="24" t="str">
        <f>HYPERLINK("https://www.compass.com/listing/50-54-east-8th-street-unit-5t-manhattan-ny-10003/1029947938675094889/view?agent_id=610d3f3370540700019b0833","50-54 East 8th Street, Unit 5T")</f>
        <v>50-54 East 8th Street, Unit 5T</v>
      </c>
      <c r="C2031" s="25" t="s">
        <v>364</v>
      </c>
      <c r="D2031" s="26" t="s">
        <v>23</v>
      </c>
      <c r="E2031" s="27" t="str">
        <f t="shared" si="28"/>
        <v>50-54 E 8th St</v>
      </c>
      <c r="F2031" s="25" t="s">
        <v>43</v>
      </c>
      <c r="G2031" s="28">
        <v>899000.0</v>
      </c>
      <c r="H2031" s="28">
        <v>999.0</v>
      </c>
      <c r="I2031" s="28">
        <v>2797.0</v>
      </c>
      <c r="J2031" s="28">
        <v>0.0</v>
      </c>
      <c r="K2031" s="25" t="s">
        <v>25</v>
      </c>
      <c r="L2031" s="26">
        <v>4.0</v>
      </c>
      <c r="M2031" s="26">
        <v>2.0</v>
      </c>
      <c r="N2031" s="26">
        <v>1.0</v>
      </c>
      <c r="O2031" s="26">
        <v>0.0</v>
      </c>
      <c r="P2031" s="26">
        <v>900.0</v>
      </c>
      <c r="Q2031" s="35">
        <v>170.0</v>
      </c>
      <c r="R2031" s="32">
        <v>45037.0</v>
      </c>
      <c r="S2031" s="32">
        <v>44672.0</v>
      </c>
      <c r="T2031" s="29"/>
      <c r="U2031" s="33"/>
      <c r="V2031" s="1"/>
    </row>
    <row r="2032" ht="24.0" customHeight="1">
      <c r="A2032" s="1"/>
      <c r="B2032" s="24" t="str">
        <f>HYPERLINK("https://www.compass.com/listing/32-west-9th-street-unit-1a-2a-manhattan-ny-10011/192565633748172129/view?agent_id=610d3f3370540700019b0833","32 West 9th Street, Unit 1A/2A")</f>
        <v>32 West 9th Street, Unit 1A/2A</v>
      </c>
      <c r="C2032" s="25" t="s">
        <v>370</v>
      </c>
      <c r="D2032" s="26" t="s">
        <v>23</v>
      </c>
      <c r="E2032" s="27" t="str">
        <f>HYPERLINK("https://www.compass.com/building/32-w-9th-st-manhattan-ny-10011/294840079893713349/","32 W 9th St")</f>
        <v>32 W 9th St</v>
      </c>
      <c r="F2032" s="25" t="s">
        <v>43</v>
      </c>
      <c r="G2032" s="28">
        <v>2600000.0</v>
      </c>
      <c r="H2032" s="28">
        <v>1499.0</v>
      </c>
      <c r="I2032" s="28">
        <v>2241.0</v>
      </c>
      <c r="J2032" s="28">
        <v>12840.0</v>
      </c>
      <c r="K2032" s="25" t="s">
        <v>28</v>
      </c>
      <c r="L2032" s="26">
        <v>5.0</v>
      </c>
      <c r="M2032" s="26">
        <v>2.0</v>
      </c>
      <c r="N2032" s="26">
        <v>0.0</v>
      </c>
      <c r="O2032" s="26">
        <v>0.0</v>
      </c>
      <c r="P2032" s="34">
        <v>1734.0</v>
      </c>
      <c r="Q2032" s="35">
        <v>163.0</v>
      </c>
      <c r="R2032" s="32">
        <v>45636.0</v>
      </c>
      <c r="S2032" s="32">
        <v>42856.0</v>
      </c>
      <c r="T2032" s="29"/>
      <c r="U2032" s="33"/>
      <c r="V2032" s="1"/>
    </row>
    <row r="2033" ht="24.0" customHeight="1">
      <c r="A2033" s="1"/>
      <c r="B2033" s="24" t="str">
        <f>HYPERLINK("https://www.compass.com/listing/19-bedford-street-unit-3f-manhattan-ny-10014/1429151061539345033/view?agent_id=610d3f3370540700019b0833","19 Bedford Street, Unit 3F")</f>
        <v>19 Bedford Street, Unit 3F</v>
      </c>
      <c r="C2033" s="25" t="s">
        <v>364</v>
      </c>
      <c r="D2033" s="26" t="s">
        <v>23</v>
      </c>
      <c r="E2033" s="27" t="str">
        <f>HYPERLINK("https://www.compass.com/building/19-bedford-st-manhattan-ny-10014/281930657725201013/","19 Bedford St")</f>
        <v>19 Bedford St</v>
      </c>
      <c r="F2033" s="25" t="s">
        <v>26</v>
      </c>
      <c r="G2033" s="28">
        <v>949000.0</v>
      </c>
      <c r="H2033" s="29"/>
      <c r="I2033" s="28">
        <v>1000.0</v>
      </c>
      <c r="J2033" s="28">
        <v>0.0</v>
      </c>
      <c r="K2033" s="25" t="s">
        <v>25</v>
      </c>
      <c r="L2033" s="26">
        <v>4.0</v>
      </c>
      <c r="M2033" s="26">
        <v>2.0</v>
      </c>
      <c r="N2033" s="26">
        <v>1.0</v>
      </c>
      <c r="O2033" s="26">
        <v>0.0</v>
      </c>
      <c r="P2033" s="30"/>
      <c r="Q2033" s="35">
        <v>41.0</v>
      </c>
      <c r="R2033" s="32">
        <v>45345.0</v>
      </c>
      <c r="S2033" s="32">
        <v>45223.0</v>
      </c>
      <c r="T2033" s="29"/>
      <c r="U2033" s="33"/>
      <c r="V2033" s="1"/>
    </row>
    <row r="2034" ht="24.0" customHeight="1">
      <c r="A2034" s="1"/>
      <c r="B2034" s="24" t="str">
        <f>HYPERLINK("https://www.compass.com/listing/2-5th-avenue-unit-7s-manhattan-ny-10011/1132031617569078665/view?agent_id=610d3f3370540700019b0833","2 5th Avenue, Unit 7S")</f>
        <v>2 5th Avenue, Unit 7S</v>
      </c>
      <c r="C2034" s="25" t="s">
        <v>365</v>
      </c>
      <c r="D2034" s="26" t="s">
        <v>23</v>
      </c>
      <c r="E2034" s="27" t="str">
        <f>HYPERLINK("https://www.compass.com/building/2-5th-ave-manhattan-ny-10011/281906423137324709/","2 5th Ave")</f>
        <v>2 5th Ave</v>
      </c>
      <c r="F2034" s="25" t="s">
        <v>43</v>
      </c>
      <c r="G2034" s="28">
        <v>1675000.0</v>
      </c>
      <c r="H2034" s="29"/>
      <c r="I2034" s="28">
        <v>2199.0</v>
      </c>
      <c r="J2034" s="28">
        <v>0.0</v>
      </c>
      <c r="K2034" s="25" t="s">
        <v>25</v>
      </c>
      <c r="L2034" s="26">
        <v>4.0</v>
      </c>
      <c r="M2034" s="26">
        <v>2.0</v>
      </c>
      <c r="N2034" s="26">
        <v>1.0</v>
      </c>
      <c r="O2034" s="26">
        <v>0.0</v>
      </c>
      <c r="P2034" s="30"/>
      <c r="Q2034" s="35">
        <v>148.0</v>
      </c>
      <c r="R2034" s="32">
        <v>44998.0</v>
      </c>
      <c r="S2034" s="32">
        <v>44814.0</v>
      </c>
      <c r="T2034" s="29"/>
      <c r="U2034" s="33"/>
      <c r="V2034" s="1"/>
    </row>
    <row r="2035" ht="24.0" customHeight="1">
      <c r="A2035" s="1"/>
      <c r="B2035" s="24" t="str">
        <f>HYPERLINK("https://www.compass.com/listing/43-west-13th-street-unit-2-manhattan-ny-10011/920915954087230873/view?agent_id=610d3f3370540700019b0833","43 West 13th Street, Unit 2")</f>
        <v>43 West 13th Street, Unit 2</v>
      </c>
      <c r="C2035" s="25" t="s">
        <v>364</v>
      </c>
      <c r="D2035" s="26" t="s">
        <v>23</v>
      </c>
      <c r="E2035" s="27" t="str">
        <f>HYPERLINK("https://www.compass.com/building/43-w-13th-st-manhattan-ny-10011/281910323135405461/","43 W 13th St")</f>
        <v>43 W 13th St</v>
      </c>
      <c r="F2035" s="25" t="s">
        <v>43</v>
      </c>
      <c r="G2035" s="28">
        <v>6100000.0</v>
      </c>
      <c r="H2035" s="28">
        <v>1220.0</v>
      </c>
      <c r="I2035" s="28">
        <v>6430.0</v>
      </c>
      <c r="J2035" s="29"/>
      <c r="K2035" s="25" t="s">
        <v>25</v>
      </c>
      <c r="L2035" s="26">
        <v>6.0</v>
      </c>
      <c r="M2035" s="26">
        <v>2.0</v>
      </c>
      <c r="N2035" s="26">
        <v>0.0</v>
      </c>
      <c r="O2035" s="26">
        <v>0.0</v>
      </c>
      <c r="P2035" s="34">
        <v>5000.0</v>
      </c>
      <c r="Q2035" s="35">
        <v>0.0</v>
      </c>
      <c r="R2035" s="32">
        <v>45695.0</v>
      </c>
      <c r="S2035" s="32">
        <v>41819.0</v>
      </c>
      <c r="T2035" s="29"/>
      <c r="U2035" s="33"/>
      <c r="V2035" s="1"/>
    </row>
    <row r="2036" ht="24.0" customHeight="1">
      <c r="A2036" s="1"/>
      <c r="B2036" s="24" t="str">
        <f>HYPERLINK("https://www.compass.com/listing/3-sheridan-square-unit-5d-manhattan-ny-10014/463004366573025985/view?agent_id=610d3f3370540700019b0833","3 Sheridan Square, Unit 5D")</f>
        <v>3 Sheridan Square, Unit 5D</v>
      </c>
      <c r="C2036" s="25" t="s">
        <v>370</v>
      </c>
      <c r="D2036" s="26" t="s">
        <v>23</v>
      </c>
      <c r="E2036" s="27" t="str">
        <f>HYPERLINK("https://www.compass.com/building/3-sheridan-square-manhattan-ny-10014/294838762379017749/","3 Sheridan Square")</f>
        <v>3 Sheridan Square</v>
      </c>
      <c r="F2036" s="25" t="s">
        <v>26</v>
      </c>
      <c r="G2036" s="28">
        <v>1599000.0</v>
      </c>
      <c r="H2036" s="28">
        <v>1568.0</v>
      </c>
      <c r="I2036" s="28">
        <v>1909.0</v>
      </c>
      <c r="J2036" s="28">
        <v>0.0</v>
      </c>
      <c r="K2036" s="25" t="s">
        <v>25</v>
      </c>
      <c r="L2036" s="26">
        <v>4.0</v>
      </c>
      <c r="M2036" s="26">
        <v>2.0</v>
      </c>
      <c r="N2036" s="26">
        <v>1.0</v>
      </c>
      <c r="O2036" s="26">
        <v>0.0</v>
      </c>
      <c r="P2036" s="34">
        <v>1020.0</v>
      </c>
      <c r="Q2036" s="35">
        <v>216.0</v>
      </c>
      <c r="R2036" s="32">
        <v>44210.0</v>
      </c>
      <c r="S2036" s="32">
        <v>43900.0</v>
      </c>
      <c r="T2036" s="29"/>
      <c r="U2036" s="33"/>
      <c r="V2036" s="1"/>
    </row>
    <row r="2037" ht="24.0" customHeight="1">
      <c r="A2037" s="1"/>
      <c r="B2037" s="24" t="str">
        <f>HYPERLINK("https://www.compass.com/listing/101-west-12th-street-unit-7w-manhattan-ny-10011/543305133008991033/view?agent_id=610d3f3370540700019b0833","101 West 12th Street, Unit 7W")</f>
        <v>101 West 12th Street, Unit 7W</v>
      </c>
      <c r="C2037" s="25" t="s">
        <v>365</v>
      </c>
      <c r="D2037" s="26" t="s">
        <v>23</v>
      </c>
      <c r="E2037" s="27" t="str">
        <f>HYPERLINK("https://www.compass.com/building/the-john-adams-manhattan-ny/281904092027046869/","The John Adams")</f>
        <v>The John Adams</v>
      </c>
      <c r="F2037" s="25" t="s">
        <v>26</v>
      </c>
      <c r="G2037" s="28">
        <v>1495000.0</v>
      </c>
      <c r="H2037" s="29"/>
      <c r="I2037" s="28">
        <v>1645.0</v>
      </c>
      <c r="J2037" s="28">
        <v>0.0</v>
      </c>
      <c r="K2037" s="25" t="s">
        <v>25</v>
      </c>
      <c r="L2037" s="26">
        <v>4.0</v>
      </c>
      <c r="M2037" s="26">
        <v>2.0</v>
      </c>
      <c r="N2037" s="26">
        <v>1.0</v>
      </c>
      <c r="O2037" s="26">
        <v>0.0</v>
      </c>
      <c r="P2037" s="30"/>
      <c r="Q2037" s="35">
        <v>86.0</v>
      </c>
      <c r="R2037" s="32">
        <v>44090.0</v>
      </c>
      <c r="S2037" s="32">
        <v>44003.0</v>
      </c>
      <c r="T2037" s="29"/>
      <c r="U2037" s="33"/>
      <c r="V2037" s="1"/>
    </row>
    <row r="2038" ht="24.0" customHeight="1">
      <c r="A2038" s="1"/>
      <c r="B2038" s="24" t="str">
        <f>HYPERLINK("https://www.compass.com/listing/131-bank-street-unit-2-manhattan-ny-10014/1771975173642675705/view?agent_id=610d3f3370540700019b0833","131 Bank Street, Unit 2")</f>
        <v>131 Bank Street, Unit 2</v>
      </c>
      <c r="C2038" s="25" t="s">
        <v>364</v>
      </c>
      <c r="D2038" s="26" t="s">
        <v>23</v>
      </c>
      <c r="E2038" s="27" t="str">
        <f>HYPERLINK("https://www.compass.com/building/131-bank-st-manhattan-ny-10014/281929847251447973/","131 Bank St")</f>
        <v>131 Bank St</v>
      </c>
      <c r="F2038" s="25" t="s">
        <v>26</v>
      </c>
      <c r="G2038" s="28">
        <v>1995000.0</v>
      </c>
      <c r="H2038" s="28">
        <v>2448.0</v>
      </c>
      <c r="I2038" s="28">
        <v>1615.0</v>
      </c>
      <c r="J2038" s="28">
        <v>14040.0</v>
      </c>
      <c r="K2038" s="25" t="s">
        <v>28</v>
      </c>
      <c r="L2038" s="26">
        <v>4.0</v>
      </c>
      <c r="M2038" s="26">
        <v>2.0</v>
      </c>
      <c r="N2038" s="26">
        <v>1.0</v>
      </c>
      <c r="O2038" s="30"/>
      <c r="P2038" s="26">
        <v>815.0</v>
      </c>
      <c r="Q2038" s="35">
        <v>35.0</v>
      </c>
      <c r="R2038" s="32">
        <v>45821.0</v>
      </c>
      <c r="S2038" s="32">
        <v>45785.0</v>
      </c>
      <c r="T2038" s="29"/>
      <c r="U2038" s="33"/>
      <c r="V2038" s="1"/>
    </row>
    <row r="2039" ht="24.0" customHeight="1">
      <c r="A2039" s="1"/>
      <c r="B2039" s="24" t="str">
        <f>HYPERLINK("https://www.compass.com/listing/13-west-13th-street-unit-7fs-manhattan-ny-10011/100636435224207425/view?agent_id=610d3f3370540700019b0833","13 West 13th Street, Unit 7FS")</f>
        <v>13 West 13th Street, Unit 7FS</v>
      </c>
      <c r="C2039" s="25" t="s">
        <v>364</v>
      </c>
      <c r="D2039" s="26" t="s">
        <v>23</v>
      </c>
      <c r="E2039" s="27" t="str">
        <f>HYPERLINK("https://www.compass.com/building/the-norville-house-manhattan-ny/292801098475923429/","The Norville House")</f>
        <v>The Norville House</v>
      </c>
      <c r="F2039" s="25" t="s">
        <v>43</v>
      </c>
      <c r="G2039" s="28">
        <v>1200000.0</v>
      </c>
      <c r="H2039" s="29"/>
      <c r="I2039" s="28">
        <v>2356.0</v>
      </c>
      <c r="J2039" s="29"/>
      <c r="K2039" s="25" t="s">
        <v>25</v>
      </c>
      <c r="L2039" s="26">
        <v>4.0</v>
      </c>
      <c r="M2039" s="26">
        <v>2.0</v>
      </c>
      <c r="N2039" s="26">
        <v>1.0</v>
      </c>
      <c r="O2039" s="26">
        <v>0.0</v>
      </c>
      <c r="P2039" s="30"/>
      <c r="Q2039" s="35">
        <v>124.0</v>
      </c>
      <c r="R2039" s="32">
        <v>45636.0</v>
      </c>
      <c r="S2039" s="32">
        <v>43390.0</v>
      </c>
      <c r="T2039" s="29"/>
      <c r="U2039" s="33"/>
      <c r="V2039" s="1"/>
    </row>
    <row r="2040" ht="24.0" customHeight="1">
      <c r="A2040" s="1"/>
      <c r="B2040" s="24" t="str">
        <f>HYPERLINK("https://www.compass.com/listing/102-avenue-a-unit-2-manhattan-ny-10009/1299591983935900257/view?agent_id=610d3f3370540700019b0833","102 Avenue A, Unit 2")</f>
        <v>102 Avenue A, Unit 2</v>
      </c>
      <c r="C2040" s="25" t="s">
        <v>370</v>
      </c>
      <c r="D2040" s="26" t="s">
        <v>23</v>
      </c>
      <c r="E2040" s="26" t="s">
        <v>371</v>
      </c>
      <c r="F2040" s="25" t="s">
        <v>24</v>
      </c>
      <c r="G2040" s="28">
        <v>1095000.0</v>
      </c>
      <c r="H2040" s="28">
        <v>1095.0</v>
      </c>
      <c r="I2040" s="28">
        <v>525.0</v>
      </c>
      <c r="J2040" s="29"/>
      <c r="K2040" s="25" t="s">
        <v>25</v>
      </c>
      <c r="L2040" s="26">
        <v>5.0</v>
      </c>
      <c r="M2040" s="26">
        <v>2.0</v>
      </c>
      <c r="N2040" s="26">
        <v>1.0</v>
      </c>
      <c r="O2040" s="30"/>
      <c r="P2040" s="34">
        <v>1000.0</v>
      </c>
      <c r="Q2040" s="35">
        <v>13.0</v>
      </c>
      <c r="R2040" s="32">
        <v>44258.0</v>
      </c>
      <c r="S2040" s="32">
        <v>44103.0</v>
      </c>
      <c r="T2040" s="29"/>
      <c r="U2040" s="33"/>
      <c r="V2040" s="1"/>
    </row>
    <row r="2041" ht="24.0" customHeight="1">
      <c r="A2041" s="1"/>
      <c r="B2041" s="24" t="str">
        <f>HYPERLINK("https://www.compass.com/listing/61-west-9th-street-unit-10a-manhattan-ny-10011/4852310802822080641/view?agent_id=610d3f3370540700019b0833","61 West 9th Street, Unit 10A")</f>
        <v>61 West 9th Street, Unit 10A</v>
      </c>
      <c r="C2041" s="25" t="s">
        <v>364</v>
      </c>
      <c r="D2041" s="26" t="s">
        <v>23</v>
      </c>
      <c r="E2041" s="27" t="str">
        <f>HYPERLINK("https://www.compass.com/building/61-w-9th-st-manhattan-ny-10011/281911958494538757/","61 W 9th St")</f>
        <v>61 W 9th St</v>
      </c>
      <c r="F2041" s="25" t="s">
        <v>43</v>
      </c>
      <c r="G2041" s="28">
        <v>2800000.0</v>
      </c>
      <c r="H2041" s="29"/>
      <c r="I2041" s="28">
        <v>3943.0</v>
      </c>
      <c r="J2041" s="29"/>
      <c r="K2041" s="25" t="s">
        <v>25</v>
      </c>
      <c r="L2041" s="26">
        <v>6.0</v>
      </c>
      <c r="M2041" s="26">
        <v>2.0</v>
      </c>
      <c r="N2041" s="26">
        <v>0.0</v>
      </c>
      <c r="O2041" s="26">
        <v>0.0</v>
      </c>
      <c r="P2041" s="30"/>
      <c r="Q2041" s="35">
        <v>101.0</v>
      </c>
      <c r="R2041" s="32">
        <v>44581.0</v>
      </c>
      <c r="S2041" s="32">
        <v>41293.0</v>
      </c>
      <c r="T2041" s="29"/>
      <c r="U2041" s="33"/>
      <c r="V2041" s="1"/>
    </row>
    <row r="2042" ht="24.0" customHeight="1">
      <c r="A2042" s="1"/>
      <c r="B2042" s="24" t="str">
        <f>HYPERLINK("https://www.compass.com/listing/126-west-11th-street-unit-2-manhattan-ny-10011/116626970241958033/view?agent_id=610d3f3370540700019b0833","126 West 11th Street, Unit 2")</f>
        <v>126 West 11th Street, Unit 2</v>
      </c>
      <c r="C2042" s="25" t="s">
        <v>370</v>
      </c>
      <c r="D2042" s="26" t="s">
        <v>23</v>
      </c>
      <c r="E2042" s="27" t="str">
        <f>HYPERLINK("https://www.compass.com/building/the-unadilla-manhattan-ny/281904887636182549/","The Unadilla")</f>
        <v>The Unadilla</v>
      </c>
      <c r="F2042" s="25" t="s">
        <v>26</v>
      </c>
      <c r="G2042" s="28">
        <v>1500000.0</v>
      </c>
      <c r="H2042" s="29"/>
      <c r="I2042" s="28">
        <v>1286.0</v>
      </c>
      <c r="J2042" s="29"/>
      <c r="K2042" s="25" t="s">
        <v>25</v>
      </c>
      <c r="L2042" s="26">
        <v>5.0</v>
      </c>
      <c r="M2042" s="26">
        <v>2.0</v>
      </c>
      <c r="N2042" s="26">
        <v>1.0</v>
      </c>
      <c r="O2042" s="26">
        <v>0.0</v>
      </c>
      <c r="P2042" s="30"/>
      <c r="Q2042" s="35">
        <v>158.0</v>
      </c>
      <c r="R2042" s="32">
        <v>45636.0</v>
      </c>
      <c r="S2042" s="32">
        <v>43412.0</v>
      </c>
      <c r="T2042" s="29"/>
      <c r="U2042" s="33"/>
      <c r="V2042" s="1"/>
    </row>
    <row r="2043" ht="24.0" customHeight="1">
      <c r="A2043" s="1"/>
      <c r="B2043" s="24" t="str">
        <f>HYPERLINK("https://www.compass.com/listing/131-perry-street-unit-1b-manhattan-ny-10014/803351794013002065/view?agent_id=610d3f3370540700019b0833","131 Perry Street, Unit 1B")</f>
        <v>131 Perry Street, Unit 1B</v>
      </c>
      <c r="C2043" s="25" t="s">
        <v>364</v>
      </c>
      <c r="D2043" s="26" t="s">
        <v>23</v>
      </c>
      <c r="E2043" s="27" t="str">
        <f>HYPERLINK("https://www.compass.com/building/131-perry-st-manhattan-ny-10014/281929854079774357/","131 Perry St")</f>
        <v>131 Perry St</v>
      </c>
      <c r="F2043" s="25" t="s">
        <v>26</v>
      </c>
      <c r="G2043" s="28">
        <v>2275000.0</v>
      </c>
      <c r="H2043" s="28">
        <v>1358.0</v>
      </c>
      <c r="I2043" s="28">
        <v>1911.0</v>
      </c>
      <c r="J2043" s="29"/>
      <c r="K2043" s="25" t="s">
        <v>25</v>
      </c>
      <c r="L2043" s="26">
        <v>5.0</v>
      </c>
      <c r="M2043" s="26">
        <v>2.0</v>
      </c>
      <c r="N2043" s="26">
        <v>1.0</v>
      </c>
      <c r="O2043" s="26">
        <v>0.0</v>
      </c>
      <c r="P2043" s="34">
        <v>1675.0</v>
      </c>
      <c r="Q2043" s="35">
        <v>122.0</v>
      </c>
      <c r="R2043" s="32">
        <v>45636.0</v>
      </c>
      <c r="S2043" s="32">
        <v>43172.0</v>
      </c>
      <c r="T2043" s="29"/>
      <c r="U2043" s="33"/>
      <c r="V2043" s="1"/>
    </row>
    <row r="2044" ht="24.0" customHeight="1">
      <c r="A2044" s="1"/>
      <c r="B2044" s="24" t="str">
        <f>HYPERLINK("https://www.compass.com/listing/521-east-6th-street-unit-4-manhattan-ny-10009/475193241304869201/view?agent_id=610d3f3370540700019b0833","521 East 6th Street, Unit 4")</f>
        <v>521 East 6th Street, Unit 4</v>
      </c>
      <c r="C2044" s="25" t="s">
        <v>365</v>
      </c>
      <c r="D2044" s="26" t="s">
        <v>23</v>
      </c>
      <c r="E2044" s="27" t="str">
        <f>HYPERLINK("https://www.compass.com/building/521-e-6th-st-manhattan-ny-10009/281900667570764101/","521 E 6th St")</f>
        <v>521 E 6th St</v>
      </c>
      <c r="F2044" s="25" t="s">
        <v>24</v>
      </c>
      <c r="G2044" s="28">
        <v>999000.0</v>
      </c>
      <c r="H2044" s="29"/>
      <c r="I2044" s="28">
        <v>675.0</v>
      </c>
      <c r="J2044" s="28">
        <v>0.0</v>
      </c>
      <c r="K2044" s="25" t="s">
        <v>25</v>
      </c>
      <c r="L2044" s="26">
        <v>5.0</v>
      </c>
      <c r="M2044" s="26">
        <v>2.0</v>
      </c>
      <c r="N2044" s="26">
        <v>1.0</v>
      </c>
      <c r="O2044" s="30"/>
      <c r="P2044" s="30"/>
      <c r="Q2044" s="35">
        <v>210.0</v>
      </c>
      <c r="R2044" s="32">
        <v>44227.0</v>
      </c>
      <c r="S2044" s="32">
        <v>44009.0</v>
      </c>
      <c r="T2044" s="29"/>
      <c r="U2044" s="33"/>
      <c r="V2044" s="1"/>
    </row>
    <row r="2045" ht="24.0" customHeight="1">
      <c r="A2045" s="1"/>
      <c r="B2045" s="24" t="str">
        <f>HYPERLINK("https://www.compass.com/listing/131-avenue-a-unit-5b-manhattan-ny-10009/1299520143880206201/view?agent_id=610d3f3370540700019b0833","131 Avenue A, Unit 5B")</f>
        <v>131 Avenue A, Unit 5B</v>
      </c>
      <c r="C2045" s="25" t="s">
        <v>370</v>
      </c>
      <c r="D2045" s="26" t="s">
        <v>23</v>
      </c>
      <c r="E2045" s="27" t="str">
        <f>HYPERLINK("https://www.compass.com/building/131-avenue-a-manhattan-ny-10009/281897706828343381/","131 Avenue A")</f>
        <v>131 Avenue A</v>
      </c>
      <c r="F2045" s="25" t="s">
        <v>24</v>
      </c>
      <c r="G2045" s="28">
        <v>1499000.0</v>
      </c>
      <c r="H2045" s="29"/>
      <c r="I2045" s="28">
        <v>1222.0</v>
      </c>
      <c r="J2045" s="29"/>
      <c r="K2045" s="25" t="s">
        <v>25</v>
      </c>
      <c r="L2045" s="26">
        <v>5.0</v>
      </c>
      <c r="M2045" s="26">
        <v>2.0</v>
      </c>
      <c r="N2045" s="26">
        <v>1.0</v>
      </c>
      <c r="O2045" s="30"/>
      <c r="P2045" s="30"/>
      <c r="Q2045" s="35">
        <v>89.0</v>
      </c>
      <c r="R2045" s="32">
        <v>45027.0</v>
      </c>
      <c r="S2045" s="32">
        <v>44132.0</v>
      </c>
      <c r="T2045" s="29"/>
      <c r="U2045" s="33"/>
      <c r="V2045" s="1"/>
    </row>
    <row r="2046" ht="24.0" customHeight="1">
      <c r="A2046" s="1"/>
      <c r="B2046" s="24" t="str">
        <f>HYPERLINK("https://www.compass.com/listing/102-avenue-a-unit-4-manhattan-ny-10009/1299498854179449697/view?agent_id=610d3f3370540700019b0833","102 Avenue A, Unit 4")</f>
        <v>102 Avenue A, Unit 4</v>
      </c>
      <c r="C2046" s="25" t="s">
        <v>370</v>
      </c>
      <c r="D2046" s="26" t="s">
        <v>23</v>
      </c>
      <c r="E2046" s="26" t="s">
        <v>371</v>
      </c>
      <c r="F2046" s="25" t="s">
        <v>24</v>
      </c>
      <c r="G2046" s="28">
        <v>1095000.0</v>
      </c>
      <c r="H2046" s="28">
        <v>1043.0</v>
      </c>
      <c r="I2046" s="28">
        <v>525.0</v>
      </c>
      <c r="J2046" s="29"/>
      <c r="K2046" s="25" t="s">
        <v>25</v>
      </c>
      <c r="L2046" s="26">
        <v>5.0</v>
      </c>
      <c r="M2046" s="26">
        <v>2.0</v>
      </c>
      <c r="N2046" s="26">
        <v>1.0</v>
      </c>
      <c r="O2046" s="30"/>
      <c r="P2046" s="34">
        <v>1050.0</v>
      </c>
      <c r="Q2046" s="35">
        <v>49.0</v>
      </c>
      <c r="R2046" s="32">
        <v>44239.0</v>
      </c>
      <c r="S2046" s="32">
        <v>44000.0</v>
      </c>
      <c r="T2046" s="29"/>
      <c r="U2046" s="33"/>
      <c r="V2046" s="1"/>
    </row>
    <row r="2047" ht="24.0" customHeight="1">
      <c r="A2047" s="1"/>
      <c r="B2047" s="24" t="str">
        <f>HYPERLINK("https://www.compass.com/listing/425-east-13th-street-unit-7e-manhattan-ny-10009/4852306439235964209/view?agent_id=610d3f3370540700019b0833","425 East 13th Street, Unit 7E")</f>
        <v>425 East 13th Street, Unit 7E</v>
      </c>
      <c r="C2047" s="25" t="s">
        <v>370</v>
      </c>
      <c r="D2047" s="26" t="s">
        <v>23</v>
      </c>
      <c r="E2047" s="27" t="str">
        <f>HYPERLINK("https://www.compass.com/building/the-a-building-manhattan-ny/292793565463989989/","The A Building")</f>
        <v>The A Building</v>
      </c>
      <c r="F2047" s="25" t="s">
        <v>24</v>
      </c>
      <c r="G2047" s="28">
        <v>1700000.0</v>
      </c>
      <c r="H2047" s="28">
        <v>1675.0</v>
      </c>
      <c r="I2047" s="28">
        <v>1870.0</v>
      </c>
      <c r="J2047" s="28">
        <v>4536.0</v>
      </c>
      <c r="K2047" s="25" t="s">
        <v>28</v>
      </c>
      <c r="L2047" s="26">
        <v>4.0</v>
      </c>
      <c r="M2047" s="26">
        <v>2.0</v>
      </c>
      <c r="N2047" s="26">
        <v>0.0</v>
      </c>
      <c r="O2047" s="26">
        <v>0.0</v>
      </c>
      <c r="P2047" s="34">
        <v>1015.0</v>
      </c>
      <c r="Q2047" s="35">
        <v>148.0</v>
      </c>
      <c r="R2047" s="32">
        <v>45636.0</v>
      </c>
      <c r="S2047" s="32">
        <v>41186.0</v>
      </c>
      <c r="T2047" s="29"/>
      <c r="U2047" s="33"/>
      <c r="V2047" s="1"/>
    </row>
    <row r="2048" ht="24.0" customHeight="1">
      <c r="A2048" s="1"/>
      <c r="B2048" s="24" t="str">
        <f>HYPERLINK("https://www.compass.com/listing/205-east-10th-street-unit-3a-manhattan-ny-10003/1819085936943821241/view?agent_id=610d3f3370540700019b0833","205 East 10th Street, Unit 3A")</f>
        <v>205 East 10th Street, Unit 3A</v>
      </c>
      <c r="C2048" s="25" t="s">
        <v>364</v>
      </c>
      <c r="D2048" s="26" t="s">
        <v>23</v>
      </c>
      <c r="E2048" s="27" t="str">
        <f>HYPERLINK("https://www.compass.com/building/205-e-10th-st-manhattan-ny-10003/281890490469584357/","205 E 10th St")</f>
        <v>205 E 10th St</v>
      </c>
      <c r="F2048" s="25" t="s">
        <v>24</v>
      </c>
      <c r="G2048" s="28">
        <v>1200000.0</v>
      </c>
      <c r="H2048" s="29"/>
      <c r="I2048" s="28">
        <v>2322.0</v>
      </c>
      <c r="J2048" s="28">
        <v>0.0</v>
      </c>
      <c r="K2048" s="25" t="s">
        <v>25</v>
      </c>
      <c r="L2048" s="26">
        <v>5.0</v>
      </c>
      <c r="M2048" s="26">
        <v>2.0</v>
      </c>
      <c r="N2048" s="26">
        <v>1.0</v>
      </c>
      <c r="O2048" s="30"/>
      <c r="P2048" s="30"/>
      <c r="Q2048" s="35">
        <v>41.0</v>
      </c>
      <c r="R2048" s="32">
        <v>45833.0</v>
      </c>
      <c r="S2048" s="32">
        <v>45791.0</v>
      </c>
      <c r="T2048" s="29"/>
      <c r="U2048" s="33"/>
      <c r="V2048" s="1"/>
    </row>
    <row r="2049" ht="24.0" customHeight="1">
      <c r="A2049" s="1"/>
      <c r="B2049" s="24" t="str">
        <f>HYPERLINK("https://www.compass.com/listing/24-5th-avenue-unit-1501-manhattan-ny-10011/29365792432801185/view?agent_id=610d3f3370540700019b0833","24 5th Avenue, Unit 1501")</f>
        <v>24 5th Avenue, Unit 1501</v>
      </c>
      <c r="C2049" s="25" t="s">
        <v>364</v>
      </c>
      <c r="D2049" s="26" t="s">
        <v>23</v>
      </c>
      <c r="E2049" s="27" t="str">
        <f>HYPERLINK("https://www.compass.com/building/24-5th-ave-manhattan-ny-10011/281907657688764981/","24 5th Ave")</f>
        <v>24 5th Ave</v>
      </c>
      <c r="F2049" s="25" t="s">
        <v>43</v>
      </c>
      <c r="G2049" s="28">
        <v>1895000.0</v>
      </c>
      <c r="H2049" s="29"/>
      <c r="I2049" s="28">
        <v>3188.0</v>
      </c>
      <c r="J2049" s="29"/>
      <c r="K2049" s="25" t="s">
        <v>25</v>
      </c>
      <c r="L2049" s="26">
        <v>4.0</v>
      </c>
      <c r="M2049" s="26">
        <v>2.0</v>
      </c>
      <c r="N2049" s="26">
        <v>0.0</v>
      </c>
      <c r="O2049" s="26">
        <v>0.0</v>
      </c>
      <c r="P2049" s="30"/>
      <c r="Q2049" s="35">
        <v>152.0</v>
      </c>
      <c r="R2049" s="32">
        <v>45636.0</v>
      </c>
      <c r="S2049" s="32">
        <v>42053.0</v>
      </c>
      <c r="T2049" s="29"/>
      <c r="U2049" s="33"/>
      <c r="V2049" s="1"/>
    </row>
    <row r="2050" ht="24.0" customHeight="1">
      <c r="A2050" s="1"/>
      <c r="B2050" s="24" t="str">
        <f>HYPERLINK("https://www.compass.com/listing/223-west-21st-street-unit-5m-manhattan-ny-10011/1819684651039937937/view?agent_id=610d3f3370540700019b0833","223 West 21st Street, Unit 5M")</f>
        <v>223 West 21st Street, Unit 5M</v>
      </c>
      <c r="C2050" s="25" t="s">
        <v>365</v>
      </c>
      <c r="D2050" s="26" t="s">
        <v>23</v>
      </c>
      <c r="E2050" s="27" t="str">
        <f>HYPERLINK("https://www.compass.com/building/223-w-21st-st-manhattan-ny-10011/281907120062877637/","223 W 21st St")</f>
        <v>223 W 21st St</v>
      </c>
      <c r="F2050" s="25" t="s">
        <v>27</v>
      </c>
      <c r="G2050" s="28">
        <v>1050000.0</v>
      </c>
      <c r="H2050" s="29"/>
      <c r="I2050" s="28">
        <v>1531.0</v>
      </c>
      <c r="J2050" s="28">
        <v>0.0</v>
      </c>
      <c r="K2050" s="25" t="s">
        <v>25</v>
      </c>
      <c r="L2050" s="26">
        <v>4.0</v>
      </c>
      <c r="M2050" s="26">
        <v>2.0</v>
      </c>
      <c r="N2050" s="26">
        <v>1.0</v>
      </c>
      <c r="O2050" s="30"/>
      <c r="P2050" s="30"/>
      <c r="Q2050" s="35">
        <v>55.0</v>
      </c>
      <c r="R2050" s="32">
        <v>45833.0</v>
      </c>
      <c r="S2050" s="32">
        <v>45778.0</v>
      </c>
      <c r="T2050" s="29"/>
      <c r="U2050" s="33"/>
      <c r="V2050" s="1"/>
    </row>
    <row r="2051" ht="24.0" customHeight="1">
      <c r="A2051" s="1"/>
      <c r="B2051" s="24" t="str">
        <f>HYPERLINK("https://www.compass.com/listing/198-east-7th-street-unit-11-manhattan-ny-10009/1646510603875578641/view?agent_id=610d3f3370540700019b0833","198 East 7th Street, Unit 11")</f>
        <v>198 East 7th Street, Unit 11</v>
      </c>
      <c r="C2051" s="25" t="s">
        <v>370</v>
      </c>
      <c r="D2051" s="26" t="s">
        <v>23</v>
      </c>
      <c r="E2051" s="27" t="str">
        <f>HYPERLINK("https://www.compass.com/building/198-e-7th-st-manhattan-ny-10009/281898427619486693/","198 E 7th St")</f>
        <v>198 E 7th St</v>
      </c>
      <c r="F2051" s="25" t="s">
        <v>24</v>
      </c>
      <c r="G2051" s="28">
        <v>1090000.0</v>
      </c>
      <c r="H2051" s="29"/>
      <c r="I2051" s="28">
        <v>1289.0</v>
      </c>
      <c r="J2051" s="28">
        <v>0.0</v>
      </c>
      <c r="K2051" s="25" t="s">
        <v>25</v>
      </c>
      <c r="L2051" s="26">
        <v>5.0</v>
      </c>
      <c r="M2051" s="26">
        <v>2.0</v>
      </c>
      <c r="N2051" s="26">
        <v>1.0</v>
      </c>
      <c r="O2051" s="26">
        <v>0.0</v>
      </c>
      <c r="P2051" s="30"/>
      <c r="Q2051" s="31"/>
      <c r="R2051" s="32">
        <v>45707.0</v>
      </c>
      <c r="S2051" s="33"/>
      <c r="T2051" s="29"/>
      <c r="U2051" s="33"/>
      <c r="V2051" s="1"/>
    </row>
    <row r="2052" ht="24.0" customHeight="1">
      <c r="A2052" s="1"/>
      <c r="B2052" s="24" t="str">
        <f>HYPERLINK("https://www.compass.com/listing/65-morton-street-unit-2n-manhattan-ny-10014/1410214436344254969/view?agent_id=610d3f3370540700019b0833","65 Morton Street, Unit 2N")</f>
        <v>65 Morton Street, Unit 2N</v>
      </c>
      <c r="C2052" s="25" t="s">
        <v>365</v>
      </c>
      <c r="D2052" s="26" t="s">
        <v>23</v>
      </c>
      <c r="E2052" s="27" t="str">
        <f>HYPERLINK("https://www.compass.com/building/65-morton-st-manhattan-ny-10014/282065049390978901/","65 Morton St")</f>
        <v>65 Morton St</v>
      </c>
      <c r="F2052" s="25" t="s">
        <v>26</v>
      </c>
      <c r="G2052" s="28">
        <v>1395000.0</v>
      </c>
      <c r="H2052" s="29"/>
      <c r="I2052" s="28">
        <v>1787.0</v>
      </c>
      <c r="J2052" s="28">
        <v>0.0</v>
      </c>
      <c r="K2052" s="25" t="s">
        <v>25</v>
      </c>
      <c r="L2052" s="26">
        <v>5.0</v>
      </c>
      <c r="M2052" s="26">
        <v>2.0</v>
      </c>
      <c r="N2052" s="26">
        <v>1.0</v>
      </c>
      <c r="O2052" s="26">
        <v>0.0</v>
      </c>
      <c r="P2052" s="30"/>
      <c r="Q2052" s="35">
        <v>390.0</v>
      </c>
      <c r="R2052" s="32">
        <v>45598.0</v>
      </c>
      <c r="S2052" s="32">
        <v>45197.0</v>
      </c>
      <c r="T2052" s="29"/>
      <c r="U2052" s="33"/>
      <c r="V2052" s="1"/>
    </row>
    <row r="2053" ht="24.0" customHeight="1">
      <c r="A2053" s="1"/>
      <c r="B2053" s="24" t="str">
        <f>HYPERLINK("https://www.compass.com/listing/125-west-12th-street-unit-6f-manhattan-ny-10011/740434720860113553/view?agent_id=610d3f3370540700019b0833","125 West 12th Street, Unit 6F")</f>
        <v>125 West 12th Street, Unit 6F</v>
      </c>
      <c r="C2053" s="25" t="s">
        <v>365</v>
      </c>
      <c r="D2053" s="26" t="s">
        <v>23</v>
      </c>
      <c r="E2053" s="27" t="str">
        <f>HYPERLINK("https://www.compass.com/building/125-w-12th-st-manhattan-ny-10011/281904841784053381/","125 W 12th St")</f>
        <v>125 W 12th St</v>
      </c>
      <c r="F2053" s="25" t="s">
        <v>26</v>
      </c>
      <c r="G2053" s="28">
        <v>1520000.0</v>
      </c>
      <c r="H2053" s="29"/>
      <c r="I2053" s="28">
        <v>1920.0</v>
      </c>
      <c r="J2053" s="28">
        <v>0.0</v>
      </c>
      <c r="K2053" s="25" t="s">
        <v>25</v>
      </c>
      <c r="L2053" s="26">
        <v>4.0</v>
      </c>
      <c r="M2053" s="26">
        <v>2.0</v>
      </c>
      <c r="N2053" s="26">
        <v>1.0</v>
      </c>
      <c r="O2053" s="30"/>
      <c r="P2053" s="30"/>
      <c r="Q2053" s="35">
        <v>12.0</v>
      </c>
      <c r="R2053" s="32">
        <v>44300.0</v>
      </c>
      <c r="S2053" s="32">
        <v>44287.0</v>
      </c>
      <c r="T2053" s="29"/>
      <c r="U2053" s="33"/>
      <c r="V2053" s="1"/>
    </row>
    <row r="2054" ht="24.0" customHeight="1">
      <c r="A2054" s="1"/>
      <c r="B2054" s="24" t="str">
        <f>HYPERLINK("https://www.compass.com/listing/23-west-9th-street-unit-1-2fr-manhattan-ny-10011/4852312826707968417/view?agent_id=610d3f3370540700019b0833","23 West 9th Street, Unit 1/2FR")</f>
        <v>23 West 9th Street, Unit 1/2FR</v>
      </c>
      <c r="C2054" s="25" t="s">
        <v>364</v>
      </c>
      <c r="D2054" s="26" t="s">
        <v>23</v>
      </c>
      <c r="E2054" s="27" t="str">
        <f>HYPERLINK("https://www.compass.com/building/23-w-9th-st-manhattan-ny-10011/281907307531490069/","23 W 9th St")</f>
        <v>23 W 9th St</v>
      </c>
      <c r="F2054" s="25" t="s">
        <v>43</v>
      </c>
      <c r="G2054" s="28">
        <v>2150000.0</v>
      </c>
      <c r="H2054" s="29"/>
      <c r="I2054" s="28">
        <v>4400.0</v>
      </c>
      <c r="J2054" s="29"/>
      <c r="K2054" s="25" t="s">
        <v>25</v>
      </c>
      <c r="L2054" s="26">
        <v>5.0</v>
      </c>
      <c r="M2054" s="26">
        <v>2.0</v>
      </c>
      <c r="N2054" s="26">
        <v>0.0</v>
      </c>
      <c r="O2054" s="26">
        <v>0.0</v>
      </c>
      <c r="P2054" s="30"/>
      <c r="Q2054" s="35">
        <v>36.0</v>
      </c>
      <c r="R2054" s="32">
        <v>44581.0</v>
      </c>
      <c r="S2054" s="32">
        <v>41302.0</v>
      </c>
      <c r="T2054" s="29"/>
      <c r="U2054" s="33"/>
      <c r="V2054" s="1"/>
    </row>
    <row r="2055" ht="24.0" customHeight="1">
      <c r="A2055" s="1"/>
      <c r="B2055" s="24" t="str">
        <f>HYPERLINK("https://www.compass.com/listing/125-west-12th-street-unit-1f-manhattan-ny-10011/29507167715432321/view?agent_id=610d3f3370540700019b0833","125 West 12th Street, Unit 1F")</f>
        <v>125 West 12th Street, Unit 1F</v>
      </c>
      <c r="C2055" s="25" t="s">
        <v>364</v>
      </c>
      <c r="D2055" s="26" t="s">
        <v>23</v>
      </c>
      <c r="E2055" s="27" t="str">
        <f>HYPERLINK("https://www.compass.com/building/125-w-12th-st-manhattan-ny-10011/281904841784053381/","125 W 12th St")</f>
        <v>125 W 12th St</v>
      </c>
      <c r="F2055" s="25" t="s">
        <v>26</v>
      </c>
      <c r="G2055" s="28">
        <v>1200000.0</v>
      </c>
      <c r="H2055" s="29"/>
      <c r="I2055" s="28">
        <v>1464.0</v>
      </c>
      <c r="J2055" s="28">
        <v>0.0</v>
      </c>
      <c r="K2055" s="25" t="s">
        <v>25</v>
      </c>
      <c r="L2055" s="26">
        <v>4.0</v>
      </c>
      <c r="M2055" s="26">
        <v>2.0</v>
      </c>
      <c r="N2055" s="30"/>
      <c r="O2055" s="30"/>
      <c r="P2055" s="30"/>
      <c r="Q2055" s="35">
        <v>170.0</v>
      </c>
      <c r="R2055" s="32">
        <v>43395.0</v>
      </c>
      <c r="S2055" s="32">
        <v>43224.0</v>
      </c>
      <c r="T2055" s="29"/>
      <c r="U2055" s="33"/>
      <c r="V2055" s="1"/>
    </row>
    <row r="2056" ht="24.0" customHeight="1">
      <c r="A2056" s="1"/>
      <c r="B2056" s="24" t="str">
        <f>HYPERLINK("https://www.compass.com/listing/132-east-19th-street-unit-phf-manhattan-ny-10003/1424712684796477465/view?agent_id=610d3f3370540700019b0833","132 East 19th Street, Unit PHF")</f>
        <v>132 East 19th Street, Unit PHF</v>
      </c>
      <c r="C2056" s="25" t="s">
        <v>365</v>
      </c>
      <c r="D2056" s="26" t="s">
        <v>23</v>
      </c>
      <c r="E2056" s="27" t="str">
        <f>HYPERLINK("https://www.compass.com/building/132-e-19th-st-manhattan-ny-10003/281889564870578229/","132 E 19th St")</f>
        <v>132 E 19th St</v>
      </c>
      <c r="F2056" s="25" t="s">
        <v>48</v>
      </c>
      <c r="G2056" s="28">
        <v>2995000.0</v>
      </c>
      <c r="H2056" s="29"/>
      <c r="I2056" s="28">
        <v>3963.0</v>
      </c>
      <c r="J2056" s="28">
        <v>0.0</v>
      </c>
      <c r="K2056" s="25" t="s">
        <v>25</v>
      </c>
      <c r="L2056" s="26">
        <v>5.0</v>
      </c>
      <c r="M2056" s="26">
        <v>2.0</v>
      </c>
      <c r="N2056" s="26">
        <v>1.0</v>
      </c>
      <c r="O2056" s="26">
        <v>0.0</v>
      </c>
      <c r="P2056" s="30"/>
      <c r="Q2056" s="35">
        <v>70.0</v>
      </c>
      <c r="R2056" s="32">
        <v>45288.0</v>
      </c>
      <c r="S2056" s="32">
        <v>45217.0</v>
      </c>
      <c r="T2056" s="29"/>
      <c r="U2056" s="33"/>
      <c r="V2056" s="1"/>
    </row>
    <row r="2057" ht="24.0" customHeight="1">
      <c r="A2057" s="1"/>
      <c r="B2057" s="24" t="str">
        <f>HYPERLINK("https://www.compass.com/listing/145-east-15th-street-unit-2a-manhattan-ny-10003/567912264987293793/view?agent_id=610d3f3370540700019b0833","145 East 15th Street, Unit 2A")</f>
        <v>145 East 15th Street, Unit 2A</v>
      </c>
      <c r="C2057" s="25" t="s">
        <v>370</v>
      </c>
      <c r="D2057" s="26" t="s">
        <v>23</v>
      </c>
      <c r="E2057" s="27" t="str">
        <f>HYPERLINK("https://www.compass.com/building/gramercy-arms-manhattan-ny/281889782529790293/","Gramercy Arms")</f>
        <v>Gramercy Arms</v>
      </c>
      <c r="F2057" s="25" t="s">
        <v>48</v>
      </c>
      <c r="G2057" s="28">
        <v>995000.0</v>
      </c>
      <c r="H2057" s="28">
        <v>1047.0</v>
      </c>
      <c r="I2057" s="28">
        <v>1590.0</v>
      </c>
      <c r="J2057" s="28">
        <v>0.0</v>
      </c>
      <c r="K2057" s="25" t="s">
        <v>25</v>
      </c>
      <c r="L2057" s="26">
        <v>4.0</v>
      </c>
      <c r="M2057" s="26">
        <v>2.0</v>
      </c>
      <c r="N2057" s="26">
        <v>1.0</v>
      </c>
      <c r="O2057" s="30"/>
      <c r="P2057" s="26">
        <v>950.0</v>
      </c>
      <c r="Q2057" s="35">
        <v>176.0</v>
      </c>
      <c r="R2057" s="32">
        <v>44211.0</v>
      </c>
      <c r="S2057" s="32">
        <v>44035.0</v>
      </c>
      <c r="T2057" s="29"/>
      <c r="U2057" s="33"/>
      <c r="V2057" s="1"/>
    </row>
    <row r="2058" ht="24.0" customHeight="1">
      <c r="A2058" s="1"/>
      <c r="B2058" s="24" t="str">
        <f>HYPERLINK("https://www.compass.com/listing/70-east-10th-street-unit-18f-manhattan-ny-10003/70914993251476017/view?agent_id=610d3f3370540700019b0833","70 E 10th St, Unit 18F")</f>
        <v>70 E 10th St, Unit 18F</v>
      </c>
      <c r="C2058" s="25" t="s">
        <v>370</v>
      </c>
      <c r="D2058" s="26" t="s">
        <v>23</v>
      </c>
      <c r="E2058" s="27" t="str">
        <f>HYPERLINK("https://www.compass.com/building/stewart-house-manhattan-ny/282058667388337333/","Stewart House")</f>
        <v>Stewart House</v>
      </c>
      <c r="F2058" s="25" t="s">
        <v>43</v>
      </c>
      <c r="G2058" s="28">
        <v>2250000.0</v>
      </c>
      <c r="H2058" s="29"/>
      <c r="I2058" s="28">
        <v>2266.0</v>
      </c>
      <c r="J2058" s="29"/>
      <c r="K2058" s="25" t="s">
        <v>25</v>
      </c>
      <c r="L2058" s="26">
        <v>5.0</v>
      </c>
      <c r="M2058" s="26">
        <v>2.0</v>
      </c>
      <c r="N2058" s="26">
        <v>0.0</v>
      </c>
      <c r="O2058" s="26">
        <v>0.0</v>
      </c>
      <c r="P2058" s="30"/>
      <c r="Q2058" s="35">
        <v>59.0</v>
      </c>
      <c r="R2058" s="32">
        <v>44581.0</v>
      </c>
      <c r="S2058" s="32">
        <v>41555.0</v>
      </c>
      <c r="T2058" s="29"/>
      <c r="U2058" s="33"/>
      <c r="V2058" s="1"/>
    </row>
    <row r="2059" ht="24.0" customHeight="1">
      <c r="A2059" s="1"/>
      <c r="B2059" s="24" t="str">
        <f>HYPERLINK("https://www.compass.com/listing/108-division-avenue-unit-22-brooklyn-ny-11211/1867079366428810249/view?agent_id=610d3f3370540700019b0833","108 Division Ave, Unit 22")</f>
        <v>108 Division Ave, Unit 22</v>
      </c>
      <c r="C2059" s="25" t="s">
        <v>365</v>
      </c>
      <c r="D2059" s="26" t="s">
        <v>23</v>
      </c>
      <c r="E2059" s="27" t="str">
        <f>HYPERLINK("https://www.compass.com/building/108-division-ave-brooklyn-ny-11211/307447827516925013/","108 Division Ave")</f>
        <v>108 Division Ave</v>
      </c>
      <c r="F2059" s="25" t="s">
        <v>46</v>
      </c>
      <c r="G2059" s="28">
        <v>625000.0</v>
      </c>
      <c r="H2059" s="28">
        <v>986.0</v>
      </c>
      <c r="I2059" s="28">
        <v>746.0</v>
      </c>
      <c r="J2059" s="28">
        <v>0.0</v>
      </c>
      <c r="K2059" s="25" t="s">
        <v>25</v>
      </c>
      <c r="L2059" s="26">
        <v>4.0</v>
      </c>
      <c r="M2059" s="26">
        <v>2.0</v>
      </c>
      <c r="N2059" s="26">
        <v>1.0</v>
      </c>
      <c r="O2059" s="26">
        <v>0.0</v>
      </c>
      <c r="P2059" s="26">
        <v>634.0</v>
      </c>
      <c r="Q2059" s="35">
        <v>5.0</v>
      </c>
      <c r="R2059" s="32">
        <v>45833.0</v>
      </c>
      <c r="S2059" s="32">
        <v>45827.0</v>
      </c>
      <c r="T2059" s="29"/>
      <c r="U2059" s="33"/>
      <c r="V2059" s="1"/>
    </row>
    <row r="2060" ht="24.0" customHeight="1">
      <c r="A2060" s="1"/>
      <c r="B2060" s="24" t="str">
        <f>HYPERLINK("https://www.compass.com/listing/229-east-2nd-street-unit-3-manhattan-ny-10009/192565534393441425/view?agent_id=610d3f3370540700019b0833","229 E 2nd St, Unit 3")</f>
        <v>229 E 2nd St, Unit 3</v>
      </c>
      <c r="C2060" s="25" t="s">
        <v>364</v>
      </c>
      <c r="D2060" s="26" t="s">
        <v>23</v>
      </c>
      <c r="E2060" s="27" t="str">
        <f>HYPERLINK("https://www.compass.com/building/229-e-2nd-st-manhattan-ny-10009/281898868113684021/","229 E 2nd St")</f>
        <v>229 E 2nd St</v>
      </c>
      <c r="F2060" s="25" t="s">
        <v>24</v>
      </c>
      <c r="G2060" s="28">
        <v>1275000.0</v>
      </c>
      <c r="H2060" s="29"/>
      <c r="I2060" s="28">
        <v>1209.0</v>
      </c>
      <c r="J2060" s="28">
        <v>3300.0</v>
      </c>
      <c r="K2060" s="25" t="s">
        <v>28</v>
      </c>
      <c r="L2060" s="26">
        <v>4.0</v>
      </c>
      <c r="M2060" s="26">
        <v>2.0</v>
      </c>
      <c r="N2060" s="26">
        <v>0.0</v>
      </c>
      <c r="O2060" s="26">
        <v>0.0</v>
      </c>
      <c r="P2060" s="30"/>
      <c r="Q2060" s="35">
        <v>13.0</v>
      </c>
      <c r="R2060" s="32">
        <v>44581.0</v>
      </c>
      <c r="S2060" s="32">
        <v>41229.0</v>
      </c>
      <c r="T2060" s="29"/>
      <c r="U2060" s="33"/>
      <c r="V2060" s="1"/>
    </row>
    <row r="2061" ht="24.0" customHeight="1">
      <c r="A2061" s="1"/>
      <c r="B2061" s="24" t="str">
        <f>HYPERLINK("https://www.compass.com/listing/37-west-12th-street-unit-8k-manhattan-ny-10011/345444437958202321/view?agent_id=610d3f3370540700019b0833","37 W 12th St, Unit 8K")</f>
        <v>37 W 12th St, Unit 8K</v>
      </c>
      <c r="C2061" s="25" t="s">
        <v>370</v>
      </c>
      <c r="D2061" s="26" t="s">
        <v>23</v>
      </c>
      <c r="E2061" s="27" t="str">
        <f>HYPERLINK("https://www.compass.com/building/37-w-12th-st-manhattan-ny-10011/281909849464266213/","37 W 12th St")</f>
        <v>37 W 12th St</v>
      </c>
      <c r="F2061" s="25" t="s">
        <v>43</v>
      </c>
      <c r="G2061" s="28">
        <v>1990000.0</v>
      </c>
      <c r="H2061" s="28">
        <v>1701.0</v>
      </c>
      <c r="I2061" s="28">
        <v>2918.0</v>
      </c>
      <c r="J2061" s="28">
        <v>0.0</v>
      </c>
      <c r="K2061" s="25" t="s">
        <v>25</v>
      </c>
      <c r="L2061" s="26">
        <v>4.0</v>
      </c>
      <c r="M2061" s="26">
        <v>2.0</v>
      </c>
      <c r="N2061" s="26">
        <v>1.0</v>
      </c>
      <c r="O2061" s="30"/>
      <c r="P2061" s="34">
        <v>1170.0</v>
      </c>
      <c r="Q2061" s="31"/>
      <c r="R2061" s="32">
        <v>44104.0</v>
      </c>
      <c r="S2061" s="33"/>
      <c r="T2061" s="29"/>
      <c r="U2061" s="33"/>
      <c r="V2061" s="1"/>
    </row>
    <row r="2062" ht="24.0" customHeight="1">
      <c r="A2062" s="1"/>
      <c r="B2062" s="24" t="str">
        <f>HYPERLINK("https://www.compass.com/listing/231-west-21st-street-unit-4c-manhattan-ny-10011/1005141981006671321/view?agent_id=610d3f3370540700019b0833","231 W 21st St, Unit 4C")</f>
        <v>231 W 21st St, Unit 4C</v>
      </c>
      <c r="C2062" s="25" t="s">
        <v>364</v>
      </c>
      <c r="D2062" s="26" t="s">
        <v>23</v>
      </c>
      <c r="E2062" s="27" t="str">
        <f>HYPERLINK("https://www.compass.com/building/231-w-21st-st-manhattan-ny-10011/282064131048114917/","231 W 21st St")</f>
        <v>231 W 21st St</v>
      </c>
      <c r="F2062" s="25" t="s">
        <v>27</v>
      </c>
      <c r="G2062" s="28">
        <v>1195000.0</v>
      </c>
      <c r="H2062" s="29"/>
      <c r="I2062" s="28">
        <v>1162.0</v>
      </c>
      <c r="J2062" s="28">
        <v>0.0</v>
      </c>
      <c r="K2062" s="25" t="s">
        <v>25</v>
      </c>
      <c r="L2062" s="26">
        <v>4.0</v>
      </c>
      <c r="M2062" s="26">
        <v>2.0</v>
      </c>
      <c r="N2062" s="26">
        <v>1.0</v>
      </c>
      <c r="O2062" s="30"/>
      <c r="P2062" s="30"/>
      <c r="Q2062" s="35">
        <v>46.0</v>
      </c>
      <c r="R2062" s="32">
        <v>45040.0</v>
      </c>
      <c r="S2062" s="32">
        <v>44638.0</v>
      </c>
      <c r="T2062" s="29"/>
      <c r="U2062" s="33"/>
      <c r="V2062" s="1"/>
    </row>
    <row r="2063" ht="24.0" customHeight="1">
      <c r="A2063" s="1"/>
      <c r="B2063" s="24" t="str">
        <f>HYPERLINK("https://www.compass.com/listing/708-washington-street-unit-3b-manhattan-ny-10014/1103658362190086745/view?agent_id=610d3f3370540700019b0833","708 Washington St, Unit 3B")</f>
        <v>708 Washington St, Unit 3B</v>
      </c>
      <c r="C2063" s="25" t="s">
        <v>364</v>
      </c>
      <c r="D2063" s="26" t="s">
        <v>23</v>
      </c>
      <c r="E2063" s="27" t="str">
        <f>HYPERLINK("https://www.compass.com/building/west-village-houses-manhattan-ny/282064571903020069/","West Village Houses")</f>
        <v>West Village Houses</v>
      </c>
      <c r="F2063" s="25" t="s">
        <v>26</v>
      </c>
      <c r="G2063" s="28">
        <v>1100000.0</v>
      </c>
      <c r="H2063" s="28">
        <v>1218.0</v>
      </c>
      <c r="I2063" s="28">
        <v>1216.0</v>
      </c>
      <c r="J2063" s="28">
        <v>0.0</v>
      </c>
      <c r="K2063" s="25" t="s">
        <v>25</v>
      </c>
      <c r="L2063" s="26">
        <v>3.0</v>
      </c>
      <c r="M2063" s="26">
        <v>2.0</v>
      </c>
      <c r="N2063" s="26">
        <v>1.0</v>
      </c>
      <c r="O2063" s="26">
        <v>0.0</v>
      </c>
      <c r="P2063" s="26">
        <v>903.0</v>
      </c>
      <c r="Q2063" s="35">
        <v>30.0</v>
      </c>
      <c r="R2063" s="32">
        <v>44887.0</v>
      </c>
      <c r="S2063" s="32">
        <v>44775.0</v>
      </c>
      <c r="T2063" s="29"/>
      <c r="U2063" s="33"/>
      <c r="V2063" s="1"/>
    </row>
    <row r="2064" ht="24.0" customHeight="1">
      <c r="A2064" s="1"/>
      <c r="B2064" s="24" t="str">
        <f>HYPERLINK("https://www.compass.com/listing/422-west-20th-street-unit-2g-manhattan-ny-10011/257227453888567217/view?agent_id=610d3f3370540700019b0833","422 W 20th St, Unit 2G")</f>
        <v>422 W 20th St, Unit 2G</v>
      </c>
      <c r="C2064" s="25" t="s">
        <v>365</v>
      </c>
      <c r="D2064" s="26" t="s">
        <v>23</v>
      </c>
      <c r="E2064" s="27" t="str">
        <f t="shared" ref="E2064:E2065" si="29">HYPERLINK("https://www.compass.com/building/422-w-20th-st-manhattan-ny-10011/281910243049367013/","422 W 20th St")</f>
        <v>422 W 20th St</v>
      </c>
      <c r="F2064" s="25" t="s">
        <v>27</v>
      </c>
      <c r="G2064" s="28">
        <v>1695000.0</v>
      </c>
      <c r="H2064" s="29"/>
      <c r="I2064" s="28">
        <v>2657.0</v>
      </c>
      <c r="J2064" s="28">
        <v>14724.0</v>
      </c>
      <c r="K2064" s="25" t="s">
        <v>28</v>
      </c>
      <c r="L2064" s="26">
        <v>4.0</v>
      </c>
      <c r="M2064" s="26">
        <v>2.0</v>
      </c>
      <c r="N2064" s="26">
        <v>1.0</v>
      </c>
      <c r="O2064" s="26">
        <v>0.0</v>
      </c>
      <c r="P2064" s="30"/>
      <c r="Q2064" s="35">
        <v>213.0</v>
      </c>
      <c r="R2064" s="32">
        <v>43866.0</v>
      </c>
      <c r="S2064" s="32">
        <v>43652.0</v>
      </c>
      <c r="T2064" s="29"/>
      <c r="U2064" s="33"/>
      <c r="V2064" s="1"/>
    </row>
    <row r="2065" ht="24.0" customHeight="1">
      <c r="A2065" s="1"/>
      <c r="B2065" s="24" t="str">
        <f>HYPERLINK("https://www.compass.com/listing/422-west-20th-street-unit-3g-manhattan-ny-10011/1612645768137999425/view?agent_id=610d3f3370540700019b0833","422 W 20th St, Unit 3G")</f>
        <v>422 W 20th St, Unit 3G</v>
      </c>
      <c r="C2065" s="25" t="s">
        <v>370</v>
      </c>
      <c r="D2065" s="26" t="s">
        <v>23</v>
      </c>
      <c r="E2065" s="27" t="str">
        <f t="shared" si="29"/>
        <v>422 W 20th St</v>
      </c>
      <c r="F2065" s="25" t="s">
        <v>27</v>
      </c>
      <c r="G2065" s="28">
        <v>1880000.0</v>
      </c>
      <c r="H2065" s="28">
        <v>1918.0</v>
      </c>
      <c r="I2065" s="28">
        <v>3090.0</v>
      </c>
      <c r="J2065" s="28">
        <v>19920.0</v>
      </c>
      <c r="K2065" s="25" t="s">
        <v>28</v>
      </c>
      <c r="L2065" s="26">
        <v>3.0</v>
      </c>
      <c r="M2065" s="26">
        <v>2.0</v>
      </c>
      <c r="N2065" s="26">
        <v>1.0</v>
      </c>
      <c r="O2065" s="26">
        <v>0.0</v>
      </c>
      <c r="P2065" s="26">
        <v>980.0</v>
      </c>
      <c r="Q2065" s="35">
        <v>242.0</v>
      </c>
      <c r="R2065" s="32">
        <v>45848.0</v>
      </c>
      <c r="S2065" s="32">
        <v>45602.0</v>
      </c>
      <c r="T2065" s="29"/>
      <c r="U2065" s="33"/>
      <c r="V2065" s="1"/>
    </row>
    <row r="2066" ht="24.0" customHeight="1">
      <c r="A2066" s="1"/>
      <c r="B2066" s="24" t="str">
        <f>HYPERLINK("https://www.compass.com/listing/305-west-18th-street-unit-6a-manhattan-ny-10011/1784938720768478225/view?agent_id=610d3f3370540700019b0833","305 W 18th St, Unit 6A")</f>
        <v>305 W 18th St, Unit 6A</v>
      </c>
      <c r="C2066" s="25" t="s">
        <v>364</v>
      </c>
      <c r="D2066" s="26" t="s">
        <v>23</v>
      </c>
      <c r="E2066" s="27" t="str">
        <f>HYPERLINK("https://www.compass.com/building/305-w-18th-st-manhattan-ny-10011/281908420171292293/","305 W 18th St")</f>
        <v>305 W 18th St</v>
      </c>
      <c r="F2066" s="25" t="s">
        <v>27</v>
      </c>
      <c r="G2066" s="28">
        <v>749000.0</v>
      </c>
      <c r="H2066" s="28">
        <v>783.0</v>
      </c>
      <c r="I2066" s="28">
        <v>2462.0</v>
      </c>
      <c r="J2066" s="28">
        <v>19104.0</v>
      </c>
      <c r="K2066" s="25" t="s">
        <v>28</v>
      </c>
      <c r="L2066" s="26">
        <v>3.0</v>
      </c>
      <c r="M2066" s="26">
        <v>2.0</v>
      </c>
      <c r="N2066" s="26">
        <v>1.0</v>
      </c>
      <c r="O2066" s="30"/>
      <c r="P2066" s="26">
        <v>957.0</v>
      </c>
      <c r="Q2066" s="35">
        <v>131.0</v>
      </c>
      <c r="R2066" s="32">
        <v>45845.0</v>
      </c>
      <c r="S2066" s="32">
        <v>45714.0</v>
      </c>
      <c r="T2066" s="29"/>
      <c r="U2066" s="33"/>
      <c r="V2066" s="1"/>
    </row>
    <row r="2067" ht="24.0" customHeight="1">
      <c r="A2067" s="1"/>
      <c r="B2067" s="24" t="str">
        <f>HYPERLINK("https://www.compass.com/listing/125-west-12th-street-unit-6f-manhattan-ny-10011/893471336646028481/view?agent_id=610d3f3370540700019b0833","125 W 12th St, Unit 6F")</f>
        <v>125 W 12th St, Unit 6F</v>
      </c>
      <c r="C2067" s="25" t="s">
        <v>365</v>
      </c>
      <c r="D2067" s="26" t="s">
        <v>23</v>
      </c>
      <c r="E2067" s="27" t="str">
        <f>HYPERLINK("https://www.compass.com/building/125-w-12th-st-manhattan-ny-10011/281904841784053381/","125 W 12th St")</f>
        <v>125 W 12th St</v>
      </c>
      <c r="F2067" s="25" t="s">
        <v>26</v>
      </c>
      <c r="G2067" s="28">
        <v>1520000.0</v>
      </c>
      <c r="H2067" s="29"/>
      <c r="I2067" s="28">
        <v>1920.0</v>
      </c>
      <c r="J2067" s="28">
        <v>0.0</v>
      </c>
      <c r="K2067" s="25" t="s">
        <v>25</v>
      </c>
      <c r="L2067" s="26">
        <v>4.0</v>
      </c>
      <c r="M2067" s="26">
        <v>2.0</v>
      </c>
      <c r="N2067" s="26">
        <v>1.0</v>
      </c>
      <c r="O2067" s="30"/>
      <c r="P2067" s="30"/>
      <c r="Q2067" s="35">
        <v>16.0</v>
      </c>
      <c r="R2067" s="32">
        <v>44501.0</v>
      </c>
      <c r="S2067" s="32">
        <v>44484.0</v>
      </c>
      <c r="T2067" s="29"/>
      <c r="U2067" s="33"/>
      <c r="V2067" s="1"/>
    </row>
    <row r="2068" ht="24.0" customHeight="1">
      <c r="A2068" s="1"/>
      <c r="B2068" s="24" t="str">
        <f>HYPERLINK("https://www.compass.com/listing/31-west-12th-street-unit-1e-manhattan-ny-10011/1838918358515824353/view?agent_id=610d3f3370540700019b0833","31 W 12th St, Unit 1E")</f>
        <v>31 W 12th St, Unit 1E</v>
      </c>
      <c r="C2068" s="25" t="s">
        <v>364</v>
      </c>
      <c r="D2068" s="26" t="s">
        <v>23</v>
      </c>
      <c r="E2068" s="27" t="str">
        <f>HYPERLINK("https://www.compass.com/building/31-w-12th-st-manhattan-ny-10011/281908489192756805/","31 W 12th St")</f>
        <v>31 W 12th St</v>
      </c>
      <c r="F2068" s="25" t="s">
        <v>43</v>
      </c>
      <c r="G2068" s="28">
        <v>3200000.0</v>
      </c>
      <c r="H2068" s="29"/>
      <c r="I2068" s="28">
        <v>5254.0</v>
      </c>
      <c r="J2068" s="29"/>
      <c r="K2068" s="25" t="s">
        <v>25</v>
      </c>
      <c r="L2068" s="26">
        <v>5.0</v>
      </c>
      <c r="M2068" s="26">
        <v>2.0</v>
      </c>
      <c r="N2068" s="26">
        <v>0.0</v>
      </c>
      <c r="O2068" s="26">
        <v>0.0</v>
      </c>
      <c r="P2068" s="30"/>
      <c r="Q2068" s="35">
        <v>182.0</v>
      </c>
      <c r="R2068" s="32">
        <v>45636.0</v>
      </c>
      <c r="S2068" s="32">
        <v>42888.0</v>
      </c>
      <c r="T2068" s="29"/>
      <c r="U2068" s="33"/>
      <c r="V2068" s="1"/>
    </row>
    <row r="2069" ht="24.0" customHeight="1">
      <c r="A2069" s="1"/>
      <c r="B2069" s="24" t="str">
        <f>HYPERLINK("https://www.compass.com/listing/242-east-19th-street-unit-2b-manhattan-ny-10003/1130508502275686297/view?agent_id=610d3f3370540700019b0833","242 E 19th St, Unit 2B")</f>
        <v>242 E 19th St, Unit 2B</v>
      </c>
      <c r="C2069" s="25" t="s">
        <v>364</v>
      </c>
      <c r="D2069" s="26" t="s">
        <v>23</v>
      </c>
      <c r="E2069" s="27" t="str">
        <f>HYPERLINK("https://www.compass.com/building/242-e-19th-st-manhattan-ny-10003/292784403124335077/","242 E 19th St")</f>
        <v>242 E 19th St</v>
      </c>
      <c r="F2069" s="25" t="s">
        <v>48</v>
      </c>
      <c r="G2069" s="28">
        <v>1495000.0</v>
      </c>
      <c r="H2069" s="28">
        <v>1300.0</v>
      </c>
      <c r="I2069" s="28">
        <v>2321.0</v>
      </c>
      <c r="J2069" s="28">
        <v>0.0</v>
      </c>
      <c r="K2069" s="25" t="s">
        <v>25</v>
      </c>
      <c r="L2069" s="26">
        <v>4.0</v>
      </c>
      <c r="M2069" s="26">
        <v>2.0</v>
      </c>
      <c r="N2069" s="26">
        <v>1.0</v>
      </c>
      <c r="O2069" s="30"/>
      <c r="P2069" s="34">
        <v>1150.0</v>
      </c>
      <c r="Q2069" s="35">
        <v>396.0</v>
      </c>
      <c r="R2069" s="32">
        <v>45215.0</v>
      </c>
      <c r="S2069" s="32">
        <v>44811.0</v>
      </c>
      <c r="T2069" s="29"/>
      <c r="U2069" s="33"/>
      <c r="V2069" s="1"/>
    </row>
    <row r="2070" ht="24.0" customHeight="1">
      <c r="A2070" s="1"/>
      <c r="B2070" s="24" t="str">
        <f>HYPERLINK("https://www.compass.com/listing/86-2nd-place-unit-3-brooklyn-ny-11231/1293387397055818401/view?agent_id=610d3f3370540700019b0833","86 2nd Pl, Unit 3")</f>
        <v>86 2nd Pl, Unit 3</v>
      </c>
      <c r="C2070" s="25" t="s">
        <v>365</v>
      </c>
      <c r="D2070" s="26" t="s">
        <v>23</v>
      </c>
      <c r="E2070" s="27" t="str">
        <f>HYPERLINK("https://www.compass.com/building/86-2nd-pl-brooklyn-ny-11231/282501787972353605/","86 2nd Pl")</f>
        <v>86 2nd Pl</v>
      </c>
      <c r="F2070" s="25" t="s">
        <v>65</v>
      </c>
      <c r="G2070" s="28">
        <v>1595000.0</v>
      </c>
      <c r="H2070" s="29"/>
      <c r="I2070" s="28">
        <v>1213.0</v>
      </c>
      <c r="J2070" s="28">
        <v>0.0</v>
      </c>
      <c r="K2070" s="25" t="s">
        <v>25</v>
      </c>
      <c r="L2070" s="26">
        <v>4.0</v>
      </c>
      <c r="M2070" s="26">
        <v>2.0</v>
      </c>
      <c r="N2070" s="26">
        <v>1.0</v>
      </c>
      <c r="O2070" s="30"/>
      <c r="P2070" s="30"/>
      <c r="Q2070" s="35">
        <v>57.0</v>
      </c>
      <c r="R2070" s="32">
        <v>45093.0</v>
      </c>
      <c r="S2070" s="32">
        <v>45036.0</v>
      </c>
      <c r="T2070" s="29"/>
      <c r="U2070" s="33"/>
      <c r="V2070" s="1"/>
    </row>
    <row r="2071" ht="24.0" customHeight="1">
      <c r="A2071" s="1"/>
      <c r="B2071" s="24" t="str">
        <f>HYPERLINK("https://www.compass.com/listing/638-washington-street-unit-3b-manhattan-ny-10014/1420342071091780617/view?agent_id=610d3f3370540700019b0833","638 Washington St, Unit 3B")</f>
        <v>638 Washington St, Unit 3B</v>
      </c>
      <c r="C2071" s="25" t="s">
        <v>364</v>
      </c>
      <c r="D2071" s="26" t="s">
        <v>23</v>
      </c>
      <c r="E2071" s="27" t="str">
        <f>HYPERLINK("https://www.compass.com/building/west-village-houses-manhattan-ny/282064438515764165/","West Village Houses")</f>
        <v>West Village Houses</v>
      </c>
      <c r="F2071" s="25" t="s">
        <v>26</v>
      </c>
      <c r="G2071" s="28">
        <v>1250000.0</v>
      </c>
      <c r="H2071" s="29"/>
      <c r="I2071" s="28">
        <v>1188.0</v>
      </c>
      <c r="J2071" s="28">
        <v>0.0</v>
      </c>
      <c r="K2071" s="25" t="s">
        <v>25</v>
      </c>
      <c r="L2071" s="26">
        <v>5.0</v>
      </c>
      <c r="M2071" s="26">
        <v>2.0</v>
      </c>
      <c r="N2071" s="26">
        <v>1.0</v>
      </c>
      <c r="O2071" s="30"/>
      <c r="P2071" s="30"/>
      <c r="Q2071" s="35">
        <v>38.0</v>
      </c>
      <c r="R2071" s="32">
        <v>45269.0</v>
      </c>
      <c r="S2071" s="32">
        <v>45231.0</v>
      </c>
      <c r="T2071" s="29"/>
      <c r="U2071" s="33"/>
      <c r="V2071" s="1"/>
    </row>
    <row r="2072" ht="24.0" customHeight="1">
      <c r="A2072" s="1"/>
      <c r="B2072" s="24" t="str">
        <f>HYPERLINK("https://www.compass.com/listing/305-west-18th-street-unit-6a-manhattan-ny-10011/1707668029724102313/view?agent_id=610d3f3370540700019b0833","305 W 18th St, Unit 6A")</f>
        <v>305 W 18th St, Unit 6A</v>
      </c>
      <c r="C2072" s="25" t="s">
        <v>370</v>
      </c>
      <c r="D2072" s="26" t="s">
        <v>23</v>
      </c>
      <c r="E2072" s="27" t="str">
        <f>HYPERLINK("https://www.compass.com/building/305-w-18th-st-manhattan-ny-10011/281908420171292293/","305 W 18th St")</f>
        <v>305 W 18th St</v>
      </c>
      <c r="F2072" s="25" t="s">
        <v>27</v>
      </c>
      <c r="G2072" s="28">
        <v>749000.0</v>
      </c>
      <c r="H2072" s="28">
        <v>783.0</v>
      </c>
      <c r="I2072" s="28">
        <v>2462.0</v>
      </c>
      <c r="J2072" s="28">
        <v>19104.0</v>
      </c>
      <c r="K2072" s="25" t="s">
        <v>28</v>
      </c>
      <c r="L2072" s="26">
        <v>4.0</v>
      </c>
      <c r="M2072" s="26">
        <v>2.0</v>
      </c>
      <c r="N2072" s="26">
        <v>1.0</v>
      </c>
      <c r="O2072" s="30"/>
      <c r="P2072" s="26">
        <v>957.0</v>
      </c>
      <c r="Q2072" s="35">
        <v>81.0</v>
      </c>
      <c r="R2072" s="32">
        <v>45709.0</v>
      </c>
      <c r="S2072" s="32">
        <v>45607.0</v>
      </c>
      <c r="T2072" s="29"/>
      <c r="U2072" s="33"/>
      <c r="V2072" s="1"/>
    </row>
    <row r="2073" ht="24.0" customHeight="1">
      <c r="A2073" s="1"/>
      <c r="B2073" s="24" t="str">
        <f>HYPERLINK("https://www.compass.com/listing/131-avenue-b-unit-garden-manhattan-ny-10009/4852267247483227905/view?agent_id=610d3f3370540700019b0833","131 Avenue B, Unit GARDEN")</f>
        <v>131 Avenue B, Unit GARDEN</v>
      </c>
      <c r="C2073" s="25" t="s">
        <v>364</v>
      </c>
      <c r="D2073" s="26" t="s">
        <v>23</v>
      </c>
      <c r="E2073" s="27" t="str">
        <f>HYPERLINK("https://www.compass.com/building/131-avenue-b-manhattan-ny-10009/389275053675223813/","131 Avenue B")</f>
        <v>131 Avenue B</v>
      </c>
      <c r="F2073" s="25" t="s">
        <v>24</v>
      </c>
      <c r="G2073" s="28">
        <v>995000.0</v>
      </c>
      <c r="H2073" s="28">
        <v>1047.0</v>
      </c>
      <c r="I2073" s="28">
        <v>887.0</v>
      </c>
      <c r="J2073" s="29"/>
      <c r="K2073" s="25" t="s">
        <v>25</v>
      </c>
      <c r="L2073" s="26">
        <v>4.0</v>
      </c>
      <c r="M2073" s="26">
        <v>2.0</v>
      </c>
      <c r="N2073" s="26">
        <v>0.0</v>
      </c>
      <c r="O2073" s="26">
        <v>0.0</v>
      </c>
      <c r="P2073" s="26">
        <v>950.0</v>
      </c>
      <c r="Q2073" s="35">
        <v>685.0</v>
      </c>
      <c r="R2073" s="32">
        <v>44581.0</v>
      </c>
      <c r="S2073" s="32">
        <v>42193.0</v>
      </c>
      <c r="T2073" s="29"/>
      <c r="U2073" s="33"/>
      <c r="V2073" s="1"/>
    </row>
    <row r="2074" ht="24.0" customHeight="1">
      <c r="A2074" s="1"/>
      <c r="B2074" s="24" t="str">
        <f>HYPERLINK("https://www.compass.com/listing/151-west-74th-street-unit-7d-manhattan-ny-10023/29393910384102945/view?agent_id=610d3f3370540700019b0833","151 W 74th St, Unit 7D")</f>
        <v>151 W 74th St, Unit 7D</v>
      </c>
      <c r="C2074" s="25" t="s">
        <v>364</v>
      </c>
      <c r="D2074" s="26" t="s">
        <v>23</v>
      </c>
      <c r="E2074" s="27" t="str">
        <f>HYPERLINK("https://www.compass.com/building/151-w-74th-st-manhattan-ny-10023/281957431091730613/","151 W 74th St")</f>
        <v>151 W 74th St</v>
      </c>
      <c r="F2074" s="25" t="s">
        <v>29</v>
      </c>
      <c r="G2074" s="28">
        <v>1275000.0</v>
      </c>
      <c r="H2074" s="29"/>
      <c r="I2074" s="28">
        <v>1783.0</v>
      </c>
      <c r="J2074" s="29"/>
      <c r="K2074" s="25" t="s">
        <v>25</v>
      </c>
      <c r="L2074" s="26">
        <v>4.0</v>
      </c>
      <c r="M2074" s="26">
        <v>2.0</v>
      </c>
      <c r="N2074" s="26">
        <v>1.0</v>
      </c>
      <c r="O2074" s="26">
        <v>0.0</v>
      </c>
      <c r="P2074" s="30"/>
      <c r="Q2074" s="35">
        <v>7.0</v>
      </c>
      <c r="R2074" s="32">
        <v>45636.0</v>
      </c>
      <c r="S2074" s="32">
        <v>42655.0</v>
      </c>
      <c r="T2074" s="29"/>
      <c r="U2074" s="33"/>
      <c r="V2074" s="1"/>
    </row>
    <row r="2075" ht="24.0" customHeight="1">
      <c r="A2075" s="1"/>
      <c r="B2075" s="24" t="str">
        <f>HYPERLINK("https://www.compass.com/listing/23-west-73rd-street-unit-511-manhattan-ny-10023/1291220756610982649/view?agent_id=610d3f3370540700019b0833","23 W 73rd St, Unit 511")</f>
        <v>23 W 73rd St, Unit 511</v>
      </c>
      <c r="C2075" s="25" t="s">
        <v>365</v>
      </c>
      <c r="D2075" s="26" t="s">
        <v>23</v>
      </c>
      <c r="E2075" s="27" t="str">
        <f t="shared" ref="E2075:E2076" si="30">HYPERLINK("https://www.compass.com/building/park-royal-manhattan-ny/281958640317962949/","Park Royal")</f>
        <v>Park Royal</v>
      </c>
      <c r="F2075" s="25" t="s">
        <v>29</v>
      </c>
      <c r="G2075" s="28">
        <v>1150000.0</v>
      </c>
      <c r="H2075" s="29"/>
      <c r="I2075" s="28">
        <v>2317.0</v>
      </c>
      <c r="J2075" s="28">
        <v>0.0</v>
      </c>
      <c r="K2075" s="25" t="s">
        <v>25</v>
      </c>
      <c r="L2075" s="26">
        <v>4.0</v>
      </c>
      <c r="M2075" s="26">
        <v>2.0</v>
      </c>
      <c r="N2075" s="26">
        <v>1.0</v>
      </c>
      <c r="O2075" s="30"/>
      <c r="P2075" s="30"/>
      <c r="Q2075" s="35">
        <v>245.0</v>
      </c>
      <c r="R2075" s="32">
        <v>45278.0</v>
      </c>
      <c r="S2075" s="32">
        <v>45033.0</v>
      </c>
      <c r="T2075" s="29"/>
      <c r="U2075" s="33"/>
      <c r="V2075" s="1"/>
    </row>
    <row r="2076" ht="24.0" customHeight="1">
      <c r="A2076" s="1"/>
      <c r="B2076" s="24" t="str">
        <f>HYPERLINK("https://www.compass.com/listing/23-west-73rd-street-unit-511-manhattan-ny-10023/1536168451080819753/view?agent_id=610d3f3370540700019b0833","23 W 73rd St, Unit 511")</f>
        <v>23 W 73rd St, Unit 511</v>
      </c>
      <c r="C2076" s="25" t="s">
        <v>364</v>
      </c>
      <c r="D2076" s="26" t="s">
        <v>23</v>
      </c>
      <c r="E2076" s="27" t="str">
        <f t="shared" si="30"/>
        <v>Park Royal</v>
      </c>
      <c r="F2076" s="25" t="s">
        <v>29</v>
      </c>
      <c r="G2076" s="28">
        <v>1150000.0</v>
      </c>
      <c r="H2076" s="29"/>
      <c r="I2076" s="28">
        <v>2317.0</v>
      </c>
      <c r="J2076" s="28">
        <v>0.0</v>
      </c>
      <c r="K2076" s="25" t="s">
        <v>25</v>
      </c>
      <c r="L2076" s="26">
        <v>4.0</v>
      </c>
      <c r="M2076" s="26">
        <v>2.0</v>
      </c>
      <c r="N2076" s="26">
        <v>1.0</v>
      </c>
      <c r="O2076" s="30"/>
      <c r="P2076" s="30"/>
      <c r="Q2076" s="35">
        <v>33.0</v>
      </c>
      <c r="R2076" s="32">
        <v>45513.0</v>
      </c>
      <c r="S2076" s="32">
        <v>45371.0</v>
      </c>
      <c r="T2076" s="29"/>
      <c r="U2076" s="33"/>
      <c r="V2076" s="1"/>
    </row>
    <row r="2077" ht="24.0" customHeight="1">
      <c r="A2077" s="1"/>
      <c r="B2077" s="24" t="str">
        <f>HYPERLINK("https://www.compass.com/listing/200-chambers-street-unit-8d-manhattan-ny-10007/4852272759939532321/view?agent_id=610d3f3370540700019b0833","200 Chambers St, Unit 8D")</f>
        <v>200 Chambers St, Unit 8D</v>
      </c>
      <c r="C2077" s="25" t="s">
        <v>370</v>
      </c>
      <c r="D2077" s="26" t="s">
        <v>23</v>
      </c>
      <c r="E2077" s="27" t="str">
        <f>HYPERLINK("https://www.compass.com/building/200-chambers-st-manhattan-ny-10007/281896823650526357/","200 Chambers St")</f>
        <v>200 Chambers St</v>
      </c>
      <c r="F2077" s="25" t="s">
        <v>60</v>
      </c>
      <c r="G2077" s="28">
        <v>3495000.0</v>
      </c>
      <c r="H2077" s="28">
        <v>2496.0</v>
      </c>
      <c r="I2077" s="28">
        <v>3281.0</v>
      </c>
      <c r="J2077" s="28">
        <v>14664.0</v>
      </c>
      <c r="K2077" s="25" t="s">
        <v>28</v>
      </c>
      <c r="L2077" s="26">
        <v>5.0</v>
      </c>
      <c r="M2077" s="26">
        <v>2.0</v>
      </c>
      <c r="N2077" s="26">
        <v>0.0</v>
      </c>
      <c r="O2077" s="26">
        <v>0.0</v>
      </c>
      <c r="P2077" s="34">
        <v>1400.0</v>
      </c>
      <c r="Q2077" s="35">
        <v>75.0</v>
      </c>
      <c r="R2077" s="32">
        <v>45636.0</v>
      </c>
      <c r="S2077" s="32">
        <v>42448.0</v>
      </c>
      <c r="T2077" s="29"/>
      <c r="U2077" s="33"/>
      <c r="V2077" s="1"/>
    </row>
    <row r="2078" ht="24.0" customHeight="1">
      <c r="A2078" s="1"/>
      <c r="B2078" s="24" t="str">
        <f>HYPERLINK("https://www.compass.com/listing/205-3rd-avenue-unit-6w-manhattan-ny-10003/1038276067945869761/view?agent_id=610d3f3370540700019b0833","205 3rd Ave, Unit 6W")</f>
        <v>205 3rd Ave, Unit 6W</v>
      </c>
      <c r="C2078" s="25" t="s">
        <v>364</v>
      </c>
      <c r="D2078" s="26" t="s">
        <v>23</v>
      </c>
      <c r="E2078" s="27" t="str">
        <f>HYPERLINK("https://www.compass.com/building/gramercy-park-towers-manhattan-ny/281890486954759109/","Gramercy Park Towers")</f>
        <v>Gramercy Park Towers</v>
      </c>
      <c r="F2078" s="25" t="s">
        <v>48</v>
      </c>
      <c r="G2078" s="28">
        <v>1125000.0</v>
      </c>
      <c r="H2078" s="29"/>
      <c r="I2078" s="28">
        <v>1785.0</v>
      </c>
      <c r="J2078" s="28">
        <v>0.0</v>
      </c>
      <c r="K2078" s="25" t="s">
        <v>25</v>
      </c>
      <c r="L2078" s="26">
        <v>4.0</v>
      </c>
      <c r="M2078" s="26">
        <v>2.0</v>
      </c>
      <c r="N2078" s="26">
        <v>1.0</v>
      </c>
      <c r="O2078" s="30"/>
      <c r="P2078" s="30"/>
      <c r="Q2078" s="35">
        <v>30.0</v>
      </c>
      <c r="R2078" s="32">
        <v>44721.0</v>
      </c>
      <c r="S2078" s="32">
        <v>44691.0</v>
      </c>
      <c r="T2078" s="29"/>
      <c r="U2078" s="33"/>
      <c r="V2078" s="1"/>
    </row>
    <row r="2079" ht="24.0" customHeight="1">
      <c r="A2079" s="1"/>
      <c r="B2079" s="24" t="str">
        <f>HYPERLINK("https://www.compass.com/listing/708-washington-street-unit-3b-manhattan-ny-10014/1020344001932552777/view?agent_id=610d3f3370540700019b0833","708 Washington St, Unit 3B")</f>
        <v>708 Washington St, Unit 3B</v>
      </c>
      <c r="C2079" s="25" t="s">
        <v>364</v>
      </c>
      <c r="D2079" s="26" t="s">
        <v>23</v>
      </c>
      <c r="E2079" s="27" t="str">
        <f>HYPERLINK("https://www.compass.com/building/west-village-houses-manhattan-ny/282064571903020069/","West Village Houses")</f>
        <v>West Village Houses</v>
      </c>
      <c r="F2079" s="25" t="s">
        <v>26</v>
      </c>
      <c r="G2079" s="28">
        <v>1100000.0</v>
      </c>
      <c r="H2079" s="28">
        <v>1218.0</v>
      </c>
      <c r="I2079" s="28">
        <v>1216.0</v>
      </c>
      <c r="J2079" s="28">
        <v>0.0</v>
      </c>
      <c r="K2079" s="25" t="s">
        <v>25</v>
      </c>
      <c r="L2079" s="26">
        <v>3.0</v>
      </c>
      <c r="M2079" s="26">
        <v>2.0</v>
      </c>
      <c r="N2079" s="26">
        <v>1.0</v>
      </c>
      <c r="O2079" s="26">
        <v>0.0</v>
      </c>
      <c r="P2079" s="26">
        <v>903.0</v>
      </c>
      <c r="Q2079" s="35">
        <v>18.0</v>
      </c>
      <c r="R2079" s="32">
        <v>44700.0</v>
      </c>
      <c r="S2079" s="32">
        <v>44659.0</v>
      </c>
      <c r="T2079" s="29"/>
      <c r="U2079" s="33"/>
      <c r="V2079" s="1"/>
    </row>
    <row r="2080" ht="24.0" customHeight="1">
      <c r="A2080" s="1"/>
      <c r="B2080" s="24" t="str">
        <f>HYPERLINK("https://www.compass.com/listing/226-east-2nd-street-unit-2c-manhattan-ny-10009/694871941128208833/view?agent_id=610d3f3370540700019b0833","226 E 2nd St, Unit 2C")</f>
        <v>226 E 2nd St, Unit 2C</v>
      </c>
      <c r="C2080" s="25" t="s">
        <v>364</v>
      </c>
      <c r="D2080" s="26" t="s">
        <v>23</v>
      </c>
      <c r="E2080" s="27" t="str">
        <f>HYPERLINK("https://www.compass.com/building/226-e-2nd-st-manhattan-ny-10009/292791996853013269/","226 E 2nd St")</f>
        <v>226 E 2nd St</v>
      </c>
      <c r="F2080" s="25" t="s">
        <v>24</v>
      </c>
      <c r="G2080" s="28">
        <v>1100000.0</v>
      </c>
      <c r="H2080" s="29"/>
      <c r="I2080" s="28">
        <v>1283.0</v>
      </c>
      <c r="J2080" s="28">
        <v>0.0</v>
      </c>
      <c r="K2080" s="25" t="s">
        <v>25</v>
      </c>
      <c r="L2080" s="26">
        <v>5.0</v>
      </c>
      <c r="M2080" s="26">
        <v>2.0</v>
      </c>
      <c r="N2080" s="26">
        <v>1.0</v>
      </c>
      <c r="O2080" s="30"/>
      <c r="P2080" s="30"/>
      <c r="Q2080" s="35">
        <v>73.0</v>
      </c>
      <c r="R2080" s="32">
        <v>44293.0</v>
      </c>
      <c r="S2080" s="32">
        <v>44220.0</v>
      </c>
      <c r="T2080" s="29"/>
      <c r="U2080" s="33"/>
      <c r="V2080" s="1"/>
    </row>
    <row r="2081" ht="24.0" customHeight="1">
      <c r="A2081" s="1"/>
      <c r="B2081" s="24" t="str">
        <f>HYPERLINK("https://www.compass.com/listing/422-west-20th-street-unit-2g-manhattan-ny-10011/102166556825442737/view?agent_id=610d3f3370540700019b0833","422 W 20th St, Unit 2G")</f>
        <v>422 W 20th St, Unit 2G</v>
      </c>
      <c r="C2081" s="25" t="s">
        <v>364</v>
      </c>
      <c r="D2081" s="26" t="s">
        <v>23</v>
      </c>
      <c r="E2081" s="27" t="str">
        <f>HYPERLINK("https://www.compass.com/building/422-w-20th-st-manhattan-ny-10011/281910243049367013/","422 W 20th St")</f>
        <v>422 W 20th St</v>
      </c>
      <c r="F2081" s="25" t="s">
        <v>27</v>
      </c>
      <c r="G2081" s="28">
        <v>1895000.0</v>
      </c>
      <c r="H2081" s="29"/>
      <c r="I2081" s="28">
        <v>2657.0</v>
      </c>
      <c r="J2081" s="28">
        <v>14724.0</v>
      </c>
      <c r="K2081" s="25" t="s">
        <v>28</v>
      </c>
      <c r="L2081" s="26">
        <v>3.0</v>
      </c>
      <c r="M2081" s="26">
        <v>2.0</v>
      </c>
      <c r="N2081" s="26">
        <v>1.0</v>
      </c>
      <c r="O2081" s="26">
        <v>0.0</v>
      </c>
      <c r="P2081" s="30"/>
      <c r="Q2081" s="35">
        <v>60.0</v>
      </c>
      <c r="R2081" s="32">
        <v>43455.0</v>
      </c>
      <c r="S2081" s="32">
        <v>43395.0</v>
      </c>
      <c r="T2081" s="29"/>
      <c r="U2081" s="33"/>
      <c r="V2081" s="1"/>
    </row>
    <row r="2082" ht="24.0" customHeight="1">
      <c r="A2082" s="1"/>
      <c r="B2082" s="24" t="str">
        <f>HYPERLINK("https://www.compass.com/listing/399-east-8th-street-unit-5a-manhattan-ny-10009/572350272285127081/view?agent_id=610d3f3370540700019b0833","399 E 8th St, Unit 5A")</f>
        <v>399 E 8th St, Unit 5A</v>
      </c>
      <c r="C2082" s="25" t="s">
        <v>364</v>
      </c>
      <c r="D2082" s="26" t="s">
        <v>23</v>
      </c>
      <c r="E2082" s="27" t="str">
        <f>HYPERLINK("https://www.compass.com/building/three99-on-eighth-manhattan-ny/281899849236886213/","THREE99 On Eighth")</f>
        <v>THREE99 On Eighth</v>
      </c>
      <c r="F2082" s="25" t="s">
        <v>24</v>
      </c>
      <c r="G2082" s="28">
        <v>1037400.0</v>
      </c>
      <c r="H2082" s="29"/>
      <c r="I2082" s="28">
        <v>711.0</v>
      </c>
      <c r="J2082" s="28">
        <v>588.0</v>
      </c>
      <c r="K2082" s="25" t="s">
        <v>28</v>
      </c>
      <c r="L2082" s="26">
        <v>4.0</v>
      </c>
      <c r="M2082" s="26">
        <v>2.0</v>
      </c>
      <c r="N2082" s="26">
        <v>1.0</v>
      </c>
      <c r="O2082" s="26">
        <v>0.0</v>
      </c>
      <c r="P2082" s="30"/>
      <c r="Q2082" s="31"/>
      <c r="R2082" s="32">
        <v>45636.0</v>
      </c>
      <c r="S2082" s="33"/>
      <c r="T2082" s="29"/>
      <c r="U2082" s="33"/>
      <c r="V2082" s="1"/>
    </row>
    <row r="2083" ht="24.0" customHeight="1">
      <c r="A2083" s="1"/>
      <c r="B2083" s="24" t="str">
        <f>HYPERLINK("https://www.compass.com/listing/468-west-23rd-street-unit-2r-manhattan-ny-10011/70923635740640561/view?agent_id=610d3f3370540700019b0833","468 W 23rd St, Unit 2R")</f>
        <v>468 W 23rd St, Unit 2R</v>
      </c>
      <c r="C2083" s="25" t="s">
        <v>370</v>
      </c>
      <c r="D2083" s="26" t="s">
        <v>23</v>
      </c>
      <c r="E2083" s="27" t="str">
        <f>HYPERLINK("https://www.compass.com/building/468-w-23rd-st-manhattan-ny-10011/281911003636064389/","468 W 23rd St")</f>
        <v>468 W 23rd St</v>
      </c>
      <c r="F2083" s="25" t="s">
        <v>27</v>
      </c>
      <c r="G2083" s="28">
        <v>1850000.0</v>
      </c>
      <c r="H2083" s="28">
        <v>1762.0</v>
      </c>
      <c r="I2083" s="28">
        <v>1443.0</v>
      </c>
      <c r="J2083" s="28">
        <v>9204.0</v>
      </c>
      <c r="K2083" s="25" t="s">
        <v>28</v>
      </c>
      <c r="L2083" s="26">
        <v>4.0</v>
      </c>
      <c r="M2083" s="26">
        <v>2.0</v>
      </c>
      <c r="N2083" s="26">
        <v>0.0</v>
      </c>
      <c r="O2083" s="26">
        <v>0.0</v>
      </c>
      <c r="P2083" s="34">
        <v>1050.0</v>
      </c>
      <c r="Q2083" s="35">
        <v>95.0</v>
      </c>
      <c r="R2083" s="32">
        <v>45636.0</v>
      </c>
      <c r="S2083" s="32">
        <v>41578.0</v>
      </c>
      <c r="T2083" s="29"/>
      <c r="U2083" s="33"/>
      <c r="V2083" s="1"/>
    </row>
    <row r="2084" ht="24.0" customHeight="1">
      <c r="A2084" s="1"/>
      <c r="B2084" s="24" t="str">
        <f>HYPERLINK("https://www.compass.com/listing/250-west-15th-street-unit-a-manhattan-ny-10011/1044094578616296369/view?agent_id=610d3f3370540700019b0833","250 W 15th St, Unit A")</f>
        <v>250 W 15th St, Unit A</v>
      </c>
      <c r="C2084" s="25" t="s">
        <v>364</v>
      </c>
      <c r="D2084" s="26" t="s">
        <v>23</v>
      </c>
      <c r="E2084" s="27" t="str">
        <f>HYPERLINK("https://www.compass.com/building/250-w-15th-st-manhattan-ny-10011/292802962449788661/","250 W 15th St")</f>
        <v>250 W 15th St</v>
      </c>
      <c r="F2084" s="25" t="s">
        <v>27</v>
      </c>
      <c r="G2084" s="28">
        <v>1575000.0</v>
      </c>
      <c r="H2084" s="29"/>
      <c r="I2084" s="28">
        <v>1392.0</v>
      </c>
      <c r="J2084" s="28">
        <v>0.0</v>
      </c>
      <c r="K2084" s="25" t="s">
        <v>25</v>
      </c>
      <c r="L2084" s="26">
        <v>4.0</v>
      </c>
      <c r="M2084" s="26">
        <v>2.0</v>
      </c>
      <c r="N2084" s="26">
        <v>1.0</v>
      </c>
      <c r="O2084" s="30"/>
      <c r="P2084" s="30"/>
      <c r="Q2084" s="35">
        <v>82.0</v>
      </c>
      <c r="R2084" s="32">
        <v>44774.0</v>
      </c>
      <c r="S2084" s="32">
        <v>44692.0</v>
      </c>
      <c r="T2084" s="29"/>
      <c r="U2084" s="33"/>
      <c r="V2084" s="1"/>
    </row>
    <row r="2085" ht="24.0" customHeight="1">
      <c r="A2085" s="1"/>
      <c r="B2085" s="24" t="str">
        <f>HYPERLINK("https://www.compass.com/listing/149-west-22nd-street-unit-1-manhattan-ny-10011/923584821497684777/view?agent_id=610d3f3370540700019b0833","149 W 22nd St, Unit 1/")</f>
        <v>149 W 22nd St, Unit 1/</v>
      </c>
      <c r="C2085" s="25" t="s">
        <v>364</v>
      </c>
      <c r="D2085" s="26" t="s">
        <v>23</v>
      </c>
      <c r="E2085" s="27" t="str">
        <f>HYPERLINK("https://www.compass.com/building/149-w-22nd-st-manhattan-ny-10011/307454155488521557/","149 W 22nd St")</f>
        <v>149 W 22nd St</v>
      </c>
      <c r="F2085" s="25" t="s">
        <v>27</v>
      </c>
      <c r="G2085" s="28">
        <v>3395000.0</v>
      </c>
      <c r="H2085" s="28">
        <v>1306.0</v>
      </c>
      <c r="I2085" s="28">
        <v>3171.0</v>
      </c>
      <c r="J2085" s="29"/>
      <c r="K2085" s="25" t="s">
        <v>25</v>
      </c>
      <c r="L2085" s="26">
        <v>5.0</v>
      </c>
      <c r="M2085" s="26">
        <v>2.0</v>
      </c>
      <c r="N2085" s="26">
        <v>0.0</v>
      </c>
      <c r="O2085" s="26">
        <v>0.0</v>
      </c>
      <c r="P2085" s="34">
        <v>2600.0</v>
      </c>
      <c r="Q2085" s="35">
        <v>0.0</v>
      </c>
      <c r="R2085" s="32">
        <v>44581.0</v>
      </c>
      <c r="S2085" s="32">
        <v>43174.0</v>
      </c>
      <c r="T2085" s="29"/>
      <c r="U2085" s="33"/>
      <c r="V2085" s="1"/>
    </row>
    <row r="2086" ht="24.0" customHeight="1">
      <c r="A2086" s="1"/>
      <c r="B2086" s="24" t="str">
        <f>HYPERLINK("https://www.compass.com/listing/131-perry-street-unit-1b-manhattan-ny-10014/1838988183694516841/view?agent_id=610d3f3370540700019b0833","131 Perry St, Unit 1B")</f>
        <v>131 Perry St, Unit 1B</v>
      </c>
      <c r="C2086" s="25" t="s">
        <v>364</v>
      </c>
      <c r="D2086" s="26" t="s">
        <v>23</v>
      </c>
      <c r="E2086" s="27" t="str">
        <f>HYPERLINK("https://www.compass.com/building/131-perry-st-manhattan-ny-10014/281929854079774357/","131 Perry St")</f>
        <v>131 Perry St</v>
      </c>
      <c r="F2086" s="25" t="s">
        <v>26</v>
      </c>
      <c r="G2086" s="28">
        <v>2375000.0</v>
      </c>
      <c r="H2086" s="28">
        <v>1418.0</v>
      </c>
      <c r="I2086" s="28">
        <v>1911.0</v>
      </c>
      <c r="J2086" s="29"/>
      <c r="K2086" s="25" t="s">
        <v>25</v>
      </c>
      <c r="L2086" s="26">
        <v>5.0</v>
      </c>
      <c r="M2086" s="26">
        <v>2.0</v>
      </c>
      <c r="N2086" s="26">
        <v>0.0</v>
      </c>
      <c r="O2086" s="26">
        <v>0.0</v>
      </c>
      <c r="P2086" s="34">
        <v>1675.0</v>
      </c>
      <c r="Q2086" s="35">
        <v>61.0</v>
      </c>
      <c r="R2086" s="32">
        <v>45636.0</v>
      </c>
      <c r="S2086" s="32">
        <v>43110.0</v>
      </c>
      <c r="T2086" s="29"/>
      <c r="U2086" s="33"/>
      <c r="V2086" s="1"/>
    </row>
    <row r="2087" ht="24.0" customHeight="1">
      <c r="A2087" s="1"/>
      <c r="B2087" s="24" t="str">
        <f>HYPERLINK("https://www.compass.com/listing/365-west-20th-street-unit-14e-manhattan-ny-10011/1558275876189198241/view?agent_id=610d3f3370540700019b0833","365 W 20th St, Unit 14E")</f>
        <v>365 W 20th St, Unit 14E</v>
      </c>
      <c r="C2087" s="25" t="s">
        <v>364</v>
      </c>
      <c r="D2087" s="26" t="s">
        <v>23</v>
      </c>
      <c r="E2087" s="27" t="str">
        <f t="shared" ref="E2087:E2088" si="31">HYPERLINK("https://www.compass.com/building/365-w-20th-st-manhattan-ny-10011/292805231895410229/","365 W 20th St")</f>
        <v>365 W 20th St</v>
      </c>
      <c r="F2087" s="25" t="s">
        <v>27</v>
      </c>
      <c r="G2087" s="28">
        <v>1195000.0</v>
      </c>
      <c r="H2087" s="29"/>
      <c r="I2087" s="28">
        <v>2036.0</v>
      </c>
      <c r="J2087" s="28">
        <v>0.0</v>
      </c>
      <c r="K2087" s="25" t="s">
        <v>25</v>
      </c>
      <c r="L2087" s="26">
        <v>4.0</v>
      </c>
      <c r="M2087" s="26">
        <v>2.0</v>
      </c>
      <c r="N2087" s="26">
        <v>1.0</v>
      </c>
      <c r="O2087" s="30"/>
      <c r="P2087" s="30"/>
      <c r="Q2087" s="35">
        <v>65.0</v>
      </c>
      <c r="R2087" s="32">
        <v>45468.0</v>
      </c>
      <c r="S2087" s="32">
        <v>45401.0</v>
      </c>
      <c r="T2087" s="29"/>
      <c r="U2087" s="33"/>
      <c r="V2087" s="1"/>
    </row>
    <row r="2088" ht="24.0" customHeight="1">
      <c r="A2088" s="1"/>
      <c r="B2088" s="24" t="str">
        <f>HYPERLINK("https://www.compass.com/listing/365-west-20th-street-manhattan-ny-10011/1414642958538573321/view?agent_id=610d3f3370540700019b0833","365 W 20th St, Unit 14E")</f>
        <v>365 W 20th St, Unit 14E</v>
      </c>
      <c r="C2088" s="25" t="s">
        <v>370</v>
      </c>
      <c r="D2088" s="26" t="s">
        <v>23</v>
      </c>
      <c r="E2088" s="27" t="str">
        <f t="shared" si="31"/>
        <v>365 W 20th St</v>
      </c>
      <c r="F2088" s="25" t="s">
        <v>27</v>
      </c>
      <c r="G2088" s="28">
        <v>1195000.0</v>
      </c>
      <c r="H2088" s="29"/>
      <c r="I2088" s="28">
        <v>2037.0</v>
      </c>
      <c r="J2088" s="28">
        <v>0.0</v>
      </c>
      <c r="K2088" s="25" t="s">
        <v>25</v>
      </c>
      <c r="L2088" s="26">
        <v>5.0</v>
      </c>
      <c r="M2088" s="26">
        <v>2.0</v>
      </c>
      <c r="N2088" s="26">
        <v>1.0</v>
      </c>
      <c r="O2088" s="26">
        <v>0.0</v>
      </c>
      <c r="P2088" s="30"/>
      <c r="Q2088" s="35">
        <v>177.0</v>
      </c>
      <c r="R2088" s="32">
        <v>45381.0</v>
      </c>
      <c r="S2088" s="32">
        <v>45203.0</v>
      </c>
      <c r="T2088" s="29"/>
      <c r="U2088" s="33"/>
      <c r="V2088" s="1"/>
    </row>
    <row r="2089" ht="24.0" customHeight="1">
      <c r="A2089" s="1"/>
      <c r="B2089" s="24" t="str">
        <f>HYPERLINK("https://www.compass.com/listing/399-east-8th-street-unit-2a-manhattan-ny-10009/29513610157979713/view?agent_id=610d3f3370540700019b0833","399 E 8th St, Unit 2A")</f>
        <v>399 E 8th St, Unit 2A</v>
      </c>
      <c r="C2089" s="25" t="s">
        <v>364</v>
      </c>
      <c r="D2089" s="26" t="s">
        <v>23</v>
      </c>
      <c r="E2089" s="27" t="str">
        <f>HYPERLINK("https://www.compass.com/building/three99-on-eighth-manhattan-ny/281899849236886213/","THREE99 On Eighth")</f>
        <v>THREE99 On Eighth</v>
      </c>
      <c r="F2089" s="25" t="s">
        <v>24</v>
      </c>
      <c r="G2089" s="28">
        <v>998000.0</v>
      </c>
      <c r="H2089" s="28">
        <v>1492.0</v>
      </c>
      <c r="I2089" s="28">
        <v>637.0</v>
      </c>
      <c r="J2089" s="28">
        <v>567.0</v>
      </c>
      <c r="K2089" s="25" t="s">
        <v>28</v>
      </c>
      <c r="L2089" s="26">
        <v>4.0</v>
      </c>
      <c r="M2089" s="26">
        <v>2.0</v>
      </c>
      <c r="N2089" s="30"/>
      <c r="O2089" s="30"/>
      <c r="P2089" s="26">
        <v>669.0</v>
      </c>
      <c r="Q2089" s="35">
        <v>131.0</v>
      </c>
      <c r="R2089" s="32">
        <v>43698.0</v>
      </c>
      <c r="S2089" s="32">
        <v>43250.0</v>
      </c>
      <c r="T2089" s="29"/>
      <c r="U2089" s="33"/>
      <c r="V2089" s="1"/>
    </row>
    <row r="2090" ht="24.0" customHeight="1">
      <c r="A2090" s="1"/>
      <c r="B2090" s="24" t="str">
        <f>HYPERLINK("https://www.compass.com/listing/448-east-13th-street-unit-2c-manhattan-ny-10009/1256593375767332745/view?agent_id=610d3f3370540700019b0833","448 E 13th St, Unit 2C")</f>
        <v>448 E 13th St, Unit 2C</v>
      </c>
      <c r="C2090" s="25" t="s">
        <v>365</v>
      </c>
      <c r="D2090" s="26" t="s">
        <v>23</v>
      </c>
      <c r="E2090" s="27" t="str">
        <f>HYPERLINK("https://www.compass.com/building/448-e-13th-st-manhattan-ny-10009/282056268607157877/","448 E 13th St")</f>
        <v>448 E 13th St</v>
      </c>
      <c r="F2090" s="25" t="s">
        <v>24</v>
      </c>
      <c r="G2090" s="28">
        <v>619000.0</v>
      </c>
      <c r="H2090" s="29"/>
      <c r="I2090" s="28">
        <v>405.0</v>
      </c>
      <c r="J2090" s="28">
        <v>0.0</v>
      </c>
      <c r="K2090" s="25" t="s">
        <v>25</v>
      </c>
      <c r="L2090" s="26">
        <v>4.0</v>
      </c>
      <c r="M2090" s="26">
        <v>2.0</v>
      </c>
      <c r="N2090" s="26">
        <v>1.0</v>
      </c>
      <c r="O2090" s="30"/>
      <c r="P2090" s="30"/>
      <c r="Q2090" s="35">
        <v>54.0</v>
      </c>
      <c r="R2090" s="32">
        <v>45042.0</v>
      </c>
      <c r="S2090" s="32">
        <v>44988.0</v>
      </c>
      <c r="T2090" s="29"/>
      <c r="U2090" s="33"/>
      <c r="V2090" s="1"/>
    </row>
    <row r="2091" ht="24.0" customHeight="1">
      <c r="A2091" s="1"/>
      <c r="B2091" s="24" t="str">
        <f>HYPERLINK("https://www.compass.com/listing/399-east-8th-street-unit-1a-manhattan-ny-10009/1551871322500094353/view?agent_id=610d3f3370540700019b0833","399 E 8th St, Unit 1A")</f>
        <v>399 E 8th St, Unit 1A</v>
      </c>
      <c r="C2091" s="25" t="s">
        <v>364</v>
      </c>
      <c r="D2091" s="26" t="s">
        <v>23</v>
      </c>
      <c r="E2091" s="27" t="str">
        <f t="shared" ref="E2091:E2092" si="32">HYPERLINK("https://www.compass.com/building/three99-on-eighth-manhattan-ny/281899849236886213/","THREE99 On Eighth")</f>
        <v>THREE99 On Eighth</v>
      </c>
      <c r="F2091" s="25" t="s">
        <v>24</v>
      </c>
      <c r="G2091" s="28">
        <v>1250000.0</v>
      </c>
      <c r="H2091" s="29"/>
      <c r="I2091" s="28">
        <v>736.0</v>
      </c>
      <c r="J2091" s="28">
        <v>749.0</v>
      </c>
      <c r="K2091" s="25" t="s">
        <v>28</v>
      </c>
      <c r="L2091" s="26">
        <v>3.0</v>
      </c>
      <c r="M2091" s="26">
        <v>2.0</v>
      </c>
      <c r="N2091" s="26">
        <v>1.0</v>
      </c>
      <c r="O2091" s="30"/>
      <c r="P2091" s="26">
        <v>0.0</v>
      </c>
      <c r="Q2091" s="35">
        <v>349.0</v>
      </c>
      <c r="R2091" s="32">
        <v>45755.0</v>
      </c>
      <c r="S2091" s="32">
        <v>45405.0</v>
      </c>
      <c r="T2091" s="29"/>
      <c r="U2091" s="33"/>
      <c r="V2091" s="1"/>
    </row>
    <row r="2092" ht="24.0" customHeight="1">
      <c r="A2092" s="1"/>
      <c r="B2092" s="24" t="str">
        <f>HYPERLINK("https://www.compass.com/listing/399-east-8th-street-unit-6d-manhattan-ny-10009/70927512041025793/view?agent_id=610d3f3370540700019b0833","399 E 8th St, Unit 6D")</f>
        <v>399 E 8th St, Unit 6D</v>
      </c>
      <c r="C2092" s="25" t="s">
        <v>364</v>
      </c>
      <c r="D2092" s="26" t="s">
        <v>23</v>
      </c>
      <c r="E2092" s="27" t="str">
        <f t="shared" si="32"/>
        <v>THREE99 On Eighth</v>
      </c>
      <c r="F2092" s="25" t="s">
        <v>24</v>
      </c>
      <c r="G2092" s="28">
        <v>1233750.0</v>
      </c>
      <c r="H2092" s="28">
        <v>1683.0</v>
      </c>
      <c r="I2092" s="28">
        <v>722.0</v>
      </c>
      <c r="J2092" s="28">
        <v>651.0</v>
      </c>
      <c r="K2092" s="25" t="s">
        <v>28</v>
      </c>
      <c r="L2092" s="26">
        <v>4.0</v>
      </c>
      <c r="M2092" s="26">
        <v>2.0</v>
      </c>
      <c r="N2092" s="30"/>
      <c r="O2092" s="30"/>
      <c r="P2092" s="26">
        <v>733.0</v>
      </c>
      <c r="Q2092" s="35">
        <v>126.0</v>
      </c>
      <c r="R2092" s="32">
        <v>43698.0</v>
      </c>
      <c r="S2092" s="32">
        <v>43255.0</v>
      </c>
      <c r="T2092" s="29"/>
      <c r="U2092" s="33"/>
      <c r="V2092" s="1"/>
    </row>
    <row r="2093" ht="24.0" customHeight="1">
      <c r="A2093" s="1"/>
      <c r="B2093" s="24" t="str">
        <f>HYPERLINK("https://www.compass.com/listing/43-west-13th-street-unit-2-manhattan-ny-10011/29366203944366833/view?agent_id=610d3f3370540700019b0833","43 W 13th St, Unit 2")</f>
        <v>43 W 13th St, Unit 2</v>
      </c>
      <c r="C2093" s="25" t="s">
        <v>370</v>
      </c>
      <c r="D2093" s="26" t="s">
        <v>23</v>
      </c>
      <c r="E2093" s="27" t="str">
        <f>HYPERLINK("https://www.compass.com/building/43-w-13th-st-manhattan-ny-10011/281910323135405461/","43 W 13th St")</f>
        <v>43 W 13th St</v>
      </c>
      <c r="F2093" s="25" t="s">
        <v>43</v>
      </c>
      <c r="G2093" s="28">
        <v>4750000.0</v>
      </c>
      <c r="H2093" s="28">
        <v>950.0</v>
      </c>
      <c r="I2093" s="28">
        <v>5619.0</v>
      </c>
      <c r="J2093" s="29"/>
      <c r="K2093" s="25" t="s">
        <v>25</v>
      </c>
      <c r="L2093" s="26">
        <v>6.0</v>
      </c>
      <c r="M2093" s="26">
        <v>2.0</v>
      </c>
      <c r="N2093" s="26">
        <v>0.0</v>
      </c>
      <c r="O2093" s="26">
        <v>0.0</v>
      </c>
      <c r="P2093" s="34">
        <v>5000.0</v>
      </c>
      <c r="Q2093" s="35">
        <v>0.0</v>
      </c>
      <c r="R2093" s="32">
        <v>44581.0</v>
      </c>
      <c r="S2093" s="32">
        <v>41538.0</v>
      </c>
      <c r="T2093" s="29"/>
      <c r="U2093" s="33"/>
      <c r="V2093" s="1"/>
    </row>
    <row r="2094" ht="24.0" customHeight="1">
      <c r="A2094" s="1"/>
      <c r="B2094" s="24" t="str">
        <f>HYPERLINK("https://www.compass.com/listing/105-east-16th-street-unit-ph-manhattan-ny-10003/1094394685275821241/view?agent_id=610d3f3370540700019b0833","105 E 16th St, Unit PH")</f>
        <v>105 E 16th St, Unit PH</v>
      </c>
      <c r="C2094" s="25" t="s">
        <v>370</v>
      </c>
      <c r="D2094" s="26" t="s">
        <v>23</v>
      </c>
      <c r="E2094" s="27" t="str">
        <f>HYPERLINK("https://www.compass.com/building/105-e-16th-st-manhattan-ny-10003/281888751351762213/","105 E 16th St")</f>
        <v>105 E 16th St</v>
      </c>
      <c r="F2094" s="25" t="s">
        <v>48</v>
      </c>
      <c r="G2094" s="28">
        <v>5750000.0</v>
      </c>
      <c r="H2094" s="29"/>
      <c r="I2094" s="28">
        <v>3228.0</v>
      </c>
      <c r="J2094" s="28">
        <v>0.0</v>
      </c>
      <c r="K2094" s="25" t="s">
        <v>25</v>
      </c>
      <c r="L2094" s="26">
        <v>4.0</v>
      </c>
      <c r="M2094" s="26">
        <v>2.0</v>
      </c>
      <c r="N2094" s="26">
        <v>1.0</v>
      </c>
      <c r="O2094" s="26">
        <v>0.0</v>
      </c>
      <c r="P2094" s="30"/>
      <c r="Q2094" s="35">
        <v>54.0</v>
      </c>
      <c r="R2094" s="32">
        <v>44911.0</v>
      </c>
      <c r="S2094" s="32">
        <v>44838.0</v>
      </c>
      <c r="T2094" s="29"/>
      <c r="U2094" s="33"/>
      <c r="V2094" s="1"/>
    </row>
    <row r="2095" ht="24.0" customHeight="1">
      <c r="A2095" s="1"/>
      <c r="B2095" s="24" t="str">
        <f>HYPERLINK("https://www.compass.com/listing/275-greenwich-street-unit-2k-manhattan-ny-10007/4852322396692023473/view?agent_id=610d3f3370540700019b0833","275 Greenwich St, Unit 2K")</f>
        <v>275 Greenwich St, Unit 2K</v>
      </c>
      <c r="C2095" s="25" t="s">
        <v>370</v>
      </c>
      <c r="D2095" s="26" t="s">
        <v>23</v>
      </c>
      <c r="E2095" s="27" t="str">
        <f>HYPERLINK("https://www.compass.com/building/greenwich-court-manhattan-ny/281896859813817557/","Greenwich Court")</f>
        <v>Greenwich Court</v>
      </c>
      <c r="F2095" s="25" t="s">
        <v>60</v>
      </c>
      <c r="G2095" s="28">
        <v>1100000.0</v>
      </c>
      <c r="H2095" s="28">
        <v>1287.0</v>
      </c>
      <c r="I2095" s="28">
        <v>1464.0</v>
      </c>
      <c r="J2095" s="28">
        <v>6696.0</v>
      </c>
      <c r="K2095" s="25" t="s">
        <v>28</v>
      </c>
      <c r="L2095" s="26">
        <v>3.0</v>
      </c>
      <c r="M2095" s="26">
        <v>2.0</v>
      </c>
      <c r="N2095" s="26">
        <v>0.0</v>
      </c>
      <c r="O2095" s="26">
        <v>0.0</v>
      </c>
      <c r="P2095" s="26">
        <v>855.0</v>
      </c>
      <c r="Q2095" s="35">
        <v>37.0</v>
      </c>
      <c r="R2095" s="32">
        <v>45636.0</v>
      </c>
      <c r="S2095" s="32">
        <v>41695.0</v>
      </c>
      <c r="T2095" s="29"/>
      <c r="U2095" s="33"/>
      <c r="V2095" s="1"/>
    </row>
    <row r="2096" ht="24.0" customHeight="1">
      <c r="A2096" s="1"/>
      <c r="B2096" s="24" t="str">
        <f>HYPERLINK("https://www.compass.com/listing/101-west-24th-street-unit-9b-manhattan-ny-10011/1809626577709289649/view?agent_id=610d3f3370540700019b0833","101 W 24th St, Unit 9B")</f>
        <v>101 W 24th St, Unit 9B</v>
      </c>
      <c r="C2096" s="25" t="s">
        <v>370</v>
      </c>
      <c r="D2096" s="26" t="s">
        <v>23</v>
      </c>
      <c r="E2096" s="27" t="str">
        <f>HYPERLINK("https://www.compass.com/building/chelsea-stratus-manhattan-ny/294845224777812053/","Chelsea Stratus")</f>
        <v>Chelsea Stratus</v>
      </c>
      <c r="F2096" s="25" t="s">
        <v>27</v>
      </c>
      <c r="G2096" s="28">
        <v>2450000.0</v>
      </c>
      <c r="H2096" s="28">
        <v>1973.0</v>
      </c>
      <c r="I2096" s="28">
        <v>2302.0</v>
      </c>
      <c r="J2096" s="28">
        <v>15228.0</v>
      </c>
      <c r="K2096" s="25" t="s">
        <v>28</v>
      </c>
      <c r="L2096" s="26">
        <v>4.0</v>
      </c>
      <c r="M2096" s="26">
        <v>2.0</v>
      </c>
      <c r="N2096" s="26">
        <v>0.0</v>
      </c>
      <c r="O2096" s="26">
        <v>0.0</v>
      </c>
      <c r="P2096" s="34">
        <v>1242.0</v>
      </c>
      <c r="Q2096" s="31"/>
      <c r="R2096" s="32">
        <v>44581.0</v>
      </c>
      <c r="S2096" s="33"/>
      <c r="T2096" s="29"/>
      <c r="U2096" s="33"/>
      <c r="V2096" s="1"/>
    </row>
    <row r="2097" ht="24.0" customHeight="1">
      <c r="A2097" s="1"/>
      <c r="B2097" s="24" t="str">
        <f>HYPERLINK("https://www.compass.com/listing/121-west-19th-street-unit-7a-manhattan-ny-10011/29373068090596513/view?agent_id=610d3f3370540700019b0833","121 W 19th St, Unit 7A")</f>
        <v>121 W 19th St, Unit 7A</v>
      </c>
      <c r="C2097" s="25" t="s">
        <v>370</v>
      </c>
      <c r="D2097" s="26" t="s">
        <v>23</v>
      </c>
      <c r="E2097" s="27" t="str">
        <f>HYPERLINK("https://www.compass.com/building/the-lions-head-condominium-manhattan-ny/281904742127388053/","The Lion's Head Condominium")</f>
        <v>The Lion's Head Condominium</v>
      </c>
      <c r="F2097" s="25" t="s">
        <v>27</v>
      </c>
      <c r="G2097" s="28">
        <v>2050000.0</v>
      </c>
      <c r="H2097" s="28">
        <v>1304.0</v>
      </c>
      <c r="I2097" s="28">
        <v>2533.0</v>
      </c>
      <c r="J2097" s="28">
        <v>16800.0</v>
      </c>
      <c r="K2097" s="25" t="s">
        <v>28</v>
      </c>
      <c r="L2097" s="26">
        <v>4.0</v>
      </c>
      <c r="M2097" s="26">
        <v>2.0</v>
      </c>
      <c r="N2097" s="26">
        <v>0.0</v>
      </c>
      <c r="O2097" s="26">
        <v>0.0</v>
      </c>
      <c r="P2097" s="34">
        <v>1572.0</v>
      </c>
      <c r="Q2097" s="35">
        <v>0.0</v>
      </c>
      <c r="R2097" s="32">
        <v>44581.0</v>
      </c>
      <c r="S2097" s="32">
        <v>41538.0</v>
      </c>
      <c r="T2097" s="29"/>
      <c r="U2097" s="33"/>
      <c r="V2097" s="1"/>
    </row>
    <row r="2098" ht="24.0" customHeight="1">
      <c r="A2098" s="1"/>
      <c r="B2098" s="24" t="str">
        <f>HYPERLINK("https://www.compass.com/listing/360-west-22nd-street-unit-10l-manhattan-ny-10011/94711906719241585/view?agent_id=610d3f3370540700019b0833","360 W 22nd St, Unit 10L")</f>
        <v>360 W 22nd St, Unit 10L</v>
      </c>
      <c r="C2098" s="25" t="s">
        <v>364</v>
      </c>
      <c r="D2098" s="26" t="s">
        <v>23</v>
      </c>
      <c r="E2098" s="27" t="str">
        <f>HYPERLINK("https://www.compass.com/building/london-towne-house-manhattan-ny/281909772867885877/","London Towne House")</f>
        <v>London Towne House</v>
      </c>
      <c r="F2098" s="25" t="s">
        <v>27</v>
      </c>
      <c r="G2098" s="28">
        <v>1500000.0</v>
      </c>
      <c r="H2098" s="28">
        <v>1364.0</v>
      </c>
      <c r="I2098" s="28">
        <v>2063.0</v>
      </c>
      <c r="J2098" s="28">
        <v>0.0</v>
      </c>
      <c r="K2098" s="25" t="s">
        <v>25</v>
      </c>
      <c r="L2098" s="26">
        <v>4.0</v>
      </c>
      <c r="M2098" s="26">
        <v>2.0</v>
      </c>
      <c r="N2098" s="26">
        <v>1.0</v>
      </c>
      <c r="O2098" s="30"/>
      <c r="P2098" s="34">
        <v>1100.0</v>
      </c>
      <c r="Q2098" s="35">
        <v>158.0</v>
      </c>
      <c r="R2098" s="32">
        <v>43654.0</v>
      </c>
      <c r="S2098" s="32">
        <v>43384.0</v>
      </c>
      <c r="T2098" s="29"/>
      <c r="U2098" s="33"/>
      <c r="V2098" s="1"/>
    </row>
    <row r="2099" ht="24.0" customHeight="1">
      <c r="A2099" s="1"/>
      <c r="B2099" s="24" t="str">
        <f>HYPERLINK("https://www.compass.com/listing/121-west-19th-street-unit-7a-manhattan-ny-10011/29373068090596497/view?agent_id=610d3f3370540700019b0833","121 W 19th St, Unit 7A")</f>
        <v>121 W 19th St, Unit 7A</v>
      </c>
      <c r="C2099" s="25" t="s">
        <v>370</v>
      </c>
      <c r="D2099" s="26" t="s">
        <v>23</v>
      </c>
      <c r="E2099" s="27" t="str">
        <f>HYPERLINK("https://www.compass.com/building/the-lions-head-condominium-manhattan-ny/281904742127388053/","The Lion's Head Condominium")</f>
        <v>The Lion's Head Condominium</v>
      </c>
      <c r="F2099" s="25" t="s">
        <v>27</v>
      </c>
      <c r="G2099" s="28">
        <v>1895000.0</v>
      </c>
      <c r="H2099" s="28">
        <v>1205.0</v>
      </c>
      <c r="I2099" s="28">
        <v>2533.0</v>
      </c>
      <c r="J2099" s="28">
        <v>16800.0</v>
      </c>
      <c r="K2099" s="25" t="s">
        <v>28</v>
      </c>
      <c r="L2099" s="26">
        <v>4.0</v>
      </c>
      <c r="M2099" s="26">
        <v>2.0</v>
      </c>
      <c r="N2099" s="26">
        <v>0.0</v>
      </c>
      <c r="O2099" s="26">
        <v>0.0</v>
      </c>
      <c r="P2099" s="34">
        <v>1572.0</v>
      </c>
      <c r="Q2099" s="35">
        <v>0.0</v>
      </c>
      <c r="R2099" s="32">
        <v>44581.0</v>
      </c>
      <c r="S2099" s="32">
        <v>41538.0</v>
      </c>
      <c r="T2099" s="29"/>
      <c r="U2099" s="33"/>
      <c r="V2099" s="1"/>
    </row>
    <row r="2100" ht="24.0" customHeight="1">
      <c r="A2100" s="1"/>
      <c r="B2100" s="24" t="str">
        <f>HYPERLINK("https://www.compass.com/listing/415-st-johns-place-unit-2c-brooklyn-ny-11238/851531329213385769/view?agent_id=610d3f3370540700019b0833","415 St Johns Pl, Unit 2C")</f>
        <v>415 St Johns Pl, Unit 2C</v>
      </c>
      <c r="C2100" s="25" t="s">
        <v>364</v>
      </c>
      <c r="D2100" s="26" t="s">
        <v>23</v>
      </c>
      <c r="E2100" s="27" t="str">
        <f>HYPERLINK("https://www.compass.com/building/seminole-arms-brooklyn-ny/293529161518076581/","Seminole Arms")</f>
        <v>Seminole Arms</v>
      </c>
      <c r="F2100" s="25" t="s">
        <v>39</v>
      </c>
      <c r="G2100" s="28">
        <v>925000.0</v>
      </c>
      <c r="H2100" s="29"/>
      <c r="I2100" s="28">
        <v>906.0</v>
      </c>
      <c r="J2100" s="28">
        <v>0.0</v>
      </c>
      <c r="K2100" s="25" t="s">
        <v>25</v>
      </c>
      <c r="L2100" s="26">
        <v>4.0</v>
      </c>
      <c r="M2100" s="26">
        <v>2.0</v>
      </c>
      <c r="N2100" s="26">
        <v>1.0</v>
      </c>
      <c r="O2100" s="30"/>
      <c r="P2100" s="30"/>
      <c r="Q2100" s="35">
        <v>25.0</v>
      </c>
      <c r="R2100" s="32">
        <v>44454.0</v>
      </c>
      <c r="S2100" s="32">
        <v>44428.0</v>
      </c>
      <c r="T2100" s="29"/>
      <c r="U2100" s="33"/>
      <c r="V2100" s="1"/>
    </row>
    <row r="2101" ht="24.0" customHeight="1">
      <c r="A2101" s="1"/>
      <c r="B2101" s="24" t="str">
        <f>HYPERLINK("https://www.compass.com/listing/130-west-16th-street-unit-31-manhattan-ny-10011/1545061278361386569/view?agent_id=610d3f3370540700019b0833","130 W 16th St, Unit 31")</f>
        <v>130 W 16th St, Unit 31</v>
      </c>
      <c r="C2101" s="25" t="s">
        <v>370</v>
      </c>
      <c r="D2101" s="26" t="s">
        <v>23</v>
      </c>
      <c r="E2101" s="27" t="str">
        <f>HYPERLINK("https://www.compass.com/building/130-w-16th-st-manhattan-ny-10011/281905003180871461/","130 W 16th St")</f>
        <v>130 W 16th St</v>
      </c>
      <c r="F2101" s="25" t="s">
        <v>27</v>
      </c>
      <c r="G2101" s="28">
        <v>1125000.0</v>
      </c>
      <c r="H2101" s="29"/>
      <c r="I2101" s="28">
        <v>1567.0</v>
      </c>
      <c r="J2101" s="28">
        <v>0.0</v>
      </c>
      <c r="K2101" s="25" t="s">
        <v>25</v>
      </c>
      <c r="L2101" s="26">
        <v>4.0</v>
      </c>
      <c r="M2101" s="26">
        <v>2.0</v>
      </c>
      <c r="N2101" s="26">
        <v>1.0</v>
      </c>
      <c r="O2101" s="30"/>
      <c r="P2101" s="30"/>
      <c r="Q2101" s="31"/>
      <c r="R2101" s="32">
        <v>45627.0</v>
      </c>
      <c r="S2101" s="33"/>
      <c r="T2101" s="29"/>
      <c r="U2101" s="33"/>
      <c r="V2101" s="1"/>
    </row>
    <row r="2102" ht="24.0" customHeight="1">
      <c r="A2102" s="1"/>
      <c r="B2102" s="24" t="str">
        <f>HYPERLINK("https://www.compass.com/listing/101-west-24th-street-unit-23d-manhattan-ny-10011/181048137408894929/view?agent_id=610d3f3370540700019b0833","101 W 24th St, Unit 23D")</f>
        <v>101 W 24th St, Unit 23D</v>
      </c>
      <c r="C2102" s="25" t="s">
        <v>370</v>
      </c>
      <c r="D2102" s="26" t="s">
        <v>23</v>
      </c>
      <c r="E2102" s="27" t="str">
        <f>HYPERLINK("https://www.compass.com/building/chelsea-stratus-manhattan-ny/294845224777812053/","Chelsea Stratus")</f>
        <v>Chelsea Stratus</v>
      </c>
      <c r="F2102" s="25" t="s">
        <v>27</v>
      </c>
      <c r="G2102" s="28">
        <v>3150000.0</v>
      </c>
      <c r="H2102" s="28">
        <v>2449.0</v>
      </c>
      <c r="I2102" s="28">
        <v>2547.0</v>
      </c>
      <c r="J2102" s="28">
        <v>16884.0</v>
      </c>
      <c r="K2102" s="25" t="s">
        <v>28</v>
      </c>
      <c r="L2102" s="26">
        <v>5.0</v>
      </c>
      <c r="M2102" s="26">
        <v>2.0</v>
      </c>
      <c r="N2102" s="26">
        <v>0.0</v>
      </c>
      <c r="O2102" s="26">
        <v>0.0</v>
      </c>
      <c r="P2102" s="34">
        <v>1286.0</v>
      </c>
      <c r="Q2102" s="35">
        <v>173.0</v>
      </c>
      <c r="R2102" s="32">
        <v>45636.0</v>
      </c>
      <c r="S2102" s="32">
        <v>42136.0</v>
      </c>
      <c r="T2102" s="29"/>
      <c r="U2102" s="33"/>
      <c r="V2102" s="1"/>
    </row>
    <row r="2103" ht="24.0" customHeight="1">
      <c r="A2103" s="1"/>
      <c r="B2103" s="24" t="str">
        <f>HYPERLINK("https://www.compass.com/listing/260-west-end-avenue-unit-10b-manhattan-ny-10023/1809622835258156185/view?agent_id=610d3f3370540700019b0833","260 West End Avenue, Unit 10B")</f>
        <v>260 West End Avenue, Unit 10B</v>
      </c>
      <c r="C2103" s="25" t="s">
        <v>364</v>
      </c>
      <c r="D2103" s="26" t="s">
        <v>23</v>
      </c>
      <c r="E2103" s="27" t="str">
        <f>HYPERLINK("https://www.compass.com/building/260-west-end-ave-manhattan-ny-10023/281959225071050533/","260 West End Ave")</f>
        <v>260 West End Ave</v>
      </c>
      <c r="F2103" s="25" t="s">
        <v>29</v>
      </c>
      <c r="G2103" s="28">
        <v>1595000.0</v>
      </c>
      <c r="H2103" s="29"/>
      <c r="I2103" s="28">
        <v>2907.0</v>
      </c>
      <c r="J2103" s="29"/>
      <c r="K2103" s="25" t="s">
        <v>25</v>
      </c>
      <c r="L2103" s="26">
        <v>5.0</v>
      </c>
      <c r="M2103" s="26">
        <v>2.0</v>
      </c>
      <c r="N2103" s="26">
        <v>0.0</v>
      </c>
      <c r="O2103" s="26">
        <v>0.0</v>
      </c>
      <c r="P2103" s="30"/>
      <c r="Q2103" s="35">
        <v>0.0</v>
      </c>
      <c r="R2103" s="32">
        <v>44581.0</v>
      </c>
      <c r="S2103" s="32">
        <v>43217.0</v>
      </c>
      <c r="T2103" s="29"/>
      <c r="U2103" s="33"/>
      <c r="V2103" s="1"/>
    </row>
    <row r="2104" ht="24.0" customHeight="1">
      <c r="A2104" s="1"/>
      <c r="B2104" s="24" t="str">
        <f>HYPERLINK("https://www.compass.com/listing/255-west-23rd-street-unit-4hw-manhattan-ny-10011/1204936987553251489/view?agent_id=610d3f3370540700019b0833","255 West 23rd Street, Unit 4HW")</f>
        <v>255 West 23rd Street, Unit 4HW</v>
      </c>
      <c r="C2104" s="25" t="s">
        <v>364</v>
      </c>
      <c r="D2104" s="26" t="s">
        <v>23</v>
      </c>
      <c r="E2104" s="27" t="str">
        <f>HYPERLINK("https://www.compass.com/building/255-w-23rd-st-manhattan-ny-10011/281908028674956517/","255 W 23rd St")</f>
        <v>255 W 23rd St</v>
      </c>
      <c r="F2104" s="25" t="s">
        <v>27</v>
      </c>
      <c r="G2104" s="28">
        <v>1495000.0</v>
      </c>
      <c r="H2104" s="28">
        <v>1433.0</v>
      </c>
      <c r="I2104" s="28">
        <v>1636.0</v>
      </c>
      <c r="J2104" s="28">
        <v>0.0</v>
      </c>
      <c r="K2104" s="25" t="s">
        <v>25</v>
      </c>
      <c r="L2104" s="26">
        <v>5.0</v>
      </c>
      <c r="M2104" s="26">
        <v>2.0</v>
      </c>
      <c r="N2104" s="26">
        <v>1.0</v>
      </c>
      <c r="O2104" s="26">
        <v>0.0</v>
      </c>
      <c r="P2104" s="34">
        <v>1043.0</v>
      </c>
      <c r="Q2104" s="35">
        <v>82.0</v>
      </c>
      <c r="R2104" s="32">
        <v>45035.0</v>
      </c>
      <c r="S2104" s="32">
        <v>44952.0</v>
      </c>
      <c r="T2104" s="29"/>
      <c r="U2104" s="33"/>
      <c r="V2104" s="1"/>
    </row>
    <row r="2105" ht="24.0" customHeight="1">
      <c r="A2105" s="1"/>
      <c r="B2105" s="24" t="str">
        <f>HYPERLINK("https://www.compass.com/listing/444-west-19th-street-unit-ph1-manhattan-ny-10011/29510563742711345/view?agent_id=610d3f3370540700019b0833","444 West 19th Street, Unit PH1")</f>
        <v>444 West 19th Street, Unit PH1</v>
      </c>
      <c r="C2105" s="25" t="s">
        <v>370</v>
      </c>
      <c r="D2105" s="26" t="s">
        <v>23</v>
      </c>
      <c r="E2105" s="27" t="str">
        <f>HYPERLINK("https://www.compass.com/building/the-chelsea-club-manhattan-ny/281910522457120389/","The Chelsea Club")</f>
        <v>The Chelsea Club</v>
      </c>
      <c r="F2105" s="25" t="s">
        <v>27</v>
      </c>
      <c r="G2105" s="28">
        <v>4500000.0</v>
      </c>
      <c r="H2105" s="29"/>
      <c r="I2105" s="28">
        <v>3781.0</v>
      </c>
      <c r="J2105" s="28">
        <v>17040.0</v>
      </c>
      <c r="K2105" s="25" t="s">
        <v>28</v>
      </c>
      <c r="L2105" s="26">
        <v>5.0</v>
      </c>
      <c r="M2105" s="26">
        <v>2.0</v>
      </c>
      <c r="N2105" s="26">
        <v>0.0</v>
      </c>
      <c r="O2105" s="26">
        <v>0.0</v>
      </c>
      <c r="P2105" s="30"/>
      <c r="Q2105" s="35">
        <v>152.0</v>
      </c>
      <c r="R2105" s="32">
        <v>45636.0</v>
      </c>
      <c r="S2105" s="32">
        <v>42473.0</v>
      </c>
      <c r="T2105" s="29"/>
      <c r="U2105" s="33"/>
      <c r="V2105" s="1"/>
    </row>
    <row r="2106" ht="24.0" customHeight="1">
      <c r="A2106" s="1"/>
      <c r="B2106" s="24" t="str">
        <f>HYPERLINK("https://www.compass.com/listing/50-west-67th-street-unit-5f-manhattan-ny-10023/1760530456307239601/view?agent_id=610d3f3370540700019b0833","50 West 67th Street, Unit 5F")</f>
        <v>50 West 67th Street, Unit 5F</v>
      </c>
      <c r="C2106" s="25" t="s">
        <v>365</v>
      </c>
      <c r="D2106" s="26" t="s">
        <v>23</v>
      </c>
      <c r="E2106" s="27" t="str">
        <f>HYPERLINK("https://www.compass.com/building/the-musicians-building-manhattan-ny/281960839760651365/","The Musician's Building")</f>
        <v>The Musician's Building</v>
      </c>
      <c r="F2106" s="25" t="s">
        <v>29</v>
      </c>
      <c r="G2106" s="28">
        <v>1250000.0</v>
      </c>
      <c r="H2106" s="29"/>
      <c r="I2106" s="28">
        <v>2519.0</v>
      </c>
      <c r="J2106" s="28">
        <v>0.0</v>
      </c>
      <c r="K2106" s="25" t="s">
        <v>25</v>
      </c>
      <c r="L2106" s="26">
        <v>4.0</v>
      </c>
      <c r="M2106" s="26">
        <v>2.0</v>
      </c>
      <c r="N2106" s="26">
        <v>1.0</v>
      </c>
      <c r="O2106" s="30"/>
      <c r="P2106" s="30"/>
      <c r="Q2106" s="35">
        <v>134.0</v>
      </c>
      <c r="R2106" s="32">
        <v>45815.0</v>
      </c>
      <c r="S2106" s="32">
        <v>45680.0</v>
      </c>
      <c r="T2106" s="29"/>
      <c r="U2106" s="33"/>
      <c r="V2106" s="1"/>
    </row>
    <row r="2107" ht="24.0" customHeight="1">
      <c r="A2107" s="1"/>
      <c r="B2107" s="24" t="str">
        <f>HYPERLINK("https://www.compass.com/listing/100-west-93rd-street-unit-11j-manhattan-ny-10025/1139800851593954825/view?agent_id=610d3f3370540700019b0833","100 West 93rd Street, Unit 11J")</f>
        <v>100 West 93rd Street, Unit 11J</v>
      </c>
      <c r="C2107" s="25" t="s">
        <v>365</v>
      </c>
      <c r="D2107" s="26" t="s">
        <v>23</v>
      </c>
      <c r="E2107" s="27" t="str">
        <f>HYPERLINK("https://www.compass.com/building/100-west-manhattan-ny/281968202811000645/","100 West")</f>
        <v>100 West</v>
      </c>
      <c r="F2107" s="25" t="s">
        <v>29</v>
      </c>
      <c r="G2107" s="28">
        <v>1495000.0</v>
      </c>
      <c r="H2107" s="28">
        <v>1540.0</v>
      </c>
      <c r="I2107" s="28">
        <v>1447.0</v>
      </c>
      <c r="J2107" s="28">
        <v>6049.0</v>
      </c>
      <c r="K2107" s="25" t="s">
        <v>28</v>
      </c>
      <c r="L2107" s="26">
        <v>4.0</v>
      </c>
      <c r="M2107" s="26">
        <v>2.0</v>
      </c>
      <c r="N2107" s="26">
        <v>1.0</v>
      </c>
      <c r="O2107" s="30"/>
      <c r="P2107" s="26">
        <v>971.0</v>
      </c>
      <c r="Q2107" s="35">
        <v>93.0</v>
      </c>
      <c r="R2107" s="32">
        <v>45079.0</v>
      </c>
      <c r="S2107" s="32">
        <v>44986.0</v>
      </c>
      <c r="T2107" s="29"/>
      <c r="U2107" s="33"/>
      <c r="V2107" s="1"/>
    </row>
    <row r="2108" ht="24.0" customHeight="1">
      <c r="A2108" s="1"/>
      <c r="B2108" s="24" t="str">
        <f>HYPERLINK("https://www.compass.com/listing/555-west-23rd-street-unit-n3f-manhattan-ny-10011/29511096050148193/view?agent_id=610d3f3370540700019b0833","555 West 23rd Street, Unit N3F")</f>
        <v>555 West 23rd Street, Unit N3F</v>
      </c>
      <c r="C2108" s="25" t="s">
        <v>370</v>
      </c>
      <c r="D2108" s="26" t="s">
        <v>23</v>
      </c>
      <c r="E2108" s="27" t="str">
        <f>HYPERLINK("https://www.compass.com/building/555-w-23-manhattan-ny/281911747042895061/","555 W 23")</f>
        <v>555 W 23</v>
      </c>
      <c r="F2108" s="25" t="s">
        <v>27</v>
      </c>
      <c r="G2108" s="28">
        <v>1785000.0</v>
      </c>
      <c r="H2108" s="28">
        <v>1653.0</v>
      </c>
      <c r="I2108" s="28">
        <v>1618.0</v>
      </c>
      <c r="J2108" s="28">
        <v>7788.0</v>
      </c>
      <c r="K2108" s="25" t="s">
        <v>28</v>
      </c>
      <c r="L2108" s="26">
        <v>5.0</v>
      </c>
      <c r="M2108" s="26">
        <v>2.0</v>
      </c>
      <c r="N2108" s="26">
        <v>0.0</v>
      </c>
      <c r="O2108" s="26">
        <v>0.0</v>
      </c>
      <c r="P2108" s="34">
        <v>1080.0</v>
      </c>
      <c r="Q2108" s="35">
        <v>76.0</v>
      </c>
      <c r="R2108" s="32">
        <v>45636.0</v>
      </c>
      <c r="S2108" s="32">
        <v>41566.0</v>
      </c>
      <c r="T2108" s="29"/>
      <c r="U2108" s="33"/>
      <c r="V2108" s="1"/>
    </row>
    <row r="2109" ht="24.0" customHeight="1">
      <c r="A2109" s="1"/>
      <c r="B2109" s="24" t="str">
        <f>HYPERLINK("https://www.compass.com/listing/436-sterling-place-unit-3-brooklyn-ny-11238/597021785286162017/view?agent_id=610d3f3370540700019b0833","436 Sterling Place, Unit 3")</f>
        <v>436 Sterling Place, Unit 3</v>
      </c>
      <c r="C2109" s="25" t="s">
        <v>365</v>
      </c>
      <c r="D2109" s="26" t="s">
        <v>23</v>
      </c>
      <c r="E2109" s="27" t="str">
        <f>HYPERLINK("https://www.compass.com/building/436-sterling-pl-brooklyn-ny-11238/293420113128913013/","436 Sterling Pl")</f>
        <v>436 Sterling Pl</v>
      </c>
      <c r="F2109" s="25" t="s">
        <v>39</v>
      </c>
      <c r="G2109" s="28">
        <v>675000.0</v>
      </c>
      <c r="H2109" s="29"/>
      <c r="I2109" s="28">
        <v>937.0</v>
      </c>
      <c r="J2109" s="28">
        <v>0.0</v>
      </c>
      <c r="K2109" s="25" t="s">
        <v>25</v>
      </c>
      <c r="L2109" s="26">
        <v>3.0</v>
      </c>
      <c r="M2109" s="26">
        <v>2.0</v>
      </c>
      <c r="N2109" s="26">
        <v>1.0</v>
      </c>
      <c r="O2109" s="30"/>
      <c r="P2109" s="30"/>
      <c r="Q2109" s="35">
        <v>107.0</v>
      </c>
      <c r="R2109" s="32">
        <v>44183.0</v>
      </c>
      <c r="S2109" s="32">
        <v>44076.0</v>
      </c>
      <c r="T2109" s="29"/>
      <c r="U2109" s="33"/>
      <c r="V2109" s="1"/>
    </row>
    <row r="2110" ht="24.0" customHeight="1">
      <c r="A2110" s="1"/>
      <c r="B2110" s="24" t="str">
        <f>HYPERLINK("https://www.compass.com/listing/430-sterling-place-unit-3b-brooklyn-ny-11238/69946662742710193/view?agent_id=610d3f3370540700019b0833","430 Sterling Place, Unit 3B")</f>
        <v>430 Sterling Place, Unit 3B</v>
      </c>
      <c r="C2110" s="25" t="s">
        <v>364</v>
      </c>
      <c r="D2110" s="26" t="s">
        <v>23</v>
      </c>
      <c r="E2110" s="27" t="str">
        <f>HYPERLINK("https://www.compass.com/building/430-sterling-pl-brooklyn-ny-11238/293419050367775253/","430 Sterling Pl")</f>
        <v>430 Sterling Pl</v>
      </c>
      <c r="F2110" s="25" t="s">
        <v>39</v>
      </c>
      <c r="G2110" s="28">
        <v>1050000.0</v>
      </c>
      <c r="H2110" s="29"/>
      <c r="I2110" s="28">
        <v>951.0</v>
      </c>
      <c r="J2110" s="29"/>
      <c r="K2110" s="25" t="s">
        <v>25</v>
      </c>
      <c r="L2110" s="26">
        <v>4.0</v>
      </c>
      <c r="M2110" s="26">
        <v>2.0</v>
      </c>
      <c r="N2110" s="26">
        <v>1.0</v>
      </c>
      <c r="O2110" s="26">
        <v>0.0</v>
      </c>
      <c r="P2110" s="30"/>
      <c r="Q2110" s="35">
        <v>35.0</v>
      </c>
      <c r="R2110" s="32">
        <v>45636.0</v>
      </c>
      <c r="S2110" s="32">
        <v>43341.0</v>
      </c>
      <c r="T2110" s="29"/>
      <c r="U2110" s="33"/>
      <c r="V2110" s="1"/>
    </row>
    <row r="2111" ht="24.0" customHeight="1">
      <c r="A2111" s="1"/>
      <c r="B2111" s="24" t="str">
        <f>HYPERLINK("https://www.compass.com/listing/328-sterling-place-unit-4c-brooklyn-ny-11238/647938675807099721/view?agent_id=610d3f3370540700019b0833","328 Sterling Place, Unit 4C")</f>
        <v>328 Sterling Place, Unit 4C</v>
      </c>
      <c r="C2111" s="25" t="s">
        <v>364</v>
      </c>
      <c r="D2111" s="26" t="s">
        <v>23</v>
      </c>
      <c r="E2111" s="27" t="str">
        <f>HYPERLINK("https://www.compass.com/building/328-sterling-pl-brooklyn-ny-11238/293417690784194853/","328 Sterling Pl")</f>
        <v>328 Sterling Pl</v>
      </c>
      <c r="F2111" s="25" t="s">
        <v>39</v>
      </c>
      <c r="G2111" s="28">
        <v>799000.0</v>
      </c>
      <c r="H2111" s="29"/>
      <c r="I2111" s="28">
        <v>822.0</v>
      </c>
      <c r="J2111" s="28">
        <v>0.0</v>
      </c>
      <c r="K2111" s="25" t="s">
        <v>25</v>
      </c>
      <c r="L2111" s="26">
        <v>4.0</v>
      </c>
      <c r="M2111" s="26">
        <v>2.0</v>
      </c>
      <c r="N2111" s="26">
        <v>1.0</v>
      </c>
      <c r="O2111" s="30"/>
      <c r="P2111" s="30"/>
      <c r="Q2111" s="35">
        <v>35.0</v>
      </c>
      <c r="R2111" s="32">
        <v>44300.0</v>
      </c>
      <c r="S2111" s="32">
        <v>44146.0</v>
      </c>
      <c r="T2111" s="29"/>
      <c r="U2111" s="33"/>
      <c r="V2111" s="1"/>
    </row>
    <row r="2112" ht="24.0" customHeight="1">
      <c r="A2112" s="1"/>
      <c r="B2112" s="24" t="str">
        <f>HYPERLINK("https://www.compass.com/listing/217-west-19th-street-unit-6s-manhattan-ny-10011/1809624702163051521/view?agent_id=610d3f3370540700019b0833","217 West 19th Street, Unit 6S")</f>
        <v>217 West 19th Street, Unit 6S</v>
      </c>
      <c r="C2112" s="25" t="s">
        <v>364</v>
      </c>
      <c r="D2112" s="26" t="s">
        <v>23</v>
      </c>
      <c r="E2112" s="27" t="str">
        <f>HYPERLINK("https://www.compass.com/building/217-w-19th-st-manhattan-ny-10011/281906914114162965/","217 W 19th St")</f>
        <v>217 W 19th St</v>
      </c>
      <c r="F2112" s="25" t="s">
        <v>27</v>
      </c>
      <c r="G2112" s="28">
        <v>3495000.0</v>
      </c>
      <c r="H2112" s="28">
        <v>1724.0</v>
      </c>
      <c r="I2112" s="28">
        <v>3116.0</v>
      </c>
      <c r="J2112" s="28">
        <v>21228.0</v>
      </c>
      <c r="K2112" s="25" t="s">
        <v>28</v>
      </c>
      <c r="L2112" s="26">
        <v>5.0</v>
      </c>
      <c r="M2112" s="26">
        <v>2.0</v>
      </c>
      <c r="N2112" s="26">
        <v>0.0</v>
      </c>
      <c r="O2112" s="26">
        <v>0.0</v>
      </c>
      <c r="P2112" s="34">
        <v>2027.0</v>
      </c>
      <c r="Q2112" s="31"/>
      <c r="R2112" s="32">
        <v>44581.0</v>
      </c>
      <c r="S2112" s="33"/>
      <c r="T2112" s="29"/>
      <c r="U2112" s="33"/>
      <c r="V2112" s="1"/>
    </row>
    <row r="2113" ht="24.0" customHeight="1">
      <c r="A2113" s="1"/>
      <c r="B2113" s="24" t="str">
        <f>HYPERLINK("https://www.compass.com/listing/80-chambers-street-unit-10d-manhattan-ny-10007/50876895616627681/view?agent_id=610d3f3370540700019b0833","80 Chambers Street, Unit 10D")</f>
        <v>80 Chambers Street, Unit 10D</v>
      </c>
      <c r="C2113" s="25" t="s">
        <v>370</v>
      </c>
      <c r="D2113" s="26" t="s">
        <v>23</v>
      </c>
      <c r="E2113" s="27" t="str">
        <f>HYPERLINK("https://www.compass.com/building/tower-270-condominium-manhattan-ny/294848096072495733/","Tower 270 Condominium")</f>
        <v>Tower 270 Condominium</v>
      </c>
      <c r="F2113" s="25" t="s">
        <v>60</v>
      </c>
      <c r="G2113" s="28">
        <v>2595000.0</v>
      </c>
      <c r="H2113" s="28">
        <v>1582.0</v>
      </c>
      <c r="I2113" s="28">
        <v>3258.0</v>
      </c>
      <c r="J2113" s="28">
        <v>12924.0</v>
      </c>
      <c r="K2113" s="25" t="s">
        <v>28</v>
      </c>
      <c r="L2113" s="26">
        <v>5.0</v>
      </c>
      <c r="M2113" s="26">
        <v>2.0</v>
      </c>
      <c r="N2113" s="26">
        <v>0.0</v>
      </c>
      <c r="O2113" s="26">
        <v>0.0</v>
      </c>
      <c r="P2113" s="34">
        <v>1640.0</v>
      </c>
      <c r="Q2113" s="35">
        <v>36.0</v>
      </c>
      <c r="R2113" s="32">
        <v>45636.0</v>
      </c>
      <c r="S2113" s="32">
        <v>42859.0</v>
      </c>
      <c r="T2113" s="29"/>
      <c r="U2113" s="33"/>
      <c r="V2113" s="1"/>
    </row>
    <row r="2114" ht="24.0" customHeight="1">
      <c r="A2114" s="1"/>
      <c r="B2114" s="24" t="str">
        <f>HYPERLINK("https://www.compass.com/listing/315-st-johns-place-unit-3d-brooklyn-ny-11238/1027843936829026065/view?agent_id=610d3f3370540700019b0833","315 St Johns Place, Unit 3D")</f>
        <v>315 St Johns Place, Unit 3D</v>
      </c>
      <c r="C2114" s="25" t="s">
        <v>364</v>
      </c>
      <c r="D2114" s="26" t="s">
        <v>23</v>
      </c>
      <c r="E2114" s="27" t="str">
        <f>HYPERLINK("https://www.compass.com/building/the-belnord-brooklyn-ny/293530635606187941/","The Belnord")</f>
        <v>The Belnord</v>
      </c>
      <c r="F2114" s="25" t="s">
        <v>39</v>
      </c>
      <c r="G2114" s="28">
        <v>1300000.0</v>
      </c>
      <c r="H2114" s="29"/>
      <c r="I2114" s="28">
        <v>1268.0</v>
      </c>
      <c r="J2114" s="28">
        <v>0.0</v>
      </c>
      <c r="K2114" s="25" t="s">
        <v>25</v>
      </c>
      <c r="L2114" s="26">
        <v>5.0</v>
      </c>
      <c r="M2114" s="26">
        <v>2.0</v>
      </c>
      <c r="N2114" s="30"/>
      <c r="O2114" s="30"/>
      <c r="P2114" s="30"/>
      <c r="Q2114" s="35">
        <v>99.0</v>
      </c>
      <c r="R2114" s="32">
        <v>44851.0</v>
      </c>
      <c r="S2114" s="32">
        <v>44671.0</v>
      </c>
      <c r="T2114" s="29"/>
      <c r="U2114" s="33"/>
      <c r="V2114" s="1"/>
    </row>
    <row r="2115" ht="24.0" customHeight="1">
      <c r="A2115" s="1"/>
      <c r="B2115" s="24" t="str">
        <f>HYPERLINK("https://www.compass.com/listing/260-west-end-avenue-unit-4d-manhattan-ny-10023/1809601568794153961/view?agent_id=610d3f3370540700019b0833","260 West End Avenue, Unit 4D")</f>
        <v>260 West End Avenue, Unit 4D</v>
      </c>
      <c r="C2115" s="25" t="s">
        <v>364</v>
      </c>
      <c r="D2115" s="26" t="s">
        <v>23</v>
      </c>
      <c r="E2115" s="27" t="str">
        <f>HYPERLINK("https://www.compass.com/building/260-west-end-ave-manhattan-ny-10023/281959225071050533/","260 West End Ave")</f>
        <v>260 West End Ave</v>
      </c>
      <c r="F2115" s="25" t="s">
        <v>29</v>
      </c>
      <c r="G2115" s="28">
        <v>1195000.0</v>
      </c>
      <c r="H2115" s="28">
        <v>1086.0</v>
      </c>
      <c r="I2115" s="28">
        <v>3084.0</v>
      </c>
      <c r="J2115" s="29"/>
      <c r="K2115" s="25" t="s">
        <v>25</v>
      </c>
      <c r="L2115" s="26">
        <v>4.0</v>
      </c>
      <c r="M2115" s="26">
        <v>2.0</v>
      </c>
      <c r="N2115" s="26">
        <v>0.0</v>
      </c>
      <c r="O2115" s="26">
        <v>0.0</v>
      </c>
      <c r="P2115" s="34">
        <v>1100.0</v>
      </c>
      <c r="Q2115" s="35">
        <v>2.0</v>
      </c>
      <c r="R2115" s="32">
        <v>45636.0</v>
      </c>
      <c r="S2115" s="32">
        <v>43038.0</v>
      </c>
      <c r="T2115" s="29"/>
      <c r="U2115" s="33"/>
      <c r="V2115" s="1"/>
    </row>
    <row r="2116" ht="24.0" customHeight="1">
      <c r="A2116" s="1"/>
      <c r="B2116" s="24" t="str">
        <f>HYPERLINK("https://www.compass.com/listing/275-west-96th-street-unit-11r-manhattan-ny-10025/730455877414865049/view?agent_id=610d3f3370540700019b0833","275 West 96th Street, Unit 11R")</f>
        <v>275 West 96th Street, Unit 11R</v>
      </c>
      <c r="C2116" s="25" t="s">
        <v>365</v>
      </c>
      <c r="D2116" s="26" t="s">
        <v>23</v>
      </c>
      <c r="E2116" s="27" t="str">
        <f>HYPERLINK("https://www.compass.com/building/the-columbia-manhattan-ny/281970359413069877/","The Columbia")</f>
        <v>The Columbia</v>
      </c>
      <c r="F2116" s="25" t="s">
        <v>29</v>
      </c>
      <c r="G2116" s="28">
        <v>1250000.0</v>
      </c>
      <c r="H2116" s="28">
        <v>1186.0</v>
      </c>
      <c r="I2116" s="28">
        <v>2323.0</v>
      </c>
      <c r="J2116" s="28">
        <v>12849.0</v>
      </c>
      <c r="K2116" s="25" t="s">
        <v>28</v>
      </c>
      <c r="L2116" s="26">
        <v>4.0</v>
      </c>
      <c r="M2116" s="26">
        <v>2.0</v>
      </c>
      <c r="N2116" s="26">
        <v>1.0</v>
      </c>
      <c r="O2116" s="30"/>
      <c r="P2116" s="34">
        <v>1054.0</v>
      </c>
      <c r="Q2116" s="35">
        <v>115.0</v>
      </c>
      <c r="R2116" s="32">
        <v>44375.0</v>
      </c>
      <c r="S2116" s="32">
        <v>44260.0</v>
      </c>
      <c r="T2116" s="29"/>
      <c r="U2116" s="33"/>
      <c r="V2116" s="1"/>
    </row>
    <row r="2117" ht="24.0" customHeight="1">
      <c r="A2117" s="1"/>
      <c r="B2117" s="24" t="str">
        <f>HYPERLINK("https://www.compass.com/listing/135-eastern-parkway-unit-2j-brooklyn-ny-11238/29470993848217761/view?agent_id=610d3f3370540700019b0833","135 Eastern Parkway, Unit 2J")</f>
        <v>135 Eastern Parkway, Unit 2J</v>
      </c>
      <c r="C2117" s="25" t="s">
        <v>364</v>
      </c>
      <c r="D2117" s="26" t="s">
        <v>23</v>
      </c>
      <c r="E2117" s="27" t="str">
        <f>HYPERLINK("https://www.compass.com/building/turner-towers-brooklyn-ny/293426214163520789/","Turner Towers")</f>
        <v>Turner Towers</v>
      </c>
      <c r="F2117" s="25" t="s">
        <v>39</v>
      </c>
      <c r="G2117" s="28">
        <v>1195000.0</v>
      </c>
      <c r="H2117" s="28">
        <v>996.0</v>
      </c>
      <c r="I2117" s="28">
        <v>1458.0</v>
      </c>
      <c r="J2117" s="28">
        <v>0.0</v>
      </c>
      <c r="K2117" s="25" t="s">
        <v>25</v>
      </c>
      <c r="L2117" s="26">
        <v>7.0</v>
      </c>
      <c r="M2117" s="26">
        <v>2.0</v>
      </c>
      <c r="N2117" s="30"/>
      <c r="O2117" s="30"/>
      <c r="P2117" s="34">
        <v>1200.0</v>
      </c>
      <c r="Q2117" s="35">
        <v>57.0</v>
      </c>
      <c r="R2117" s="32">
        <v>43906.0</v>
      </c>
      <c r="S2117" s="32">
        <v>42844.0</v>
      </c>
      <c r="T2117" s="29"/>
      <c r="U2117" s="33"/>
      <c r="V2117" s="1"/>
    </row>
    <row r="2118" ht="24.0" customHeight="1">
      <c r="A2118" s="1"/>
      <c r="B2118" s="24" t="str">
        <f>HYPERLINK("https://www.compass.com/listing/365-west-20th-street-unit-11e-manhattan-ny-10011/196359872181197633/view?agent_id=610d3f3370540700019b0833","365 West 20th Street, Unit 11E")</f>
        <v>365 West 20th Street, Unit 11E</v>
      </c>
      <c r="C2118" s="25" t="s">
        <v>370</v>
      </c>
      <c r="D2118" s="26" t="s">
        <v>23</v>
      </c>
      <c r="E2118" s="27" t="str">
        <f>HYPERLINK("https://www.compass.com/building/365-w-20th-st-manhattan-ny-10011/292805231895410229/","365 W 20th St")</f>
        <v>365 W 20th St</v>
      </c>
      <c r="F2118" s="25" t="s">
        <v>27</v>
      </c>
      <c r="G2118" s="28">
        <v>949000.0</v>
      </c>
      <c r="H2118" s="29"/>
      <c r="I2118" s="28">
        <v>1810.0</v>
      </c>
      <c r="J2118" s="29"/>
      <c r="K2118" s="25" t="s">
        <v>25</v>
      </c>
      <c r="L2118" s="26">
        <v>4.0</v>
      </c>
      <c r="M2118" s="26">
        <v>2.0</v>
      </c>
      <c r="N2118" s="26">
        <v>1.0</v>
      </c>
      <c r="O2118" s="26">
        <v>0.0</v>
      </c>
      <c r="P2118" s="30"/>
      <c r="Q2118" s="35">
        <v>45.0</v>
      </c>
      <c r="R2118" s="32">
        <v>45636.0</v>
      </c>
      <c r="S2118" s="32">
        <v>43522.0</v>
      </c>
      <c r="T2118" s="29"/>
      <c r="U2118" s="33"/>
      <c r="V2118" s="1"/>
    </row>
    <row r="2119" ht="24.0" customHeight="1">
      <c r="A2119" s="1"/>
      <c r="B2119" s="24" t="str">
        <f>HYPERLINK("https://www.compass.com/listing/375-lincoln-place-unit-3i-brooklyn-ny-11238/714391670047950729/view?agent_id=610d3f3370540700019b0833","375 Lincoln Place, Unit 3I")</f>
        <v>375 Lincoln Place, Unit 3I</v>
      </c>
      <c r="C2119" s="25" t="s">
        <v>365</v>
      </c>
      <c r="D2119" s="26" t="s">
        <v>23</v>
      </c>
      <c r="E2119" s="27" t="str">
        <f>HYPERLINK("https://www.compass.com/building/375-lincoln-pl-brooklyn-ny-11238/293422699923965957/","375 Lincoln Pl")</f>
        <v>375 Lincoln Pl</v>
      </c>
      <c r="F2119" s="25" t="s">
        <v>39</v>
      </c>
      <c r="G2119" s="28">
        <v>789000.0</v>
      </c>
      <c r="H2119" s="29"/>
      <c r="I2119" s="28">
        <v>942.0</v>
      </c>
      <c r="J2119" s="28">
        <v>0.0</v>
      </c>
      <c r="K2119" s="25" t="s">
        <v>25</v>
      </c>
      <c r="L2119" s="26">
        <v>6.0</v>
      </c>
      <c r="M2119" s="26">
        <v>2.0</v>
      </c>
      <c r="N2119" s="26">
        <v>1.0</v>
      </c>
      <c r="O2119" s="26">
        <v>0.0</v>
      </c>
      <c r="P2119" s="30"/>
      <c r="Q2119" s="35">
        <v>31.0</v>
      </c>
      <c r="R2119" s="32">
        <v>44273.0</v>
      </c>
      <c r="S2119" s="32">
        <v>44237.0</v>
      </c>
      <c r="T2119" s="29"/>
      <c r="U2119" s="33"/>
      <c r="V2119" s="1"/>
    </row>
    <row r="2120" ht="24.0" customHeight="1">
      <c r="A2120" s="1"/>
      <c r="B2120" s="24" t="str">
        <f>HYPERLINK("https://www.compass.com/listing/408-st-johns-place-unit-4e-brooklyn-ny-11238/333251609190391137/view?agent_id=610d3f3370540700019b0833","408 St Johns Place, Unit 4E")</f>
        <v>408 St Johns Place, Unit 4E</v>
      </c>
      <c r="C2120" s="25" t="s">
        <v>364</v>
      </c>
      <c r="D2120" s="26" t="s">
        <v>23</v>
      </c>
      <c r="E2120" s="27" t="str">
        <f>HYPERLINK("https://www.compass.com/building/408-st-johns-pl-brooklyn-ny-11238/293427463604741253/","408 St Johns Pl")</f>
        <v>408 St Johns Pl</v>
      </c>
      <c r="F2120" s="25" t="s">
        <v>39</v>
      </c>
      <c r="G2120" s="28">
        <v>799000.0</v>
      </c>
      <c r="H2120" s="29"/>
      <c r="I2120" s="28">
        <v>715.0</v>
      </c>
      <c r="J2120" s="28">
        <v>0.0</v>
      </c>
      <c r="K2120" s="25" t="s">
        <v>25</v>
      </c>
      <c r="L2120" s="26">
        <v>5.0</v>
      </c>
      <c r="M2120" s="26">
        <v>2.0</v>
      </c>
      <c r="N2120" s="26">
        <v>1.0</v>
      </c>
      <c r="O2120" s="30"/>
      <c r="P2120" s="30"/>
      <c r="Q2120" s="35">
        <v>100.0</v>
      </c>
      <c r="R2120" s="32">
        <v>43811.0</v>
      </c>
      <c r="S2120" s="32">
        <v>43711.0</v>
      </c>
      <c r="T2120" s="29"/>
      <c r="U2120" s="33"/>
      <c r="V2120" s="1"/>
    </row>
    <row r="2121" ht="24.0" customHeight="1">
      <c r="A2121" s="1"/>
      <c r="B2121" s="24" t="str">
        <f>HYPERLINK("https://www.compass.com/listing/113-carroll-street-unit-2-brooklyn-ny-11231/1166573222376001001/view?agent_id=610d3f3370540700019b0833","113 Carroll Street, Unit 2")</f>
        <v>113 Carroll Street, Unit 2</v>
      </c>
      <c r="C2121" s="25" t="s">
        <v>364</v>
      </c>
      <c r="D2121" s="26" t="s">
        <v>23</v>
      </c>
      <c r="E2121" s="27" t="str">
        <f>HYPERLINK("https://www.compass.com/building/113-carroll-st-brooklyn-ny-11231/282500956871012949/","113 Carroll St")</f>
        <v>113 Carroll St</v>
      </c>
      <c r="F2121" s="25" t="s">
        <v>65</v>
      </c>
      <c r="G2121" s="28">
        <v>1150000.0</v>
      </c>
      <c r="H2121" s="28">
        <v>1797.0</v>
      </c>
      <c r="I2121" s="28">
        <v>525.0</v>
      </c>
      <c r="J2121" s="29"/>
      <c r="K2121" s="25" t="s">
        <v>25</v>
      </c>
      <c r="L2121" s="26">
        <v>3.0</v>
      </c>
      <c r="M2121" s="26">
        <v>2.0</v>
      </c>
      <c r="N2121" s="26">
        <v>1.0</v>
      </c>
      <c r="O2121" s="26">
        <v>0.0</v>
      </c>
      <c r="P2121" s="26">
        <v>640.0</v>
      </c>
      <c r="Q2121" s="35">
        <v>186.0</v>
      </c>
      <c r="R2121" s="32">
        <v>45636.0</v>
      </c>
      <c r="S2121" s="32">
        <v>44861.0</v>
      </c>
      <c r="T2121" s="29"/>
      <c r="U2121" s="33"/>
      <c r="V2121" s="1"/>
    </row>
    <row r="2122" ht="24.0" customHeight="1">
      <c r="A2122" s="1"/>
      <c r="B2122" s="24" t="str">
        <f>HYPERLINK("https://www.compass.com/listing/129-barrow-street-unit-3a-manhattan-ny-10014/1413868368446846945/view?agent_id=610d3f3370540700019b0833","129 Barrow Street, Unit 3A")</f>
        <v>129 Barrow Street, Unit 3A</v>
      </c>
      <c r="C2122" s="25" t="s">
        <v>364</v>
      </c>
      <c r="D2122" s="26" t="s">
        <v>23</v>
      </c>
      <c r="E2122" s="27" t="str">
        <f>HYPERLINK("https://www.compass.com/building/west-village-houses-manhattan-ny/282065832266209701/","West Village Houses")</f>
        <v>West Village Houses</v>
      </c>
      <c r="F2122" s="25" t="s">
        <v>26</v>
      </c>
      <c r="G2122" s="28">
        <v>1100000.0</v>
      </c>
      <c r="H2122" s="29"/>
      <c r="I2122" s="28">
        <v>1300.0</v>
      </c>
      <c r="J2122" s="28">
        <v>0.0</v>
      </c>
      <c r="K2122" s="25" t="s">
        <v>25</v>
      </c>
      <c r="L2122" s="26">
        <v>3.0</v>
      </c>
      <c r="M2122" s="26">
        <v>2.0</v>
      </c>
      <c r="N2122" s="26">
        <v>1.0</v>
      </c>
      <c r="O2122" s="30"/>
      <c r="P2122" s="30"/>
      <c r="Q2122" s="35">
        <v>37.0</v>
      </c>
      <c r="R2122" s="32">
        <v>45239.0</v>
      </c>
      <c r="S2122" s="32">
        <v>45202.0</v>
      </c>
      <c r="T2122" s="29"/>
      <c r="U2122" s="33"/>
      <c r="V2122" s="1"/>
    </row>
    <row r="2123" ht="24.0" customHeight="1">
      <c r="A2123" s="1"/>
      <c r="B2123" s="24" t="str">
        <f>HYPERLINK("https://www.compass.com/listing/365-west-20th-street-unit-14e-manhattan-ny-10011/982618082887393289/view?agent_id=610d3f3370540700019b0833","365 West 20th Street, Unit 14E")</f>
        <v>365 West 20th Street, Unit 14E</v>
      </c>
      <c r="C2123" s="25" t="s">
        <v>365</v>
      </c>
      <c r="D2123" s="26" t="s">
        <v>23</v>
      </c>
      <c r="E2123" s="27" t="str">
        <f>HYPERLINK("https://www.compass.com/building/365-w-20th-st-manhattan-ny-10011/292805231895410229/","365 W 20th St")</f>
        <v>365 W 20th St</v>
      </c>
      <c r="F2123" s="25" t="s">
        <v>27</v>
      </c>
      <c r="G2123" s="28">
        <v>1129000.0</v>
      </c>
      <c r="H2123" s="29"/>
      <c r="I2123" s="28">
        <v>1958.0</v>
      </c>
      <c r="J2123" s="28">
        <v>0.0</v>
      </c>
      <c r="K2123" s="25" t="s">
        <v>25</v>
      </c>
      <c r="L2123" s="26">
        <v>4.0</v>
      </c>
      <c r="M2123" s="26">
        <v>2.0</v>
      </c>
      <c r="N2123" s="26">
        <v>1.0</v>
      </c>
      <c r="O2123" s="26">
        <v>0.0</v>
      </c>
      <c r="P2123" s="30"/>
      <c r="Q2123" s="35">
        <v>94.0</v>
      </c>
      <c r="R2123" s="32">
        <v>44703.0</v>
      </c>
      <c r="S2123" s="32">
        <v>44609.0</v>
      </c>
      <c r="T2123" s="29"/>
      <c r="U2123" s="33"/>
      <c r="V2123" s="1"/>
    </row>
    <row r="2124" ht="24.0" customHeight="1">
      <c r="A2124" s="1"/>
      <c r="B2124" s="24" t="str">
        <f>HYPERLINK("https://www.compass.com/listing/559-warren-street-unit-4r-brooklyn-ny-11217/1323980739096258009/view?agent_id=610d3f3370540700019b0833","559 Warren Street, Unit 4R")</f>
        <v>559 Warren Street, Unit 4R</v>
      </c>
      <c r="C2124" s="25" t="s">
        <v>364</v>
      </c>
      <c r="D2124" s="26" t="s">
        <v>23</v>
      </c>
      <c r="E2124" s="27" t="str">
        <f>HYPERLINK("https://www.compass.com/building/559-warren-st-brooklyn-ny-11217/282500730747694901/","559 Warren St")</f>
        <v>559 Warren St</v>
      </c>
      <c r="F2124" s="25" t="s">
        <v>102</v>
      </c>
      <c r="G2124" s="28">
        <v>950000.0</v>
      </c>
      <c r="H2124" s="29"/>
      <c r="I2124" s="28">
        <v>787.0</v>
      </c>
      <c r="J2124" s="28">
        <v>0.0</v>
      </c>
      <c r="K2124" s="25" t="s">
        <v>25</v>
      </c>
      <c r="L2124" s="26">
        <v>4.0</v>
      </c>
      <c r="M2124" s="26">
        <v>2.0</v>
      </c>
      <c r="N2124" s="26">
        <v>1.0</v>
      </c>
      <c r="O2124" s="30"/>
      <c r="P2124" s="30"/>
      <c r="Q2124" s="35">
        <v>122.0</v>
      </c>
      <c r="R2124" s="32">
        <v>45201.0</v>
      </c>
      <c r="S2124" s="32">
        <v>45078.0</v>
      </c>
      <c r="T2124" s="29"/>
      <c r="U2124" s="33"/>
      <c r="V2124" s="1"/>
    </row>
    <row r="2125" ht="24.0" customHeight="1">
      <c r="A2125" s="1"/>
      <c r="B2125" s="24" t="str">
        <f>HYPERLINK("https://www.compass.com/listing/189-avenue-c-unit-5b-manhattan-ny-10009/922030561115221961/view?agent_id=610d3f3370540700019b0833","189 Avenue C, Unit 5B")</f>
        <v>189 Avenue C, Unit 5B</v>
      </c>
      <c r="C2125" s="25" t="s">
        <v>364</v>
      </c>
      <c r="D2125" s="26" t="s">
        <v>23</v>
      </c>
      <c r="E2125" s="27" t="str">
        <f>HYPERLINK("https://www.compass.com/building/the-calyx-manhattan-ny/426959097439640773/","The Calyx")</f>
        <v>The Calyx</v>
      </c>
      <c r="F2125" s="25" t="s">
        <v>24</v>
      </c>
      <c r="G2125" s="28">
        <v>950000.0</v>
      </c>
      <c r="H2125" s="28">
        <v>1114.0</v>
      </c>
      <c r="I2125" s="28">
        <v>1865.0</v>
      </c>
      <c r="J2125" s="28">
        <v>12600.0</v>
      </c>
      <c r="K2125" s="25" t="s">
        <v>28</v>
      </c>
      <c r="L2125" s="26">
        <v>3.0</v>
      </c>
      <c r="M2125" s="26">
        <v>2.0</v>
      </c>
      <c r="N2125" s="26">
        <v>1.0</v>
      </c>
      <c r="O2125" s="26">
        <v>0.0</v>
      </c>
      <c r="P2125" s="26">
        <v>853.0</v>
      </c>
      <c r="Q2125" s="35">
        <v>28.0</v>
      </c>
      <c r="R2125" s="32">
        <v>44581.0</v>
      </c>
      <c r="S2125" s="32">
        <v>43391.0</v>
      </c>
      <c r="T2125" s="29"/>
      <c r="U2125" s="33"/>
      <c r="V2125" s="1"/>
    </row>
    <row r="2126" ht="24.0" customHeight="1">
      <c r="A2126" s="1"/>
      <c r="B2126" s="24" t="str">
        <f>HYPERLINK("https://www.compass.com/listing/655-6th-avenue-unit-3c-manhattan-ny-10010/29373195085735217/view?agent_id=610d3f3370540700019b0833","655 6th Avenue, Unit 3C")</f>
        <v>655 6th Avenue, Unit 3C</v>
      </c>
      <c r="C2126" s="25" t="s">
        <v>370</v>
      </c>
      <c r="D2126" s="26" t="s">
        <v>23</v>
      </c>
      <c r="E2126" s="27" t="str">
        <f>HYPERLINK("https://www.compass.com/building/655-6th-ave-manhattan-ny-10010/307450308648902101/","655 6th Ave")</f>
        <v>655 6th Ave</v>
      </c>
      <c r="F2126" s="25" t="s">
        <v>27</v>
      </c>
      <c r="G2126" s="28">
        <v>3700000.0</v>
      </c>
      <c r="H2126" s="28">
        <v>1799.0</v>
      </c>
      <c r="I2126" s="28">
        <v>3775.0</v>
      </c>
      <c r="J2126" s="28">
        <v>24432.0</v>
      </c>
      <c r="K2126" s="25" t="s">
        <v>28</v>
      </c>
      <c r="L2126" s="26">
        <v>5.0</v>
      </c>
      <c r="M2126" s="26">
        <v>2.0</v>
      </c>
      <c r="N2126" s="26">
        <v>0.0</v>
      </c>
      <c r="O2126" s="26">
        <v>0.0</v>
      </c>
      <c r="P2126" s="34">
        <v>2057.0</v>
      </c>
      <c r="Q2126" s="35">
        <v>94.0</v>
      </c>
      <c r="R2126" s="32">
        <v>45636.0</v>
      </c>
      <c r="S2126" s="32">
        <v>41235.0</v>
      </c>
      <c r="T2126" s="29"/>
      <c r="U2126" s="33"/>
      <c r="V2126" s="1"/>
    </row>
    <row r="2127" ht="24.0" customHeight="1">
      <c r="A2127" s="1"/>
      <c r="B2127" s="24" t="str">
        <f>HYPERLINK("https://www.compass.com/listing/217-west-14th-street-unit-5r-manhattan-ny-10011/29371730996883777/view?agent_id=610d3f3370540700019b0833","217 West 14th Street, Unit 5R")</f>
        <v>217 West 14th Street, Unit 5R</v>
      </c>
      <c r="C2127" s="25" t="s">
        <v>364</v>
      </c>
      <c r="D2127" s="26" t="s">
        <v>23</v>
      </c>
      <c r="E2127" s="27" t="str">
        <f>HYPERLINK("https://www.compass.com/building/217-w-14th-st-manhattan-ny-10011/281906903829729541/","217 W 14th St")</f>
        <v>217 W 14th St</v>
      </c>
      <c r="F2127" s="25" t="s">
        <v>27</v>
      </c>
      <c r="G2127" s="28">
        <v>2390000.0</v>
      </c>
      <c r="H2127" s="28">
        <v>1838.0</v>
      </c>
      <c r="I2127" s="28">
        <v>2102.0</v>
      </c>
      <c r="J2127" s="28">
        <v>14868.0</v>
      </c>
      <c r="K2127" s="25" t="s">
        <v>28</v>
      </c>
      <c r="L2127" s="26">
        <v>4.0</v>
      </c>
      <c r="M2127" s="26">
        <v>2.0</v>
      </c>
      <c r="N2127" s="26">
        <v>0.0</v>
      </c>
      <c r="O2127" s="26">
        <v>0.0</v>
      </c>
      <c r="P2127" s="34">
        <v>1300.0</v>
      </c>
      <c r="Q2127" s="35">
        <v>149.0</v>
      </c>
      <c r="R2127" s="32">
        <v>45636.0</v>
      </c>
      <c r="S2127" s="32">
        <v>42952.0</v>
      </c>
      <c r="T2127" s="29"/>
      <c r="U2127" s="33"/>
      <c r="V2127" s="1"/>
    </row>
    <row r="2128" ht="24.0" customHeight="1">
      <c r="A2128" s="1"/>
      <c r="B2128" s="24" t="str">
        <f>HYPERLINK("https://www.compass.com/listing/418-st-johns-place-unit-5c-brooklyn-ny-11238/576270236406893329/view?agent_id=610d3f3370540700019b0833","418 St Johns Place, Unit 5C")</f>
        <v>418 St Johns Place, Unit 5C</v>
      </c>
      <c r="C2128" s="25" t="s">
        <v>365</v>
      </c>
      <c r="D2128" s="26" t="s">
        <v>23</v>
      </c>
      <c r="E2128" s="27" t="str">
        <f>HYPERLINK("https://www.compass.com/building/418-st-johns-pl-brooklyn-ny-11238/293424192609653013/","418 St Johns Pl")</f>
        <v>418 St Johns Pl</v>
      </c>
      <c r="F2128" s="25" t="s">
        <v>39</v>
      </c>
      <c r="G2128" s="28">
        <v>985000.0</v>
      </c>
      <c r="H2128" s="29"/>
      <c r="I2128" s="28">
        <v>1167.0</v>
      </c>
      <c r="J2128" s="28">
        <v>0.0</v>
      </c>
      <c r="K2128" s="25" t="s">
        <v>25</v>
      </c>
      <c r="L2128" s="26">
        <v>4.0</v>
      </c>
      <c r="M2128" s="26">
        <v>2.0</v>
      </c>
      <c r="N2128" s="26">
        <v>1.0</v>
      </c>
      <c r="O2128" s="30"/>
      <c r="P2128" s="30"/>
      <c r="Q2128" s="35">
        <v>67.0</v>
      </c>
      <c r="R2128" s="32">
        <v>44114.0</v>
      </c>
      <c r="S2128" s="32">
        <v>44046.0</v>
      </c>
      <c r="T2128" s="29"/>
      <c r="U2128" s="33"/>
      <c r="V2128" s="1"/>
    </row>
    <row r="2129" ht="24.0" customHeight="1">
      <c r="A2129" s="1"/>
      <c r="B2129" s="24" t="str">
        <f>HYPERLINK("https://www.compass.com/listing/400-lincoln-place-unit-3gh-brooklyn-ny-11238/70918698340300849/view?agent_id=610d3f3370540700019b0833","400 Lincoln Place, Unit 3GH")</f>
        <v>400 Lincoln Place, Unit 3GH</v>
      </c>
      <c r="C2129" s="25" t="s">
        <v>364</v>
      </c>
      <c r="D2129" s="26" t="s">
        <v>23</v>
      </c>
      <c r="E2129" s="27" t="str">
        <f>HYPERLINK("https://www.compass.com/building/400-lincoln-pl-brooklyn-ny-11238/293422665631336389/","400 Lincoln Pl")</f>
        <v>400 Lincoln Pl</v>
      </c>
      <c r="F2129" s="25" t="s">
        <v>39</v>
      </c>
      <c r="G2129" s="28">
        <v>999000.0</v>
      </c>
      <c r="H2129" s="28">
        <v>1030.0</v>
      </c>
      <c r="I2129" s="28">
        <v>1186.0</v>
      </c>
      <c r="J2129" s="29"/>
      <c r="K2129" s="25" t="s">
        <v>25</v>
      </c>
      <c r="L2129" s="26">
        <v>5.0</v>
      </c>
      <c r="M2129" s="26">
        <v>2.0</v>
      </c>
      <c r="N2129" s="26">
        <v>0.0</v>
      </c>
      <c r="O2129" s="26">
        <v>0.0</v>
      </c>
      <c r="P2129" s="26">
        <v>970.0</v>
      </c>
      <c r="Q2129" s="35">
        <v>55.0</v>
      </c>
      <c r="R2129" s="32">
        <v>45636.0</v>
      </c>
      <c r="S2129" s="32">
        <v>42298.0</v>
      </c>
      <c r="T2129" s="29"/>
      <c r="U2129" s="33"/>
      <c r="V2129" s="1"/>
    </row>
    <row r="2130" ht="24.0" customHeight="1">
      <c r="A2130" s="1"/>
      <c r="B2130" s="24" t="str">
        <f>HYPERLINK("https://www.compass.com/listing/315-west-23rd-street-unit-8e-manhattan-ny-10011/86805986127454769/view?agent_id=610d3f3370540700019b0833","315 West 23rd Street, Unit 8E")</f>
        <v>315 West 23rd Street, Unit 8E</v>
      </c>
      <c r="C2130" s="25" t="s">
        <v>364</v>
      </c>
      <c r="D2130" s="26" t="s">
        <v>23</v>
      </c>
      <c r="E2130" s="27" t="str">
        <f>HYPERLINK("https://www.compass.com/building/the-broadmoor-manhattan-ny/281908624064796965/","The Broadmoor")</f>
        <v>The Broadmoor</v>
      </c>
      <c r="F2130" s="25" t="s">
        <v>27</v>
      </c>
      <c r="G2130" s="28">
        <v>1750000.0</v>
      </c>
      <c r="H2130" s="28">
        <v>1410.0</v>
      </c>
      <c r="I2130" s="28">
        <v>1513.0</v>
      </c>
      <c r="J2130" s="29"/>
      <c r="K2130" s="25" t="s">
        <v>25</v>
      </c>
      <c r="L2130" s="26">
        <v>4.0</v>
      </c>
      <c r="M2130" s="26">
        <v>2.0</v>
      </c>
      <c r="N2130" s="26">
        <v>0.0</v>
      </c>
      <c r="O2130" s="26">
        <v>0.0</v>
      </c>
      <c r="P2130" s="34">
        <v>1241.0</v>
      </c>
      <c r="Q2130" s="35">
        <v>30.0</v>
      </c>
      <c r="R2130" s="32">
        <v>44581.0</v>
      </c>
      <c r="S2130" s="32">
        <v>41354.0</v>
      </c>
      <c r="T2130" s="29"/>
      <c r="U2130" s="33"/>
      <c r="V2130" s="1"/>
    </row>
    <row r="2131" ht="24.0" customHeight="1">
      <c r="A2131" s="1"/>
      <c r="B2131" s="24" t="str">
        <f>HYPERLINK("https://www.compass.com/listing/125-west-21st-street-unit-10a-manhattan-ny-10011/562368045216531777/view?agent_id=610d3f3370540700019b0833","125 West 21st Street, Unit 10A")</f>
        <v>125 West 21st Street, Unit 10A</v>
      </c>
      <c r="C2131" s="25" t="s">
        <v>370</v>
      </c>
      <c r="D2131" s="26" t="s">
        <v>23</v>
      </c>
      <c r="E2131" s="27" t="str">
        <f>HYPERLINK("https://www.compass.com/building/the-indigo-condominium-manhattan-ny/281904876873598469/","The Indigo Condominium")</f>
        <v>The Indigo Condominium</v>
      </c>
      <c r="F2131" s="25" t="s">
        <v>27</v>
      </c>
      <c r="G2131" s="28">
        <v>3225000.0</v>
      </c>
      <c r="H2131" s="28">
        <v>1531.0</v>
      </c>
      <c r="I2131" s="28">
        <v>2651.0</v>
      </c>
      <c r="J2131" s="28">
        <v>16812.0</v>
      </c>
      <c r="K2131" s="25" t="s">
        <v>28</v>
      </c>
      <c r="L2131" s="26">
        <v>5.0</v>
      </c>
      <c r="M2131" s="26">
        <v>2.0</v>
      </c>
      <c r="N2131" s="30"/>
      <c r="O2131" s="30"/>
      <c r="P2131" s="34">
        <v>2106.0</v>
      </c>
      <c r="Q2131" s="35">
        <v>179.0</v>
      </c>
      <c r="R2131" s="32">
        <v>44207.0</v>
      </c>
      <c r="S2131" s="32">
        <v>44027.0</v>
      </c>
      <c r="T2131" s="29"/>
      <c r="U2131" s="33"/>
      <c r="V2131" s="1"/>
    </row>
    <row r="2132" ht="24.0" customHeight="1">
      <c r="A2132" s="1"/>
      <c r="B2132" s="24" t="str">
        <f>HYPERLINK("https://www.compass.com/listing/121-west-20th-street-unit-4b-manhattan-ny-10011/29373173837346145/view?agent_id=610d3f3370540700019b0833","121 West 20th Street, Unit 4B")</f>
        <v>121 West 20th Street, Unit 4B</v>
      </c>
      <c r="C2132" s="25" t="s">
        <v>370</v>
      </c>
      <c r="D2132" s="26" t="s">
        <v>23</v>
      </c>
      <c r="E2132" s="27" t="str">
        <f>HYPERLINK("https://www.compass.com/building/121-w-20th-st-manhattan-ny-10011/281904745642215397/","121 W 20th St")</f>
        <v>121 W 20th St</v>
      </c>
      <c r="F2132" s="25" t="s">
        <v>27</v>
      </c>
      <c r="G2132" s="28">
        <v>1295000.0</v>
      </c>
      <c r="H2132" s="28">
        <v>762.0</v>
      </c>
      <c r="I2132" s="28">
        <v>1443.0</v>
      </c>
      <c r="J2132" s="28">
        <v>7344.0</v>
      </c>
      <c r="K2132" s="25" t="s">
        <v>28</v>
      </c>
      <c r="L2132" s="26">
        <v>4.0</v>
      </c>
      <c r="M2132" s="26">
        <v>2.0</v>
      </c>
      <c r="N2132" s="26">
        <v>0.0</v>
      </c>
      <c r="O2132" s="26">
        <v>0.0</v>
      </c>
      <c r="P2132" s="34">
        <v>1700.0</v>
      </c>
      <c r="Q2132" s="35">
        <v>0.0</v>
      </c>
      <c r="R2132" s="32">
        <v>44581.0</v>
      </c>
      <c r="S2132" s="32">
        <v>41538.0</v>
      </c>
      <c r="T2132" s="29"/>
      <c r="U2132" s="33"/>
      <c r="V2132" s="1"/>
    </row>
    <row r="2133" ht="24.0" customHeight="1">
      <c r="A2133" s="1"/>
      <c r="B2133" s="24" t="str">
        <f>HYPERLINK("https://www.compass.com/listing/447-west-18th-street-unit-6c-manhattan-ny-10011/1809621438814513041/view?agent_id=610d3f3370540700019b0833","447 West 18th Street, Unit 6C")</f>
        <v>447 West 18th Street, Unit 6C</v>
      </c>
      <c r="C2133" s="25" t="s">
        <v>364</v>
      </c>
      <c r="D2133" s="26" t="s">
        <v>23</v>
      </c>
      <c r="E2133" s="27" t="str">
        <f>HYPERLINK("https://www.compass.com/building/chelsea-modern-manhattan-ny/281910591621193429/","Chelsea Modern")</f>
        <v>Chelsea Modern</v>
      </c>
      <c r="F2133" s="25" t="s">
        <v>27</v>
      </c>
      <c r="G2133" s="28">
        <v>2895000.0</v>
      </c>
      <c r="H2133" s="28">
        <v>2068.0</v>
      </c>
      <c r="I2133" s="28">
        <v>2474.0</v>
      </c>
      <c r="J2133" s="28">
        <v>15288.0</v>
      </c>
      <c r="K2133" s="25" t="s">
        <v>28</v>
      </c>
      <c r="L2133" s="26">
        <v>5.0</v>
      </c>
      <c r="M2133" s="26">
        <v>2.0</v>
      </c>
      <c r="N2133" s="26">
        <v>0.0</v>
      </c>
      <c r="O2133" s="26">
        <v>0.0</v>
      </c>
      <c r="P2133" s="34">
        <v>1400.0</v>
      </c>
      <c r="Q2133" s="31"/>
      <c r="R2133" s="32">
        <v>44581.0</v>
      </c>
      <c r="S2133" s="33"/>
      <c r="T2133" s="29"/>
      <c r="U2133" s="33"/>
      <c r="V2133" s="1"/>
    </row>
    <row r="2134" ht="24.0" customHeight="1">
      <c r="A2134" s="1"/>
      <c r="B2134" s="24" t="str">
        <f>HYPERLINK("https://www.compass.com/listing/240-west-98th-street-unit-5f-manhattan-ny-10025/566479425964186513/view?agent_id=610d3f3370540700019b0833","240 West 98th Street, Unit 5F")</f>
        <v>240 West 98th Street, Unit 5F</v>
      </c>
      <c r="C2134" s="25" t="s">
        <v>364</v>
      </c>
      <c r="D2134" s="26" t="s">
        <v>23</v>
      </c>
      <c r="E2134" s="27" t="str">
        <f>HYPERLINK("https://www.compass.com/building/the-sabrina-manhattan-ny/281969809078439653/","The Sabrina")</f>
        <v>The Sabrina</v>
      </c>
      <c r="F2134" s="25" t="s">
        <v>29</v>
      </c>
      <c r="G2134" s="28">
        <v>839000.0</v>
      </c>
      <c r="H2134" s="28">
        <v>1081.0</v>
      </c>
      <c r="I2134" s="28">
        <v>1431.0</v>
      </c>
      <c r="J2134" s="28">
        <v>9322.0</v>
      </c>
      <c r="K2134" s="25" t="s">
        <v>28</v>
      </c>
      <c r="L2134" s="26">
        <v>4.0</v>
      </c>
      <c r="M2134" s="26">
        <v>2.0</v>
      </c>
      <c r="N2134" s="26">
        <v>1.0</v>
      </c>
      <c r="O2134" s="26">
        <v>0.0</v>
      </c>
      <c r="P2134" s="26">
        <v>776.0</v>
      </c>
      <c r="Q2134" s="35">
        <v>73.0</v>
      </c>
      <c r="R2134" s="32">
        <v>44140.0</v>
      </c>
      <c r="S2134" s="32">
        <v>44057.0</v>
      </c>
      <c r="T2134" s="29"/>
      <c r="U2134" s="33"/>
      <c r="V2134" s="1"/>
    </row>
    <row r="2135" ht="24.0" customHeight="1">
      <c r="A2135" s="1"/>
      <c r="B2135" s="24" t="str">
        <f>HYPERLINK("https://www.compass.com/listing/555-west-23rd-street-unit-s9l-manhattan-ny-10011/29369621723326369/view?agent_id=610d3f3370540700019b0833","555 West 23rd Street, Unit S9L")</f>
        <v>555 West 23rd Street, Unit S9L</v>
      </c>
      <c r="C2135" s="25" t="s">
        <v>370</v>
      </c>
      <c r="D2135" s="26" t="s">
        <v>23</v>
      </c>
      <c r="E2135" s="27" t="str">
        <f>HYPERLINK("https://www.compass.com/building/555-w-23-manhattan-ny/281911747042895061/","555 W 23")</f>
        <v>555 W 23</v>
      </c>
      <c r="F2135" s="25" t="s">
        <v>27</v>
      </c>
      <c r="G2135" s="28">
        <v>2050000.0</v>
      </c>
      <c r="H2135" s="28">
        <v>1900.0</v>
      </c>
      <c r="I2135" s="28">
        <v>1802.0</v>
      </c>
      <c r="J2135" s="28">
        <v>9120.0</v>
      </c>
      <c r="K2135" s="25" t="s">
        <v>28</v>
      </c>
      <c r="L2135" s="26">
        <v>4.0</v>
      </c>
      <c r="M2135" s="26">
        <v>2.0</v>
      </c>
      <c r="N2135" s="26">
        <v>0.0</v>
      </c>
      <c r="O2135" s="26">
        <v>0.0</v>
      </c>
      <c r="P2135" s="34">
        <v>1079.0</v>
      </c>
      <c r="Q2135" s="35">
        <v>152.0</v>
      </c>
      <c r="R2135" s="32">
        <v>45636.0</v>
      </c>
      <c r="S2135" s="32">
        <v>41504.0</v>
      </c>
      <c r="T2135" s="29"/>
      <c r="U2135" s="33"/>
      <c r="V2135" s="1"/>
    </row>
    <row r="2136" ht="24.0" customHeight="1">
      <c r="A2136" s="1"/>
      <c r="B2136" s="24" t="str">
        <f>HYPERLINK("https://www.compass.com/listing/379-west-street-unit-5b-manhattan-ny-10014/156622059298975617/view?agent_id=610d3f3370540700019b0833","379 West Street, Unit 5B")</f>
        <v>379 West Street, Unit 5B</v>
      </c>
      <c r="C2136" s="25" t="s">
        <v>364</v>
      </c>
      <c r="D2136" s="26" t="s">
        <v>23</v>
      </c>
      <c r="E2136" s="27" t="str">
        <f>HYPERLINK("https://www.compass.com/building/west-village-houses-manhattan-ny/282065119234526645/","West Village Houses")</f>
        <v>West Village Houses</v>
      </c>
      <c r="F2136" s="25" t="s">
        <v>26</v>
      </c>
      <c r="G2136" s="28">
        <v>865000.0</v>
      </c>
      <c r="H2136" s="29"/>
      <c r="I2136" s="28">
        <v>902.0</v>
      </c>
      <c r="J2136" s="29"/>
      <c r="K2136" s="25" t="s">
        <v>25</v>
      </c>
      <c r="L2136" s="26">
        <v>4.0</v>
      </c>
      <c r="M2136" s="26">
        <v>2.0</v>
      </c>
      <c r="N2136" s="26">
        <v>1.0</v>
      </c>
      <c r="O2136" s="26">
        <v>0.0</v>
      </c>
      <c r="P2136" s="30"/>
      <c r="Q2136" s="35">
        <v>147.0</v>
      </c>
      <c r="R2136" s="32">
        <v>45636.0</v>
      </c>
      <c r="S2136" s="32">
        <v>43196.0</v>
      </c>
      <c r="T2136" s="29"/>
      <c r="U2136" s="33"/>
      <c r="V2136" s="1"/>
    </row>
    <row r="2137" ht="24.0" customHeight="1">
      <c r="A2137" s="1"/>
      <c r="B2137" s="24" t="str">
        <f>HYPERLINK("https://www.compass.com/listing/430-clinton-street-unit-2-brooklyn-ny-11231/1838945368029992753/view?agent_id=610d3f3370540700019b0833","430 Clinton Street, Unit 2")</f>
        <v>430 Clinton Street, Unit 2</v>
      </c>
      <c r="C2137" s="25" t="s">
        <v>364</v>
      </c>
      <c r="D2137" s="26" t="s">
        <v>23</v>
      </c>
      <c r="E2137" s="27" t="str">
        <f t="shared" ref="E2137:E2138" si="33">HYPERLINK("https://www.compass.com/building/430-clinton-st-brooklyn-ny-11231/282498910319094069/","430 Clinton St")</f>
        <v>430 Clinton St</v>
      </c>
      <c r="F2137" s="25" t="s">
        <v>65</v>
      </c>
      <c r="G2137" s="28">
        <v>1630000.0</v>
      </c>
      <c r="H2137" s="28">
        <v>1087.0</v>
      </c>
      <c r="I2137" s="28">
        <v>983.0</v>
      </c>
      <c r="J2137" s="29"/>
      <c r="K2137" s="25" t="s">
        <v>25</v>
      </c>
      <c r="L2137" s="26">
        <v>4.0</v>
      </c>
      <c r="M2137" s="26">
        <v>2.0</v>
      </c>
      <c r="N2137" s="26">
        <v>0.0</v>
      </c>
      <c r="O2137" s="26">
        <v>0.0</v>
      </c>
      <c r="P2137" s="34">
        <v>1500.0</v>
      </c>
      <c r="Q2137" s="35">
        <v>3.0</v>
      </c>
      <c r="R2137" s="32">
        <v>44581.0</v>
      </c>
      <c r="S2137" s="32">
        <v>41988.0</v>
      </c>
      <c r="T2137" s="29"/>
      <c r="U2137" s="33"/>
      <c r="V2137" s="1"/>
    </row>
    <row r="2138" ht="24.0" customHeight="1">
      <c r="A2138" s="1"/>
      <c r="B2138" s="24" t="str">
        <f>HYPERLINK("https://www.compass.com/listing/430-clinton-street-unit-2-brooklyn-ny-11231/4818348877746799585/view?agent_id=610d3f3370540700019b0833","430 Clinton Street, Unit 2")</f>
        <v>430 Clinton Street, Unit 2</v>
      </c>
      <c r="C2138" s="25" t="s">
        <v>364</v>
      </c>
      <c r="D2138" s="26" t="s">
        <v>23</v>
      </c>
      <c r="E2138" s="27" t="str">
        <f t="shared" si="33"/>
        <v>430 Clinton St</v>
      </c>
      <c r="F2138" s="25" t="s">
        <v>65</v>
      </c>
      <c r="G2138" s="28">
        <v>1630000.0</v>
      </c>
      <c r="H2138" s="28">
        <v>1087.0</v>
      </c>
      <c r="I2138" s="28">
        <v>983.0</v>
      </c>
      <c r="J2138" s="29"/>
      <c r="K2138" s="25" t="s">
        <v>25</v>
      </c>
      <c r="L2138" s="26">
        <v>5.0</v>
      </c>
      <c r="M2138" s="26">
        <v>2.0</v>
      </c>
      <c r="N2138" s="26">
        <v>0.0</v>
      </c>
      <c r="O2138" s="26">
        <v>0.0</v>
      </c>
      <c r="P2138" s="34">
        <v>1500.0</v>
      </c>
      <c r="Q2138" s="35">
        <v>3.0</v>
      </c>
      <c r="R2138" s="32">
        <v>44581.0</v>
      </c>
      <c r="S2138" s="32">
        <v>41988.0</v>
      </c>
      <c r="T2138" s="29"/>
      <c r="U2138" s="33"/>
      <c r="V2138" s="1"/>
    </row>
    <row r="2139" ht="24.0" customHeight="1">
      <c r="A2139" s="1"/>
      <c r="B2139" s="24" t="str">
        <f>HYPERLINK("https://www.compass.com/listing/233-west-21st-street-unit-1b-manhattan-ny-10011/608089815000785937/view?agent_id=610d3f3370540700019b0833","233 West 21st Street, Unit 1B")</f>
        <v>233 West 21st Street, Unit 1B</v>
      </c>
      <c r="C2139" s="25" t="s">
        <v>365</v>
      </c>
      <c r="D2139" s="26" t="s">
        <v>23</v>
      </c>
      <c r="E2139" s="27" t="str">
        <f>HYPERLINK("https://www.compass.com/building/233-w-21st-st-manhattan-ny-10011/281907439945666901/","233 W 21st St")</f>
        <v>233 W 21st St</v>
      </c>
      <c r="F2139" s="25" t="s">
        <v>27</v>
      </c>
      <c r="G2139" s="28">
        <v>925000.0</v>
      </c>
      <c r="H2139" s="29"/>
      <c r="I2139" s="28">
        <v>1358.0</v>
      </c>
      <c r="J2139" s="28">
        <v>0.0</v>
      </c>
      <c r="K2139" s="25" t="s">
        <v>25</v>
      </c>
      <c r="L2139" s="26">
        <v>4.0</v>
      </c>
      <c r="M2139" s="26">
        <v>2.0</v>
      </c>
      <c r="N2139" s="26">
        <v>1.0</v>
      </c>
      <c r="O2139" s="26">
        <v>0.0</v>
      </c>
      <c r="P2139" s="30"/>
      <c r="Q2139" s="35">
        <v>118.0</v>
      </c>
      <c r="R2139" s="32">
        <v>44209.0</v>
      </c>
      <c r="S2139" s="32">
        <v>44090.0</v>
      </c>
      <c r="T2139" s="29"/>
      <c r="U2139" s="33"/>
      <c r="V2139" s="1"/>
    </row>
    <row r="2140" ht="24.0" customHeight="1">
      <c r="A2140" s="1"/>
      <c r="B2140" s="24" t="str">
        <f>HYPERLINK("https://www.compass.com/listing/101-warren-street-unit-3030-manhattan-ny-10007/50865959505886337/view?agent_id=610d3f3370540700019b0833","101 Warren Street, Unit 3030")</f>
        <v>101 Warren Street, Unit 3030</v>
      </c>
      <c r="C2140" s="25" t="s">
        <v>370</v>
      </c>
      <c r="D2140" s="26" t="s">
        <v>23</v>
      </c>
      <c r="E2140" s="27" t="str">
        <f>HYPERLINK("https://www.compass.com/building/99-101-warren-manhattan-ny/307460833541810581/","99-101 Warren")</f>
        <v>99-101 Warren</v>
      </c>
      <c r="F2140" s="25" t="s">
        <v>60</v>
      </c>
      <c r="G2140" s="28">
        <v>3700000.0</v>
      </c>
      <c r="H2140" s="28">
        <v>2297.0</v>
      </c>
      <c r="I2140" s="28">
        <v>2803.0</v>
      </c>
      <c r="J2140" s="28">
        <v>13008.0</v>
      </c>
      <c r="K2140" s="25" t="s">
        <v>209</v>
      </c>
      <c r="L2140" s="26">
        <v>4.0</v>
      </c>
      <c r="M2140" s="26">
        <v>2.0</v>
      </c>
      <c r="N2140" s="26">
        <v>0.0</v>
      </c>
      <c r="O2140" s="26">
        <v>0.0</v>
      </c>
      <c r="P2140" s="34">
        <v>1611.0</v>
      </c>
      <c r="Q2140" s="35">
        <v>178.0</v>
      </c>
      <c r="R2140" s="32">
        <v>45636.0</v>
      </c>
      <c r="S2140" s="32">
        <v>42452.0</v>
      </c>
      <c r="T2140" s="29"/>
      <c r="U2140" s="33"/>
      <c r="V2140" s="1"/>
    </row>
    <row r="2141" ht="24.0" customHeight="1">
      <c r="A2141" s="1"/>
      <c r="B2141" s="24" t="str">
        <f>HYPERLINK("https://www.compass.com/listing/319-west-18th-street-unit-1gh-manhattan-ny-10011/4852306182922045313/view?agent_id=610d3f3370540700019b0833","319 West 18th Street, Unit 1GH")</f>
        <v>319 West 18th Street, Unit 1GH</v>
      </c>
      <c r="C2141" s="25" t="s">
        <v>370</v>
      </c>
      <c r="D2141" s="26" t="s">
        <v>23</v>
      </c>
      <c r="E2141" s="27" t="str">
        <f>HYPERLINK("https://www.compass.com/building/319-w-18th-st-manhattan-ny-10011/281908670445410053/","319 W 18th St")</f>
        <v>319 W 18th St</v>
      </c>
      <c r="F2141" s="25" t="s">
        <v>27</v>
      </c>
      <c r="G2141" s="28">
        <v>998000.0</v>
      </c>
      <c r="H2141" s="29"/>
      <c r="I2141" s="28">
        <v>1794.0</v>
      </c>
      <c r="J2141" s="29"/>
      <c r="K2141" s="25" t="s">
        <v>25</v>
      </c>
      <c r="L2141" s="26">
        <v>5.0</v>
      </c>
      <c r="M2141" s="26">
        <v>2.0</v>
      </c>
      <c r="N2141" s="26">
        <v>0.0</v>
      </c>
      <c r="O2141" s="26">
        <v>0.0</v>
      </c>
      <c r="P2141" s="30"/>
      <c r="Q2141" s="35">
        <v>32.0</v>
      </c>
      <c r="R2141" s="32">
        <v>45636.0</v>
      </c>
      <c r="S2141" s="32">
        <v>41531.0</v>
      </c>
      <c r="T2141" s="29"/>
      <c r="U2141" s="33"/>
      <c r="V2141" s="1"/>
    </row>
    <row r="2142" ht="24.0" customHeight="1">
      <c r="A2142" s="1"/>
      <c r="B2142" s="24" t="str">
        <f>HYPERLINK("https://www.compass.com/listing/219-east-7th-street-unit-14-manhattan-ny-10009/70911493247366257/view?agent_id=610d3f3370540700019b0833","219 East 7th Street, Unit 14")</f>
        <v>219 East 7th Street, Unit 14</v>
      </c>
      <c r="C2142" s="25" t="s">
        <v>364</v>
      </c>
      <c r="D2142" s="26" t="s">
        <v>23</v>
      </c>
      <c r="E2142" s="27" t="str">
        <f>HYPERLINK("https://www.compass.com/building/219-e-7th-st-manhattan-ny-10009/281898760429122981/","219 E 7th St")</f>
        <v>219 E 7th St</v>
      </c>
      <c r="F2142" s="25" t="s">
        <v>24</v>
      </c>
      <c r="G2142" s="28">
        <v>425000.0</v>
      </c>
      <c r="H2142" s="29"/>
      <c r="I2142" s="28">
        <v>465.0</v>
      </c>
      <c r="J2142" s="29"/>
      <c r="K2142" s="25" t="s">
        <v>25</v>
      </c>
      <c r="L2142" s="26">
        <v>5.0</v>
      </c>
      <c r="M2142" s="26">
        <v>2.0</v>
      </c>
      <c r="N2142" s="26">
        <v>0.0</v>
      </c>
      <c r="O2142" s="26">
        <v>0.0</v>
      </c>
      <c r="P2142" s="30"/>
      <c r="Q2142" s="35">
        <v>147.0</v>
      </c>
      <c r="R2142" s="32">
        <v>44581.0</v>
      </c>
      <c r="S2142" s="32">
        <v>41298.0</v>
      </c>
      <c r="T2142" s="29"/>
      <c r="U2142" s="33"/>
      <c r="V2142" s="1"/>
    </row>
    <row r="2143" ht="24.0" customHeight="1">
      <c r="A2143" s="1"/>
      <c r="B2143" s="24" t="str">
        <f>HYPERLINK("https://www.compass.com/listing/382-prospect-place-unit-2-brooklyn-ny-11238/114963347694158849/view?agent_id=610d3f3370540700019b0833","382 Prospect Place, Unit 2")</f>
        <v>382 Prospect Place, Unit 2</v>
      </c>
      <c r="C2143" s="25" t="s">
        <v>364</v>
      </c>
      <c r="D2143" s="26" t="s">
        <v>23</v>
      </c>
      <c r="E2143" s="27" t="str">
        <f>HYPERLINK("https://www.compass.com/building/382-prospect-pl-brooklyn-ny-11238/293426423828389813/","382 Prospect Pl")</f>
        <v>382 Prospect Pl</v>
      </c>
      <c r="F2143" s="25" t="s">
        <v>39</v>
      </c>
      <c r="G2143" s="28">
        <v>635000.0</v>
      </c>
      <c r="H2143" s="29"/>
      <c r="I2143" s="28">
        <v>740.0</v>
      </c>
      <c r="J2143" s="28">
        <v>0.0</v>
      </c>
      <c r="K2143" s="25" t="s">
        <v>25</v>
      </c>
      <c r="L2143" s="26">
        <v>4.0</v>
      </c>
      <c r="M2143" s="26">
        <v>2.0</v>
      </c>
      <c r="N2143" s="26">
        <v>1.0</v>
      </c>
      <c r="O2143" s="30"/>
      <c r="P2143" s="30"/>
      <c r="Q2143" s="35">
        <v>105.0</v>
      </c>
      <c r="R2143" s="32">
        <v>43515.0</v>
      </c>
      <c r="S2143" s="32">
        <v>43410.0</v>
      </c>
      <c r="T2143" s="29"/>
      <c r="U2143" s="33"/>
      <c r="V2143" s="1"/>
    </row>
    <row r="2144" ht="24.0" customHeight="1">
      <c r="A2144" s="1"/>
      <c r="B2144" s="24" t="str">
        <f>HYPERLINK("https://www.compass.com/listing/113-carroll-street-unit-3-brooklyn-ny-11231/658039485407187313/view?agent_id=610d3f3370540700019b0833","113 Carroll Street, Unit 3")</f>
        <v>113 Carroll Street, Unit 3</v>
      </c>
      <c r="C2144" s="25" t="s">
        <v>364</v>
      </c>
      <c r="D2144" s="26" t="s">
        <v>23</v>
      </c>
      <c r="E2144" s="27" t="str">
        <f>HYPERLINK("https://www.compass.com/building/113-carroll-st-brooklyn-ny-11231/282500956871012949/","113 Carroll St")</f>
        <v>113 Carroll St</v>
      </c>
      <c r="F2144" s="25" t="s">
        <v>65</v>
      </c>
      <c r="G2144" s="28">
        <v>899000.0</v>
      </c>
      <c r="H2144" s="29"/>
      <c r="I2144" s="28">
        <v>525.0</v>
      </c>
      <c r="J2144" s="28">
        <v>0.0</v>
      </c>
      <c r="K2144" s="25" t="s">
        <v>25</v>
      </c>
      <c r="L2144" s="26">
        <v>5.0</v>
      </c>
      <c r="M2144" s="26">
        <v>2.0</v>
      </c>
      <c r="N2144" s="26">
        <v>1.0</v>
      </c>
      <c r="O2144" s="30"/>
      <c r="P2144" s="30"/>
      <c r="Q2144" s="35">
        <v>0.0</v>
      </c>
      <c r="R2144" s="32">
        <v>44160.0</v>
      </c>
      <c r="S2144" s="32">
        <v>44159.0</v>
      </c>
      <c r="T2144" s="29"/>
      <c r="U2144" s="33"/>
      <c r="V2144" s="1"/>
    </row>
    <row r="2145" ht="24.0" customHeight="1">
      <c r="A2145" s="1"/>
      <c r="B2145" s="24" t="str">
        <f>HYPERLINK("https://www.compass.com/listing/129-barrow-street-unit-3a-manhattan-ny-10014/1652869908959965505/view?agent_id=610d3f3370540700019b0833","129 Barrow Street, Unit 3A")</f>
        <v>129 Barrow Street, Unit 3A</v>
      </c>
      <c r="C2145" s="25" t="s">
        <v>365</v>
      </c>
      <c r="D2145" s="26" t="s">
        <v>23</v>
      </c>
      <c r="E2145" s="27" t="str">
        <f t="shared" ref="E2145:E2146" si="34">HYPERLINK("https://www.compass.com/building/west-village-houses-manhattan-ny/282065832266209701/","West Village Houses")</f>
        <v>West Village Houses</v>
      </c>
      <c r="F2145" s="25" t="s">
        <v>26</v>
      </c>
      <c r="G2145" s="28">
        <v>999000.0</v>
      </c>
      <c r="H2145" s="29"/>
      <c r="I2145" s="28">
        <v>1350.0</v>
      </c>
      <c r="J2145" s="28">
        <v>0.0</v>
      </c>
      <c r="K2145" s="25" t="s">
        <v>25</v>
      </c>
      <c r="L2145" s="26">
        <v>4.0</v>
      </c>
      <c r="M2145" s="26">
        <v>2.0</v>
      </c>
      <c r="N2145" s="26">
        <v>1.0</v>
      </c>
      <c r="O2145" s="26">
        <v>0.0</v>
      </c>
      <c r="P2145" s="30"/>
      <c r="Q2145" s="35">
        <v>16.0</v>
      </c>
      <c r="R2145" s="32">
        <v>45548.0</v>
      </c>
      <c r="S2145" s="32">
        <v>45532.0</v>
      </c>
      <c r="T2145" s="29"/>
      <c r="U2145" s="33"/>
      <c r="V2145" s="1"/>
    </row>
    <row r="2146" ht="24.0" customHeight="1">
      <c r="A2146" s="1"/>
      <c r="B2146" s="24" t="str">
        <f>HYPERLINK("https://www.compass.com/listing/129-barrow-street-unit-3a-manhattan-ny-10014/1511705834193068865/view?agent_id=610d3f3370540700019b0833","129 Barrow Street, Unit 3A")</f>
        <v>129 Barrow Street, Unit 3A</v>
      </c>
      <c r="C2146" s="25" t="s">
        <v>365</v>
      </c>
      <c r="D2146" s="26" t="s">
        <v>23</v>
      </c>
      <c r="E2146" s="27" t="str">
        <f t="shared" si="34"/>
        <v>West Village Houses</v>
      </c>
      <c r="F2146" s="25" t="s">
        <v>26</v>
      </c>
      <c r="G2146" s="28">
        <v>999000.0</v>
      </c>
      <c r="H2146" s="29"/>
      <c r="I2146" s="28">
        <v>1350.0</v>
      </c>
      <c r="J2146" s="28">
        <v>0.0</v>
      </c>
      <c r="K2146" s="25" t="s">
        <v>25</v>
      </c>
      <c r="L2146" s="26">
        <v>4.0</v>
      </c>
      <c r="M2146" s="26">
        <v>2.0</v>
      </c>
      <c r="N2146" s="26">
        <v>1.0</v>
      </c>
      <c r="O2146" s="26">
        <v>0.0</v>
      </c>
      <c r="P2146" s="30"/>
      <c r="Q2146" s="35">
        <v>13.0</v>
      </c>
      <c r="R2146" s="32">
        <v>45350.0</v>
      </c>
      <c r="S2146" s="32">
        <v>45337.0</v>
      </c>
      <c r="T2146" s="29"/>
      <c r="U2146" s="33"/>
      <c r="V2146" s="1"/>
    </row>
    <row r="2147" ht="24.0" customHeight="1">
      <c r="A2147" s="1"/>
      <c r="B2147" s="24" t="str">
        <f>HYPERLINK("https://www.compass.com/listing/726-washington-street-unit-2a-manhattan-ny-10014/1426790466436567001/view?agent_id=610d3f3370540700019b0833","726 Washington Street, Unit 2A")</f>
        <v>726 Washington Street, Unit 2A</v>
      </c>
      <c r="C2147" s="25" t="s">
        <v>364</v>
      </c>
      <c r="D2147" s="26" t="s">
        <v>23</v>
      </c>
      <c r="E2147" s="27" t="str">
        <f>HYPERLINK("https://www.compass.com/building/west-village-houses-manhattan-ny/282063582064052549/","West Village Houses")</f>
        <v>West Village Houses</v>
      </c>
      <c r="F2147" s="25" t="s">
        <v>26</v>
      </c>
      <c r="G2147" s="28">
        <v>1125000.0</v>
      </c>
      <c r="H2147" s="29"/>
      <c r="I2147" s="28">
        <v>1310.0</v>
      </c>
      <c r="J2147" s="28">
        <v>0.0</v>
      </c>
      <c r="K2147" s="25" t="s">
        <v>25</v>
      </c>
      <c r="L2147" s="26">
        <v>5.0</v>
      </c>
      <c r="M2147" s="26">
        <v>2.0</v>
      </c>
      <c r="N2147" s="26">
        <v>1.0</v>
      </c>
      <c r="O2147" s="26">
        <v>0.0</v>
      </c>
      <c r="P2147" s="30"/>
      <c r="Q2147" s="35">
        <v>42.0</v>
      </c>
      <c r="R2147" s="32">
        <v>45278.0</v>
      </c>
      <c r="S2147" s="32">
        <v>45236.0</v>
      </c>
      <c r="T2147" s="29"/>
      <c r="U2147" s="33"/>
      <c r="V2147" s="1"/>
    </row>
    <row r="2148" ht="24.0" customHeight="1">
      <c r="A2148" s="1"/>
      <c r="B2148" s="24" t="str">
        <f>HYPERLINK("https://www.compass.com/listing/230-park-place-unit-2f-brooklyn-ny-11238/548557238968105505/view?agent_id=610d3f3370540700019b0833","230 Park Place, Unit 2F")</f>
        <v>230 Park Place, Unit 2F</v>
      </c>
      <c r="C2148" s="25" t="s">
        <v>364</v>
      </c>
      <c r="D2148" s="26" t="s">
        <v>23</v>
      </c>
      <c r="E2148" s="27" t="str">
        <f>HYPERLINK("https://www.compass.com/building/230-park-pl-brooklyn-ny-11238/293424578309461125/","230 Park Pl")</f>
        <v>230 Park Pl</v>
      </c>
      <c r="F2148" s="25" t="s">
        <v>39</v>
      </c>
      <c r="G2148" s="28">
        <v>960000.0</v>
      </c>
      <c r="H2148" s="29"/>
      <c r="I2148" s="28">
        <v>1522.0</v>
      </c>
      <c r="J2148" s="29"/>
      <c r="K2148" s="25" t="s">
        <v>25</v>
      </c>
      <c r="L2148" s="26">
        <v>4.0</v>
      </c>
      <c r="M2148" s="26">
        <v>2.0</v>
      </c>
      <c r="N2148" s="26">
        <v>1.0</v>
      </c>
      <c r="O2148" s="26">
        <v>0.0</v>
      </c>
      <c r="P2148" s="30"/>
      <c r="Q2148" s="35">
        <v>66.0</v>
      </c>
      <c r="R2148" s="32">
        <v>45636.0</v>
      </c>
      <c r="S2148" s="32">
        <v>44007.0</v>
      </c>
      <c r="T2148" s="29"/>
      <c r="U2148" s="33"/>
      <c r="V2148" s="1"/>
    </row>
    <row r="2149" ht="24.0" customHeight="1">
      <c r="A2149" s="1"/>
      <c r="B2149" s="24" t="str">
        <f>HYPERLINK("https://www.compass.com/listing/141-wooster-street-unit-3dd-manhattan-ny-10012/100689549642005761/view?agent_id=610d3f3370540700019b0833","141 Wooster Street, Unit 3DD")</f>
        <v>141 Wooster Street, Unit 3DD</v>
      </c>
      <c r="C2149" s="25" t="s">
        <v>364</v>
      </c>
      <c r="D2149" s="26" t="s">
        <v>23</v>
      </c>
      <c r="E2149" s="27" t="str">
        <f t="shared" ref="E2149:E2150" si="35">HYPERLINK("https://www.compass.com/building/141-wooster-st-manhattan-ny-10012/281913079053183653/","141 Wooster St")</f>
        <v>141 Wooster St</v>
      </c>
      <c r="F2149" s="25" t="s">
        <v>53</v>
      </c>
      <c r="G2149" s="28">
        <v>1599000.0</v>
      </c>
      <c r="H2149" s="28">
        <v>1390.0</v>
      </c>
      <c r="I2149" s="28">
        <v>1806.0</v>
      </c>
      <c r="J2149" s="28">
        <v>0.0</v>
      </c>
      <c r="K2149" s="25" t="s">
        <v>25</v>
      </c>
      <c r="L2149" s="26">
        <v>4.0</v>
      </c>
      <c r="M2149" s="26">
        <v>2.0</v>
      </c>
      <c r="N2149" s="26">
        <v>1.0</v>
      </c>
      <c r="O2149" s="30"/>
      <c r="P2149" s="34">
        <v>1150.0</v>
      </c>
      <c r="Q2149" s="35">
        <v>72.0</v>
      </c>
      <c r="R2149" s="32">
        <v>43474.0</v>
      </c>
      <c r="S2149" s="32">
        <v>43402.0</v>
      </c>
      <c r="T2149" s="29"/>
      <c r="U2149" s="33"/>
      <c r="V2149" s="1"/>
    </row>
    <row r="2150" ht="24.0" customHeight="1">
      <c r="A2150" s="1"/>
      <c r="B2150" s="24" t="str">
        <f>HYPERLINK("https://www.compass.com/listing/141-wooster-street-unit-3d-manhattan-ny-10012/29507189114772433/view?agent_id=610d3f3370540700019b0833","141 Wooster Street, Unit 3D")</f>
        <v>141 Wooster Street, Unit 3D</v>
      </c>
      <c r="C2150" s="25" t="s">
        <v>370</v>
      </c>
      <c r="D2150" s="26" t="s">
        <v>23</v>
      </c>
      <c r="E2150" s="27" t="str">
        <f t="shared" si="35"/>
        <v>141 Wooster St</v>
      </c>
      <c r="F2150" s="25" t="s">
        <v>53</v>
      </c>
      <c r="G2150" s="28">
        <v>1750000.0</v>
      </c>
      <c r="H2150" s="28">
        <v>1522.0</v>
      </c>
      <c r="I2150" s="28">
        <v>1643.0</v>
      </c>
      <c r="J2150" s="28">
        <v>0.0</v>
      </c>
      <c r="K2150" s="25" t="s">
        <v>25</v>
      </c>
      <c r="L2150" s="26">
        <v>3.0</v>
      </c>
      <c r="M2150" s="26">
        <v>2.0</v>
      </c>
      <c r="N2150" s="30"/>
      <c r="O2150" s="30"/>
      <c r="P2150" s="34">
        <v>1150.0</v>
      </c>
      <c r="Q2150" s="35">
        <v>216.0</v>
      </c>
      <c r="R2150" s="32">
        <v>43388.0</v>
      </c>
      <c r="S2150" s="32">
        <v>43172.0</v>
      </c>
      <c r="T2150" s="29"/>
      <c r="U2150" s="33"/>
      <c r="V2150" s="1"/>
    </row>
    <row r="2151" ht="24.0" customHeight="1">
      <c r="A2151" s="1"/>
      <c r="B2151" s="24" t="str">
        <f>HYPERLINK("https://www.compass.com/listing/92-perry-street-unit-5-manhattan-ny-10014/29368150898289873/view?agent_id=610d3f3370540700019b0833","92 Perry Street, Unit 5")</f>
        <v>92 Perry Street, Unit 5</v>
      </c>
      <c r="C2151" s="25" t="s">
        <v>364</v>
      </c>
      <c r="D2151" s="26" t="s">
        <v>23</v>
      </c>
      <c r="E2151" s="27" t="str">
        <f>HYPERLINK("https://www.compass.com/building/92-perry-condominium-manhattan-ny/292832896652204885/","92 Perry Condominium")</f>
        <v>92 Perry Condominium</v>
      </c>
      <c r="F2151" s="25" t="s">
        <v>26</v>
      </c>
      <c r="G2151" s="28">
        <v>1500000.0</v>
      </c>
      <c r="H2151" s="29"/>
      <c r="I2151" s="28">
        <v>1434.0</v>
      </c>
      <c r="J2151" s="28">
        <v>9996.0</v>
      </c>
      <c r="K2151" s="25" t="s">
        <v>28</v>
      </c>
      <c r="L2151" s="26">
        <v>4.0</v>
      </c>
      <c r="M2151" s="26">
        <v>2.0</v>
      </c>
      <c r="N2151" s="26">
        <v>1.0</v>
      </c>
      <c r="O2151" s="26">
        <v>0.0</v>
      </c>
      <c r="P2151" s="30"/>
      <c r="Q2151" s="35">
        <v>196.0</v>
      </c>
      <c r="R2151" s="32">
        <v>45636.0</v>
      </c>
      <c r="S2151" s="32">
        <v>42464.0</v>
      </c>
      <c r="T2151" s="29"/>
      <c r="U2151" s="33"/>
      <c r="V2151" s="1"/>
    </row>
    <row r="2152" ht="24.0" customHeight="1">
      <c r="A2152" s="1"/>
      <c r="B2152" s="24" t="str">
        <f>HYPERLINK("https://www.compass.com/listing/376-west-street-unit-5a-manhattan-ny-10014/998751275057083057/view?agent_id=610d3f3370540700019b0833","376 West Street, Unit 5A")</f>
        <v>376 West Street, Unit 5A</v>
      </c>
      <c r="C2152" s="25" t="s">
        <v>365</v>
      </c>
      <c r="D2152" s="26" t="s">
        <v>23</v>
      </c>
      <c r="E2152" s="27" t="str">
        <f>HYPERLINK("https://www.compass.com/building/west-village-houses-manhattan-ny/282060576618741845/","West Village Houses")</f>
        <v>West Village Houses</v>
      </c>
      <c r="F2152" s="25" t="s">
        <v>26</v>
      </c>
      <c r="G2152" s="28">
        <v>1135000.0</v>
      </c>
      <c r="H2152" s="29"/>
      <c r="I2152" s="28">
        <v>1389.0</v>
      </c>
      <c r="J2152" s="28">
        <v>0.0</v>
      </c>
      <c r="K2152" s="25" t="s">
        <v>25</v>
      </c>
      <c r="L2152" s="26">
        <v>4.0</v>
      </c>
      <c r="M2152" s="26">
        <v>2.0</v>
      </c>
      <c r="N2152" s="26">
        <v>1.0</v>
      </c>
      <c r="O2152" s="30"/>
      <c r="P2152" s="30"/>
      <c r="Q2152" s="35">
        <v>80.0</v>
      </c>
      <c r="R2152" s="32">
        <v>44748.0</v>
      </c>
      <c r="S2152" s="32">
        <v>44668.0</v>
      </c>
      <c r="T2152" s="29"/>
      <c r="U2152" s="33"/>
      <c r="V2152" s="1"/>
    </row>
    <row r="2153" ht="24.0" customHeight="1">
      <c r="A2153" s="1"/>
      <c r="B2153" s="24" t="str">
        <f>HYPERLINK("https://www.compass.com/listing/131-bank-street-unit-2-manhattan-ny-10014/736310158744800577/view?agent_id=610d3f3370540700019b0833","131 Bank Street, Unit 2")</f>
        <v>131 Bank Street, Unit 2</v>
      </c>
      <c r="C2153" s="25" t="s">
        <v>364</v>
      </c>
      <c r="D2153" s="26" t="s">
        <v>23</v>
      </c>
      <c r="E2153" s="27" t="str">
        <f>HYPERLINK("https://www.compass.com/building/131-bank-st-manhattan-ny-10014/281929847251447973/","131 Bank St")</f>
        <v>131 Bank St</v>
      </c>
      <c r="F2153" s="25" t="s">
        <v>26</v>
      </c>
      <c r="G2153" s="28">
        <v>1695000.0</v>
      </c>
      <c r="H2153" s="29"/>
      <c r="I2153" s="28">
        <v>1429.0</v>
      </c>
      <c r="J2153" s="28">
        <v>11148.0</v>
      </c>
      <c r="K2153" s="25" t="s">
        <v>28</v>
      </c>
      <c r="L2153" s="26">
        <v>6.0</v>
      </c>
      <c r="M2153" s="26">
        <v>2.0</v>
      </c>
      <c r="N2153" s="26">
        <v>1.0</v>
      </c>
      <c r="O2153" s="30"/>
      <c r="P2153" s="30"/>
      <c r="Q2153" s="35">
        <v>22.0</v>
      </c>
      <c r="R2153" s="32">
        <v>44290.0</v>
      </c>
      <c r="S2153" s="32">
        <v>44267.0</v>
      </c>
      <c r="T2153" s="29"/>
      <c r="U2153" s="33"/>
      <c r="V2153" s="1"/>
    </row>
    <row r="2154" ht="24.0" customHeight="1">
      <c r="A2154" s="1"/>
      <c r="B2154" s="24" t="str">
        <f>HYPERLINK("https://www.compass.com/listing/559-warren-street-unit-4r-brooklyn-ny-11217/1667572275373872393/view?agent_id=610d3f3370540700019b0833","559 Warren Street, Unit 4R")</f>
        <v>559 Warren Street, Unit 4R</v>
      </c>
      <c r="C2154" s="25" t="s">
        <v>365</v>
      </c>
      <c r="D2154" s="26" t="s">
        <v>23</v>
      </c>
      <c r="E2154" s="27" t="str">
        <f>HYPERLINK("https://www.compass.com/building/559-warren-st-brooklyn-ny-11217/282500730747694901/","559 Warren St")</f>
        <v>559 Warren St</v>
      </c>
      <c r="F2154" s="25" t="s">
        <v>102</v>
      </c>
      <c r="G2154" s="28">
        <v>900000.0</v>
      </c>
      <c r="H2154" s="29"/>
      <c r="I2154" s="28">
        <v>787.0</v>
      </c>
      <c r="J2154" s="28">
        <v>0.0</v>
      </c>
      <c r="K2154" s="25" t="s">
        <v>25</v>
      </c>
      <c r="L2154" s="26">
        <v>4.0</v>
      </c>
      <c r="M2154" s="26">
        <v>2.0</v>
      </c>
      <c r="N2154" s="26">
        <v>1.0</v>
      </c>
      <c r="O2154" s="30"/>
      <c r="P2154" s="30"/>
      <c r="Q2154" s="35">
        <v>78.0</v>
      </c>
      <c r="R2154" s="32">
        <v>45667.0</v>
      </c>
      <c r="S2154" s="32">
        <v>45552.0</v>
      </c>
      <c r="T2154" s="29"/>
      <c r="U2154" s="33"/>
      <c r="V2154" s="1"/>
    </row>
    <row r="2155" ht="24.0" customHeight="1">
      <c r="A2155" s="1"/>
      <c r="B2155" s="24" t="str">
        <f>HYPERLINK("https://www.compass.com/listing/426-sterling-place-unit-2b-brooklyn-ny-11238/29511175028897137/view?agent_id=610d3f3370540700019b0833","426 Sterling Place, Unit 2B")</f>
        <v>426 Sterling Place, Unit 2B</v>
      </c>
      <c r="C2155" s="25" t="s">
        <v>370</v>
      </c>
      <c r="D2155" s="26" t="s">
        <v>23</v>
      </c>
      <c r="E2155" s="27" t="str">
        <f>HYPERLINK("https://www.compass.com/building/426-sterling-pl-brooklyn-ny-11238/293425804740729509/","426 Sterling Pl")</f>
        <v>426 Sterling Pl</v>
      </c>
      <c r="F2155" s="25" t="s">
        <v>39</v>
      </c>
      <c r="G2155" s="28">
        <v>965000.0</v>
      </c>
      <c r="H2155" s="29"/>
      <c r="I2155" s="28">
        <v>951.0</v>
      </c>
      <c r="J2155" s="29"/>
      <c r="K2155" s="25" t="s">
        <v>25</v>
      </c>
      <c r="L2155" s="26">
        <v>4.0</v>
      </c>
      <c r="M2155" s="26">
        <v>2.0</v>
      </c>
      <c r="N2155" s="26">
        <v>0.0</v>
      </c>
      <c r="O2155" s="26">
        <v>0.0</v>
      </c>
      <c r="P2155" s="30"/>
      <c r="Q2155" s="35">
        <v>172.0</v>
      </c>
      <c r="R2155" s="32">
        <v>45695.0</v>
      </c>
      <c r="S2155" s="32">
        <v>43161.0</v>
      </c>
      <c r="T2155" s="29"/>
      <c r="U2155" s="33"/>
      <c r="V2155" s="1"/>
    </row>
    <row r="2156" ht="24.0" customHeight="1">
      <c r="A2156" s="1"/>
      <c r="B2156" s="24" t="str">
        <f>HYPERLINK("https://www.compass.com/listing/231-west-21st-street-unit-5c-manhattan-ny-10011/66654957461320705/view?agent_id=610d3f3370540700019b0833","231 West 21st Street, Unit 5C")</f>
        <v>231 West 21st Street, Unit 5C</v>
      </c>
      <c r="C2156" s="25" t="s">
        <v>364</v>
      </c>
      <c r="D2156" s="26" t="s">
        <v>23</v>
      </c>
      <c r="E2156" s="27" t="str">
        <f>HYPERLINK("https://www.compass.com/building/231-w-21st-st-manhattan-ny-10011/282064131048114917/","231 W 21st St")</f>
        <v>231 W 21st St</v>
      </c>
      <c r="F2156" s="25" t="s">
        <v>27</v>
      </c>
      <c r="G2156" s="28">
        <v>850000.0</v>
      </c>
      <c r="H2156" s="29"/>
      <c r="I2156" s="28">
        <v>1010.0</v>
      </c>
      <c r="J2156" s="29"/>
      <c r="K2156" s="25" t="s">
        <v>25</v>
      </c>
      <c r="L2156" s="26">
        <v>4.0</v>
      </c>
      <c r="M2156" s="26">
        <v>2.0</v>
      </c>
      <c r="N2156" s="26">
        <v>1.0</v>
      </c>
      <c r="O2156" s="26">
        <v>0.0</v>
      </c>
      <c r="P2156" s="30"/>
      <c r="Q2156" s="35">
        <v>53.0</v>
      </c>
      <c r="R2156" s="32">
        <v>45636.0</v>
      </c>
      <c r="S2156" s="32">
        <v>42949.0</v>
      </c>
      <c r="T2156" s="29"/>
      <c r="U2156" s="33"/>
      <c r="V2156" s="1"/>
    </row>
    <row r="2157" ht="24.0" customHeight="1">
      <c r="A2157" s="1"/>
      <c r="B2157" s="24" t="str">
        <f>HYPERLINK("https://www.compass.com/listing/444-west-19th-street-unit-803-manhattan-ny-10011/4852305779027350065/view?agent_id=610d3f3370540700019b0833","444 West 19th Street, Unit 803")</f>
        <v>444 West 19th Street, Unit 803</v>
      </c>
      <c r="C2157" s="25" t="s">
        <v>370</v>
      </c>
      <c r="D2157" s="26" t="s">
        <v>23</v>
      </c>
      <c r="E2157" s="27" t="str">
        <f>HYPERLINK("https://www.compass.com/building/the-chelsea-club-manhattan-ny/281910522457120389/","The Chelsea Club")</f>
        <v>The Chelsea Club</v>
      </c>
      <c r="F2157" s="25" t="s">
        <v>27</v>
      </c>
      <c r="G2157" s="28">
        <v>1975000.0</v>
      </c>
      <c r="H2157" s="28">
        <v>1429.0</v>
      </c>
      <c r="I2157" s="28">
        <v>2044.0</v>
      </c>
      <c r="J2157" s="28">
        <v>5112.0</v>
      </c>
      <c r="K2157" s="25" t="s">
        <v>28</v>
      </c>
      <c r="L2157" s="26">
        <v>4.0</v>
      </c>
      <c r="M2157" s="26">
        <v>2.0</v>
      </c>
      <c r="N2157" s="26">
        <v>0.0</v>
      </c>
      <c r="O2157" s="26">
        <v>0.0</v>
      </c>
      <c r="P2157" s="34">
        <v>1382.0</v>
      </c>
      <c r="Q2157" s="35">
        <v>0.0</v>
      </c>
      <c r="R2157" s="32">
        <v>44581.0</v>
      </c>
      <c r="S2157" s="32">
        <v>41538.0</v>
      </c>
      <c r="T2157" s="29"/>
      <c r="U2157" s="33"/>
      <c r="V2157" s="1"/>
    </row>
    <row r="2158" ht="24.0" customHeight="1">
      <c r="A2158" s="1"/>
      <c r="B2158" s="24" t="str">
        <f>HYPERLINK("https://www.compass.com/listing/280-st-johns-place-unit-3a-brooklyn-ny-11238/25289948093528065/view?agent_id=610d3f3370540700019b0833","280 St Johns Place, Unit 3A")</f>
        <v>280 St Johns Place, Unit 3A</v>
      </c>
      <c r="C2158" s="25" t="s">
        <v>364</v>
      </c>
      <c r="D2158" s="26" t="s">
        <v>23</v>
      </c>
      <c r="E2158" s="27" t="str">
        <f>HYPERLINK("https://www.compass.com/building/280-st-johns-pl-brooklyn-ny-11238/293526814393894197/","280 St Johns Pl")</f>
        <v>280 St Johns Pl</v>
      </c>
      <c r="F2158" s="25" t="s">
        <v>39</v>
      </c>
      <c r="G2158" s="28">
        <v>749000.0</v>
      </c>
      <c r="H2158" s="29"/>
      <c r="I2158" s="28">
        <v>600.0</v>
      </c>
      <c r="J2158" s="29"/>
      <c r="K2158" s="25" t="s">
        <v>25</v>
      </c>
      <c r="L2158" s="26">
        <v>4.0</v>
      </c>
      <c r="M2158" s="26">
        <v>2.0</v>
      </c>
      <c r="N2158" s="26">
        <v>1.0</v>
      </c>
      <c r="O2158" s="26">
        <v>0.0</v>
      </c>
      <c r="P2158" s="30"/>
      <c r="Q2158" s="35">
        <v>49.0</v>
      </c>
      <c r="R2158" s="32">
        <v>45636.0</v>
      </c>
      <c r="S2158" s="32">
        <v>43178.0</v>
      </c>
      <c r="T2158" s="29"/>
      <c r="U2158" s="33"/>
      <c r="V2158" s="1"/>
    </row>
    <row r="2159" ht="24.0" customHeight="1">
      <c r="A2159" s="1"/>
      <c r="B2159" s="24" t="str">
        <f>HYPERLINK("https://www.compass.com/listing/365-west-20th-street-unit-4e-manhattan-ny-10011/496427303378092673/view?agent_id=610d3f3370540700019b0833","365 West 20th Street, Unit 4E")</f>
        <v>365 West 20th Street, Unit 4E</v>
      </c>
      <c r="C2159" s="25" t="s">
        <v>364</v>
      </c>
      <c r="D2159" s="26" t="s">
        <v>23</v>
      </c>
      <c r="E2159" s="27" t="str">
        <f>HYPERLINK("https://www.compass.com/building/365-w-20th-st-manhattan-ny-10011/292805231895410229/","365 W 20th St")</f>
        <v>365 W 20th St</v>
      </c>
      <c r="F2159" s="25" t="s">
        <v>27</v>
      </c>
      <c r="G2159" s="28">
        <v>865000.0</v>
      </c>
      <c r="H2159" s="29"/>
      <c r="I2159" s="28">
        <v>1683.0</v>
      </c>
      <c r="J2159" s="28">
        <v>0.0</v>
      </c>
      <c r="K2159" s="25" t="s">
        <v>25</v>
      </c>
      <c r="L2159" s="26">
        <v>3.0</v>
      </c>
      <c r="M2159" s="26">
        <v>2.0</v>
      </c>
      <c r="N2159" s="30"/>
      <c r="O2159" s="30"/>
      <c r="P2159" s="30"/>
      <c r="Q2159" s="31"/>
      <c r="R2159" s="32">
        <v>43936.0</v>
      </c>
      <c r="S2159" s="33"/>
      <c r="T2159" s="29"/>
      <c r="U2159" s="33"/>
      <c r="V2159" s="1"/>
    </row>
    <row r="2160" ht="24.0" customHeight="1">
      <c r="A2160" s="1"/>
      <c r="B2160" s="24" t="str">
        <f>HYPERLINK("https://www.compass.com/listing/201-east-21st-street-unit-20j-manhattan-ny-10010/1673976797333437721/view?agent_id=610d3f3370540700019b0833","201 East 21st Street, Unit 20J")</f>
        <v>201 East 21st Street, Unit 20J</v>
      </c>
      <c r="C2160" s="25" t="s">
        <v>365</v>
      </c>
      <c r="D2160" s="26" t="s">
        <v>23</v>
      </c>
      <c r="E2160" s="27" t="str">
        <f t="shared" ref="E2160:E2162" si="36">HYPERLINK("https://www.compass.com/building/quaker-ridge-manhattan-ny/282059474573754133/","Quaker Ridge")</f>
        <v>Quaker Ridge</v>
      </c>
      <c r="F2160" s="25" t="s">
        <v>48</v>
      </c>
      <c r="G2160" s="28">
        <v>1599000.0</v>
      </c>
      <c r="H2160" s="29"/>
      <c r="I2160" s="28">
        <v>1909.0</v>
      </c>
      <c r="J2160" s="28">
        <v>0.0</v>
      </c>
      <c r="K2160" s="25" t="s">
        <v>25</v>
      </c>
      <c r="L2160" s="26">
        <v>4.0</v>
      </c>
      <c r="M2160" s="26">
        <v>2.0</v>
      </c>
      <c r="N2160" s="26">
        <v>1.0</v>
      </c>
      <c r="O2160" s="26">
        <v>0.0</v>
      </c>
      <c r="P2160" s="30"/>
      <c r="Q2160" s="35">
        <v>74.0</v>
      </c>
      <c r="R2160" s="32">
        <v>45635.0</v>
      </c>
      <c r="S2160" s="32">
        <v>45561.0</v>
      </c>
      <c r="T2160" s="29"/>
      <c r="U2160" s="33"/>
      <c r="V2160" s="1"/>
    </row>
    <row r="2161" ht="24.0" customHeight="1">
      <c r="A2161" s="1"/>
      <c r="B2161" s="24" t="str">
        <f>HYPERLINK("https://www.compass.com/listing/201-east-21st-street-unit-20j-manhattan-ny-10010/1566835915193180913/view?agent_id=610d3f3370540700019b0833","201 East 21st Street, Unit 20J")</f>
        <v>201 East 21st Street, Unit 20J</v>
      </c>
      <c r="C2161" s="25" t="s">
        <v>365</v>
      </c>
      <c r="D2161" s="26" t="s">
        <v>23</v>
      </c>
      <c r="E2161" s="27" t="str">
        <f t="shared" si="36"/>
        <v>Quaker Ridge</v>
      </c>
      <c r="F2161" s="25" t="s">
        <v>48</v>
      </c>
      <c r="G2161" s="28">
        <v>1599000.0</v>
      </c>
      <c r="H2161" s="29"/>
      <c r="I2161" s="28">
        <v>1909.0</v>
      </c>
      <c r="J2161" s="28">
        <v>0.0</v>
      </c>
      <c r="K2161" s="25" t="s">
        <v>25</v>
      </c>
      <c r="L2161" s="26">
        <v>4.0</v>
      </c>
      <c r="M2161" s="26">
        <v>2.0</v>
      </c>
      <c r="N2161" s="26">
        <v>1.0</v>
      </c>
      <c r="O2161" s="26">
        <v>0.0</v>
      </c>
      <c r="P2161" s="30"/>
      <c r="Q2161" s="35">
        <v>56.0</v>
      </c>
      <c r="R2161" s="32">
        <v>45470.0</v>
      </c>
      <c r="S2161" s="32">
        <v>45413.0</v>
      </c>
      <c r="T2161" s="29"/>
      <c r="U2161" s="33"/>
      <c r="V2161" s="1"/>
    </row>
    <row r="2162" ht="24.0" customHeight="1">
      <c r="A2162" s="1"/>
      <c r="B2162" s="24" t="str">
        <f>HYPERLINK("https://www.compass.com/listing/201-east-21st-street-unit-20j-manhattan-ny-10010/1730858029043800753/view?agent_id=610d3f3370540700019b0833","201 East 21st Street, Unit 20J")</f>
        <v>201 East 21st Street, Unit 20J</v>
      </c>
      <c r="C2162" s="25" t="s">
        <v>370</v>
      </c>
      <c r="D2162" s="26" t="s">
        <v>23</v>
      </c>
      <c r="E2162" s="27" t="str">
        <f t="shared" si="36"/>
        <v>Quaker Ridge</v>
      </c>
      <c r="F2162" s="25" t="s">
        <v>48</v>
      </c>
      <c r="G2162" s="28">
        <v>1599000.0</v>
      </c>
      <c r="H2162" s="29"/>
      <c r="I2162" s="28">
        <v>1909.0</v>
      </c>
      <c r="J2162" s="28">
        <v>0.0</v>
      </c>
      <c r="K2162" s="25" t="s">
        <v>25</v>
      </c>
      <c r="L2162" s="26">
        <v>4.0</v>
      </c>
      <c r="M2162" s="26">
        <v>2.0</v>
      </c>
      <c r="N2162" s="26">
        <v>1.0</v>
      </c>
      <c r="O2162" s="26">
        <v>0.0</v>
      </c>
      <c r="P2162" s="30"/>
      <c r="Q2162" s="31"/>
      <c r="R2162" s="32">
        <v>45726.0</v>
      </c>
      <c r="S2162" s="33"/>
      <c r="T2162" s="29"/>
      <c r="U2162" s="33"/>
      <c r="V2162" s="1"/>
    </row>
    <row r="2163" ht="24.0" customHeight="1">
      <c r="A2163" s="1"/>
      <c r="B2163" s="24" t="str">
        <f>HYPERLINK("https://www.compass.com/listing/450-west-17th-street-unit-1608-manhattan-ny-10011/29369922513610289/view?agent_id=610d3f3370540700019b0833","450 West 17th Street, Unit 1608")</f>
        <v>450 West 17th Street, Unit 1608</v>
      </c>
      <c r="C2163" s="25" t="s">
        <v>370</v>
      </c>
      <c r="D2163" s="26" t="s">
        <v>23</v>
      </c>
      <c r="E2163" s="27" t="str">
        <f>HYPERLINK("https://www.compass.com/building/the-caledonia-manhattan-ny/281910674349645621/","The Caledonia")</f>
        <v>The Caledonia</v>
      </c>
      <c r="F2163" s="25" t="s">
        <v>27</v>
      </c>
      <c r="G2163" s="28">
        <v>2895000.0</v>
      </c>
      <c r="H2163" s="28">
        <v>2287.0</v>
      </c>
      <c r="I2163" s="28">
        <v>1594.0</v>
      </c>
      <c r="J2163" s="28">
        <v>3456.0</v>
      </c>
      <c r="K2163" s="25" t="s">
        <v>28</v>
      </c>
      <c r="L2163" s="26">
        <v>4.0</v>
      </c>
      <c r="M2163" s="26">
        <v>2.0</v>
      </c>
      <c r="N2163" s="26">
        <v>0.0</v>
      </c>
      <c r="O2163" s="26">
        <v>0.0</v>
      </c>
      <c r="P2163" s="34">
        <v>1266.0</v>
      </c>
      <c r="Q2163" s="35">
        <v>0.0</v>
      </c>
      <c r="R2163" s="32">
        <v>45636.0</v>
      </c>
      <c r="S2163" s="32">
        <v>41367.0</v>
      </c>
      <c r="T2163" s="29"/>
      <c r="U2163" s="33"/>
      <c r="V2163" s="1"/>
    </row>
    <row r="2164" ht="24.0" customHeight="1">
      <c r="A2164" s="1"/>
      <c r="B2164" s="24" t="str">
        <f>HYPERLINK("https://www.compass.com/listing/15-west-17th-street-unit-2-manhattan-ny-10011/919026322977376425/view?agent_id=610d3f3370540700019b0833","15 West 17th Street, Unit 2")</f>
        <v>15 West 17th Street, Unit 2</v>
      </c>
      <c r="C2164" s="25" t="s">
        <v>370</v>
      </c>
      <c r="D2164" s="26" t="s">
        <v>23</v>
      </c>
      <c r="E2164" s="27" t="str">
        <f>HYPERLINK("https://www.compass.com/building/15-w-17th-st-manhattan-ny-10011/281905612495800693/","15 W 17th St")</f>
        <v>15 W 17th St</v>
      </c>
      <c r="F2164" s="25" t="s">
        <v>115</v>
      </c>
      <c r="G2164" s="28">
        <v>2995000.0</v>
      </c>
      <c r="H2164" s="28">
        <v>1348.0</v>
      </c>
      <c r="I2164" s="28">
        <v>3329.0</v>
      </c>
      <c r="J2164" s="28">
        <v>25668.0</v>
      </c>
      <c r="K2164" s="25" t="s">
        <v>28</v>
      </c>
      <c r="L2164" s="26">
        <v>5.0</v>
      </c>
      <c r="M2164" s="26">
        <v>2.0</v>
      </c>
      <c r="N2164" s="26">
        <v>0.0</v>
      </c>
      <c r="O2164" s="26">
        <v>0.0</v>
      </c>
      <c r="P2164" s="34">
        <v>2221.0</v>
      </c>
      <c r="Q2164" s="35">
        <v>116.0</v>
      </c>
      <c r="R2164" s="32">
        <v>44581.0</v>
      </c>
      <c r="S2164" s="32">
        <v>41808.0</v>
      </c>
      <c r="T2164" s="29"/>
      <c r="U2164" s="33"/>
      <c r="V2164" s="1"/>
    </row>
    <row r="2165" ht="24.0" customHeight="1">
      <c r="A2165" s="1"/>
      <c r="B2165" s="24" t="str">
        <f>HYPERLINK("https://www.compass.com/listing/450-west-17th-street-unit-ph3-manhattan-ny-10011/81020013737167777/view?agent_id=610d3f3370540700019b0833","450 West 17th Street, Unit PH3")</f>
        <v>450 West 17th Street, Unit PH3</v>
      </c>
      <c r="C2165" s="25" t="s">
        <v>364</v>
      </c>
      <c r="D2165" s="26" t="s">
        <v>23</v>
      </c>
      <c r="E2165" s="27" t="str">
        <f>HYPERLINK("https://www.compass.com/building/the-caledonia-manhattan-ny/281910674349645621/","The Caledonia")</f>
        <v>The Caledonia</v>
      </c>
      <c r="F2165" s="25" t="s">
        <v>27</v>
      </c>
      <c r="G2165" s="28">
        <v>2995000.0</v>
      </c>
      <c r="H2165" s="28">
        <v>2885.0</v>
      </c>
      <c r="I2165" s="28">
        <v>2363.0</v>
      </c>
      <c r="J2165" s="28">
        <v>13400.0</v>
      </c>
      <c r="K2165" s="25" t="s">
        <v>28</v>
      </c>
      <c r="L2165" s="26">
        <v>4.0</v>
      </c>
      <c r="M2165" s="26">
        <v>2.0</v>
      </c>
      <c r="N2165" s="30"/>
      <c r="O2165" s="30"/>
      <c r="P2165" s="34">
        <v>1038.0</v>
      </c>
      <c r="Q2165" s="35">
        <v>376.0</v>
      </c>
      <c r="R2165" s="32">
        <v>43837.0</v>
      </c>
      <c r="S2165" s="32">
        <v>43382.0</v>
      </c>
      <c r="T2165" s="29"/>
      <c r="U2165" s="33"/>
      <c r="V2165" s="1"/>
    </row>
    <row r="2166" ht="24.0" customHeight="1">
      <c r="A2166" s="1"/>
      <c r="B2166" s="24" t="str">
        <f>HYPERLINK("https://www.compass.com/listing/258-broadway-unit-3d-manhattan-ny-10007/1297908246436020481/view?agent_id=610d3f3370540700019b0833","258 Broadway, Unit 3D")</f>
        <v>258 Broadway, Unit 3D</v>
      </c>
      <c r="C2166" s="25" t="s">
        <v>364</v>
      </c>
      <c r="D2166" s="26" t="s">
        <v>23</v>
      </c>
      <c r="E2166" s="27" t="str">
        <f>HYPERLINK("https://www.compass.com/building/city-hall-tower-manhattan-ny/282058464979614261/","City Hall Tower")</f>
        <v>City Hall Tower</v>
      </c>
      <c r="F2166" s="25" t="s">
        <v>60</v>
      </c>
      <c r="G2166" s="28">
        <v>1395000.0</v>
      </c>
      <c r="H2166" s="29"/>
      <c r="I2166" s="28">
        <v>2406.0</v>
      </c>
      <c r="J2166" s="28">
        <v>0.0</v>
      </c>
      <c r="K2166" s="25" t="s">
        <v>25</v>
      </c>
      <c r="L2166" s="26">
        <v>2.0</v>
      </c>
      <c r="M2166" s="26">
        <v>2.0</v>
      </c>
      <c r="N2166" s="30"/>
      <c r="O2166" s="30"/>
      <c r="P2166" s="30"/>
      <c r="Q2166" s="35">
        <v>185.0</v>
      </c>
      <c r="R2166" s="32">
        <v>45251.0</v>
      </c>
      <c r="S2166" s="32">
        <v>45042.0</v>
      </c>
      <c r="T2166" s="29"/>
      <c r="U2166" s="33"/>
      <c r="V2166" s="1"/>
    </row>
    <row r="2167" ht="24.0" customHeight="1">
      <c r="A2167" s="1"/>
      <c r="B2167" s="24" t="str">
        <f>HYPERLINK("https://www.compass.com/listing/3-gramercy-park-west-unit-parlor-manhattan-ny-10003/373182201874610769/view?agent_id=610d3f3370540700019b0833","3 Gramercy Park West, Unit PARLOR")</f>
        <v>3 Gramercy Park West, Unit PARLOR</v>
      </c>
      <c r="C2167" s="25" t="s">
        <v>364</v>
      </c>
      <c r="D2167" s="26" t="s">
        <v>23</v>
      </c>
      <c r="E2167" s="27" t="str">
        <f>HYPERLINK("https://www.compass.com/building/3-gramercy-park-w-manhattan-ny-10003/281891858735438469/","3 Gramercy Park W")</f>
        <v>3 Gramercy Park W</v>
      </c>
      <c r="F2167" s="25" t="s">
        <v>48</v>
      </c>
      <c r="G2167" s="28">
        <v>5700000.0</v>
      </c>
      <c r="H2167" s="28">
        <v>2850.0</v>
      </c>
      <c r="I2167" s="28">
        <v>3280.0</v>
      </c>
      <c r="J2167" s="29"/>
      <c r="K2167" s="25" t="s">
        <v>248</v>
      </c>
      <c r="L2167" s="26">
        <v>5.0</v>
      </c>
      <c r="M2167" s="26">
        <v>2.0</v>
      </c>
      <c r="N2167" s="26">
        <v>0.0</v>
      </c>
      <c r="O2167" s="26">
        <v>0.0</v>
      </c>
      <c r="P2167" s="34">
        <v>2000.0</v>
      </c>
      <c r="Q2167" s="35">
        <v>393.0</v>
      </c>
      <c r="R2167" s="32">
        <v>45636.0</v>
      </c>
      <c r="S2167" s="32">
        <v>41458.0</v>
      </c>
      <c r="T2167" s="29"/>
      <c r="U2167" s="33"/>
      <c r="V2167" s="1"/>
    </row>
    <row r="2168" ht="24.0" customHeight="1">
      <c r="A2168" s="1"/>
      <c r="B2168" s="24" t="str">
        <f>HYPERLINK("https://www.compass.com/listing/44-gramercy-park-north-unit-12a-manhattan-ny-10010/1838981511144426489/view?agent_id=610d3f3370540700019b0833","44 Gramercy Park North, Unit 12A")</f>
        <v>44 Gramercy Park North, Unit 12A</v>
      </c>
      <c r="C2168" s="25" t="s">
        <v>364</v>
      </c>
      <c r="D2168" s="26" t="s">
        <v>23</v>
      </c>
      <c r="E2168" s="27" t="str">
        <f>HYPERLINK("https://www.compass.com/building/gramercy-owners-td-manhattan-ny/281903545358240389/","Gramercy Owners td")</f>
        <v>Gramercy Owners td</v>
      </c>
      <c r="F2168" s="25" t="s">
        <v>48</v>
      </c>
      <c r="G2168" s="28">
        <v>5500000.0</v>
      </c>
      <c r="H2168" s="28">
        <v>2944.0</v>
      </c>
      <c r="I2168" s="28">
        <v>4901.0</v>
      </c>
      <c r="J2168" s="29"/>
      <c r="K2168" s="25" t="s">
        <v>25</v>
      </c>
      <c r="L2168" s="26">
        <v>0.0</v>
      </c>
      <c r="M2168" s="26">
        <v>2.0</v>
      </c>
      <c r="N2168" s="26">
        <v>0.0</v>
      </c>
      <c r="O2168" s="26">
        <v>1.0</v>
      </c>
      <c r="P2168" s="34">
        <v>1868.0</v>
      </c>
      <c r="Q2168" s="31"/>
      <c r="R2168" s="32">
        <v>44581.0</v>
      </c>
      <c r="S2168" s="33"/>
      <c r="T2168" s="29"/>
      <c r="U2168" s="33"/>
      <c r="V2168" s="1"/>
    </row>
    <row r="2169" ht="24.0" customHeight="1">
      <c r="A2169" s="1"/>
      <c r="B2169" s="24" t="str">
        <f>HYPERLINK("https://www.compass.com/listing/169-spring-street-unit-6-manhattan-ny-10012/4852278593469824065/view?agent_id=610d3f3370540700019b0833","169 Spring Street, Unit 6")</f>
        <v>169 Spring Street, Unit 6</v>
      </c>
      <c r="C2169" s="25" t="s">
        <v>370</v>
      </c>
      <c r="D2169" s="26" t="s">
        <v>23</v>
      </c>
      <c r="E2169" s="27" t="str">
        <f>HYPERLINK("https://www.compass.com/building/169-spring-st-manhattan-ny-10012/292809542582961269/","169 Spring St")</f>
        <v>169 Spring St</v>
      </c>
      <c r="F2169" s="25" t="s">
        <v>53</v>
      </c>
      <c r="G2169" s="28">
        <v>2999000.0</v>
      </c>
      <c r="H2169" s="28">
        <v>1418.0</v>
      </c>
      <c r="I2169" s="28">
        <v>1884.0</v>
      </c>
      <c r="J2169" s="29"/>
      <c r="K2169" s="25" t="s">
        <v>25</v>
      </c>
      <c r="L2169" s="26">
        <v>5.0</v>
      </c>
      <c r="M2169" s="26">
        <v>2.0</v>
      </c>
      <c r="N2169" s="26">
        <v>0.0</v>
      </c>
      <c r="O2169" s="26">
        <v>0.0</v>
      </c>
      <c r="P2169" s="34">
        <v>2115.0</v>
      </c>
      <c r="Q2169" s="35">
        <v>369.0</v>
      </c>
      <c r="R2169" s="32">
        <v>45636.0</v>
      </c>
      <c r="S2169" s="32">
        <v>42564.0</v>
      </c>
      <c r="T2169" s="29"/>
      <c r="U2169" s="33"/>
      <c r="V2169" s="1"/>
    </row>
    <row r="2170" ht="24.0" customHeight="1">
      <c r="A2170" s="1"/>
      <c r="B2170" s="24" t="str">
        <f>HYPERLINK("https://www.compass.com/listing/167-park-place-unit-4-brooklyn-ny-11238/646948930356278449/view?agent_id=610d3f3370540700019b0833","167 Park Place, Unit 4")</f>
        <v>167 Park Place, Unit 4</v>
      </c>
      <c r="C2170" s="25" t="s">
        <v>364</v>
      </c>
      <c r="D2170" s="26" t="s">
        <v>23</v>
      </c>
      <c r="E2170" s="27" t="str">
        <f>HYPERLINK("https://www.compass.com/building/167-park-pl-brooklyn-ny-11238/293424320342987189/","167 Park Pl")</f>
        <v>167 Park Pl</v>
      </c>
      <c r="F2170" s="25" t="s">
        <v>39</v>
      </c>
      <c r="G2170" s="28">
        <v>550000.0</v>
      </c>
      <c r="H2170" s="29"/>
      <c r="I2170" s="28">
        <v>1345.0</v>
      </c>
      <c r="J2170" s="28">
        <v>0.0</v>
      </c>
      <c r="K2170" s="25" t="s">
        <v>25</v>
      </c>
      <c r="L2170" s="26">
        <v>4.0</v>
      </c>
      <c r="M2170" s="26">
        <v>2.0</v>
      </c>
      <c r="N2170" s="26">
        <v>1.0</v>
      </c>
      <c r="O2170" s="30"/>
      <c r="P2170" s="30"/>
      <c r="Q2170" s="35">
        <v>90.0</v>
      </c>
      <c r="R2170" s="32">
        <v>44239.0</v>
      </c>
      <c r="S2170" s="32">
        <v>44148.0</v>
      </c>
      <c r="T2170" s="29"/>
      <c r="U2170" s="33"/>
      <c r="V2170" s="1"/>
    </row>
    <row r="2171" ht="24.0" customHeight="1">
      <c r="A2171" s="1"/>
      <c r="B2171" s="24" t="str">
        <f>HYPERLINK("https://www.compass.com/listing/133-west-22nd-street-unit-12b-manhattan-ny-10011/1838894128902199481/view?agent_id=610d3f3370540700019b0833","133 West 22nd Street, Unit 12B")</f>
        <v>133 West 22nd Street, Unit 12B</v>
      </c>
      <c r="C2171" s="25" t="s">
        <v>364</v>
      </c>
      <c r="D2171" s="26" t="s">
        <v>23</v>
      </c>
      <c r="E2171" s="27" t="str">
        <f t="shared" ref="E2171:E2173" si="37">HYPERLINK("https://www.compass.com/building/133-w-22nd-st-manhattan-ny-10011/281905125528719285/","133 W 22nd St")</f>
        <v>133 W 22nd St</v>
      </c>
      <c r="F2171" s="25" t="s">
        <v>27</v>
      </c>
      <c r="G2171" s="28">
        <v>2950000.0</v>
      </c>
      <c r="H2171" s="28">
        <v>2125.0</v>
      </c>
      <c r="I2171" s="28">
        <v>2775.0</v>
      </c>
      <c r="J2171" s="28">
        <v>16104.0</v>
      </c>
      <c r="K2171" s="25" t="s">
        <v>28</v>
      </c>
      <c r="L2171" s="26">
        <v>5.0</v>
      </c>
      <c r="M2171" s="26">
        <v>2.0</v>
      </c>
      <c r="N2171" s="26">
        <v>0.0</v>
      </c>
      <c r="O2171" s="26">
        <v>0.0</v>
      </c>
      <c r="P2171" s="34">
        <v>1388.0</v>
      </c>
      <c r="Q2171" s="35">
        <v>498.0</v>
      </c>
      <c r="R2171" s="32">
        <v>45636.0</v>
      </c>
      <c r="S2171" s="32">
        <v>42437.0</v>
      </c>
      <c r="T2171" s="29"/>
      <c r="U2171" s="33"/>
      <c r="V2171" s="1"/>
    </row>
    <row r="2172" ht="24.0" customHeight="1">
      <c r="A2172" s="1"/>
      <c r="B2172" s="24" t="str">
        <f>HYPERLINK("https://www.compass.com/listing/133-west-22nd-street-unit-12b-manhattan-ny-10011/1838911550816456729/view?agent_id=610d3f3370540700019b0833","133 West 22nd Street, Unit 12B")</f>
        <v>133 West 22nd Street, Unit 12B</v>
      </c>
      <c r="C2172" s="25" t="s">
        <v>364</v>
      </c>
      <c r="D2172" s="26" t="s">
        <v>23</v>
      </c>
      <c r="E2172" s="27" t="str">
        <f t="shared" si="37"/>
        <v>133 W 22nd St</v>
      </c>
      <c r="F2172" s="25" t="s">
        <v>27</v>
      </c>
      <c r="G2172" s="28">
        <v>2650000.0</v>
      </c>
      <c r="H2172" s="28">
        <v>1909.0</v>
      </c>
      <c r="I2172" s="28">
        <v>3387.0</v>
      </c>
      <c r="J2172" s="28">
        <v>22776.0</v>
      </c>
      <c r="K2172" s="25" t="s">
        <v>28</v>
      </c>
      <c r="L2172" s="26">
        <v>5.0</v>
      </c>
      <c r="M2172" s="26">
        <v>2.0</v>
      </c>
      <c r="N2172" s="26">
        <v>0.0</v>
      </c>
      <c r="O2172" s="26">
        <v>0.0</v>
      </c>
      <c r="P2172" s="34">
        <v>1388.0</v>
      </c>
      <c r="Q2172" s="35">
        <v>306.0</v>
      </c>
      <c r="R2172" s="32">
        <v>45636.0</v>
      </c>
      <c r="S2172" s="32">
        <v>42865.0</v>
      </c>
      <c r="T2172" s="29"/>
      <c r="U2172" s="33"/>
      <c r="V2172" s="1"/>
    </row>
    <row r="2173" ht="24.0" customHeight="1">
      <c r="A2173" s="1"/>
      <c r="B2173" s="24" t="str">
        <f>HYPERLINK("https://www.compass.com/listing/133-west-22nd-street-unit-12-b-manhattan-ny-10011/29510297152679585/view?agent_id=610d3f3370540700019b0833","133 West 22nd Street, Unit 12/B")</f>
        <v>133 West 22nd Street, Unit 12/B</v>
      </c>
      <c r="C2173" s="25" t="s">
        <v>364</v>
      </c>
      <c r="D2173" s="26" t="s">
        <v>23</v>
      </c>
      <c r="E2173" s="27" t="str">
        <f t="shared" si="37"/>
        <v>133 W 22nd St</v>
      </c>
      <c r="F2173" s="25" t="s">
        <v>27</v>
      </c>
      <c r="G2173" s="28">
        <v>2950000.0</v>
      </c>
      <c r="H2173" s="28">
        <v>2125.0</v>
      </c>
      <c r="I2173" s="28">
        <v>2775.0</v>
      </c>
      <c r="J2173" s="28">
        <v>16104.0</v>
      </c>
      <c r="K2173" s="25" t="s">
        <v>28</v>
      </c>
      <c r="L2173" s="26">
        <v>5.0</v>
      </c>
      <c r="M2173" s="26">
        <v>2.0</v>
      </c>
      <c r="N2173" s="26">
        <v>0.0</v>
      </c>
      <c r="O2173" s="26">
        <v>0.0</v>
      </c>
      <c r="P2173" s="34">
        <v>1388.0</v>
      </c>
      <c r="Q2173" s="35">
        <v>109.0</v>
      </c>
      <c r="R2173" s="32">
        <v>44581.0</v>
      </c>
      <c r="S2173" s="32">
        <v>42636.0</v>
      </c>
      <c r="T2173" s="29"/>
      <c r="U2173" s="33"/>
      <c r="V2173" s="1"/>
    </row>
    <row r="2174" ht="24.0" customHeight="1">
      <c r="A2174" s="1"/>
      <c r="B2174" s="24" t="str">
        <f>HYPERLINK("https://www.compass.com/listing/172-west-79th-street-unit-11a-manhattan-ny-10024/29394193071756561/view?agent_id=610d3f3370540700019b0833","172 West 79th Street, Unit 11A")</f>
        <v>172 West 79th Street, Unit 11A</v>
      </c>
      <c r="C2174" s="25" t="s">
        <v>364</v>
      </c>
      <c r="D2174" s="26" t="s">
        <v>23</v>
      </c>
      <c r="E2174" s="27" t="str">
        <f>HYPERLINK("https://www.compass.com/building/172-w-79th-st-manhattan-ny-10024/281963369278287941/","172 W 79th St")</f>
        <v>172 W 79th St</v>
      </c>
      <c r="F2174" s="25" t="s">
        <v>29</v>
      </c>
      <c r="G2174" s="28">
        <v>2250000.0</v>
      </c>
      <c r="H2174" s="28">
        <v>1800.0</v>
      </c>
      <c r="I2174" s="28">
        <v>1661.0</v>
      </c>
      <c r="J2174" s="28">
        <v>4284.0</v>
      </c>
      <c r="K2174" s="25" t="s">
        <v>28</v>
      </c>
      <c r="L2174" s="26">
        <v>4.0</v>
      </c>
      <c r="M2174" s="26">
        <v>2.0</v>
      </c>
      <c r="N2174" s="26">
        <v>0.0</v>
      </c>
      <c r="O2174" s="26">
        <v>0.0</v>
      </c>
      <c r="P2174" s="34">
        <v>1250.0</v>
      </c>
      <c r="Q2174" s="35">
        <v>109.0</v>
      </c>
      <c r="R2174" s="32">
        <v>45636.0</v>
      </c>
      <c r="S2174" s="32">
        <v>42464.0</v>
      </c>
      <c r="T2174" s="29"/>
      <c r="U2174" s="33"/>
      <c r="V2174" s="1"/>
    </row>
    <row r="2175" ht="24.0" customHeight="1">
      <c r="A2175" s="1"/>
      <c r="B2175" s="24" t="str">
        <f>HYPERLINK("https://www.compass.com/listing/220-manhattan-avenue-unit-8h-manhattan-ny-10025/1524835993770065737/view?agent_id=610d3f3370540700019b0833","220 Manhattan Avenue, Unit 8H")</f>
        <v>220 Manhattan Avenue, Unit 8H</v>
      </c>
      <c r="C2175" s="25" t="s">
        <v>365</v>
      </c>
      <c r="D2175" s="26" t="s">
        <v>23</v>
      </c>
      <c r="E2175" s="27" t="str">
        <f>HYPERLINK("https://www.compass.com/building/towers-on-the-park-manhattan-ny/455672565349083653/","Towers on the Park")</f>
        <v>Towers on the Park</v>
      </c>
      <c r="F2175" s="25" t="s">
        <v>29</v>
      </c>
      <c r="G2175" s="28">
        <v>875000.0</v>
      </c>
      <c r="H2175" s="28">
        <v>983.0</v>
      </c>
      <c r="I2175" s="28">
        <v>1756.0</v>
      </c>
      <c r="J2175" s="28">
        <v>12109.0</v>
      </c>
      <c r="K2175" s="25" t="s">
        <v>28</v>
      </c>
      <c r="L2175" s="26">
        <v>5.0</v>
      </c>
      <c r="M2175" s="26">
        <v>2.0</v>
      </c>
      <c r="N2175" s="26">
        <v>1.0</v>
      </c>
      <c r="O2175" s="26">
        <v>0.0</v>
      </c>
      <c r="P2175" s="26">
        <v>890.0</v>
      </c>
      <c r="Q2175" s="35">
        <v>42.0</v>
      </c>
      <c r="R2175" s="32">
        <v>45397.0</v>
      </c>
      <c r="S2175" s="32">
        <v>45355.0</v>
      </c>
      <c r="T2175" s="29"/>
      <c r="U2175" s="33"/>
      <c r="V2175" s="1"/>
    </row>
    <row r="2176" ht="24.0" customHeight="1">
      <c r="A2176" s="1"/>
      <c r="B2176" s="24" t="str">
        <f>HYPERLINK("https://www.compass.com/listing/480-central-park-west-unit-4c-manhattan-ny-10025/1838954297157377601/view?agent_id=610d3f3370540700019b0833","480 Central Park West, Unit 4C")</f>
        <v>480 Central Park West, Unit 4C</v>
      </c>
      <c r="C2176" s="25" t="s">
        <v>364</v>
      </c>
      <c r="D2176" s="26" t="s">
        <v>23</v>
      </c>
      <c r="E2176" s="27" t="str">
        <f>HYPERLINK("https://www.compass.com/building/480-central-park-w-manhattan-ny-10025/282066501895229845/","480 Central Park W")</f>
        <v>480 Central Park W</v>
      </c>
      <c r="F2176" s="25" t="s">
        <v>29</v>
      </c>
      <c r="G2176" s="28">
        <v>870000.0</v>
      </c>
      <c r="H2176" s="29"/>
      <c r="I2176" s="28">
        <v>154349.0</v>
      </c>
      <c r="J2176" s="28">
        <v>927888.0</v>
      </c>
      <c r="K2176" s="25" t="s">
        <v>28</v>
      </c>
      <c r="L2176" s="26">
        <v>4.0</v>
      </c>
      <c r="M2176" s="26">
        <v>2.0</v>
      </c>
      <c r="N2176" s="26">
        <v>1.0</v>
      </c>
      <c r="O2176" s="26">
        <v>0.0</v>
      </c>
      <c r="P2176" s="30"/>
      <c r="Q2176" s="35">
        <v>12.0</v>
      </c>
      <c r="R2176" s="32">
        <v>45636.0</v>
      </c>
      <c r="S2176" s="32">
        <v>44406.0</v>
      </c>
      <c r="T2176" s="29"/>
      <c r="U2176" s="33"/>
      <c r="V2176" s="1"/>
    </row>
    <row r="2177" ht="24.0" customHeight="1">
      <c r="A2177" s="1"/>
      <c r="B2177" s="24" t="str">
        <f>HYPERLINK("https://www.compass.com/listing/480-central-park-west-unit-4c-manhattan-ny-10025/836710528010891273/view?agent_id=610d3f3370540700019b0833","480 Central Park West, Unit 4C")</f>
        <v>480 Central Park West, Unit 4C</v>
      </c>
      <c r="C2177" s="25" t="s">
        <v>364</v>
      </c>
      <c r="D2177" s="26" t="s">
        <v>23</v>
      </c>
      <c r="E2177" s="27" t="str">
        <f>HYPERLINK("https://www.compass.com/building/480-central-park-west-manhattan-ny-10025/282066501895229845/","480 Central Park West")</f>
        <v>480 Central Park West</v>
      </c>
      <c r="F2177" s="25" t="s">
        <v>29</v>
      </c>
      <c r="G2177" s="28">
        <v>870000.0</v>
      </c>
      <c r="H2177" s="29"/>
      <c r="I2177" s="28">
        <v>154349.0</v>
      </c>
      <c r="J2177" s="28">
        <v>927888.0</v>
      </c>
      <c r="K2177" s="25" t="s">
        <v>28</v>
      </c>
      <c r="L2177" s="26">
        <v>4.0</v>
      </c>
      <c r="M2177" s="26">
        <v>2.0</v>
      </c>
      <c r="N2177" s="26">
        <v>1.0</v>
      </c>
      <c r="O2177" s="26">
        <v>0.0</v>
      </c>
      <c r="P2177" s="30"/>
      <c r="Q2177" s="35">
        <v>103.0</v>
      </c>
      <c r="R2177" s="32">
        <v>44581.0</v>
      </c>
      <c r="S2177" s="32">
        <v>44405.0</v>
      </c>
      <c r="T2177" s="29"/>
      <c r="U2177" s="33"/>
      <c r="V2177" s="1"/>
    </row>
    <row r="2178" ht="24.0" customHeight="1">
      <c r="A2178" s="1"/>
      <c r="B2178" s="24" t="str">
        <f>HYPERLINK("https://www.compass.com/listing/101-west-24th-street-unit-9b-manhattan-ny-10011/29373661668523713/view?agent_id=610d3f3370540700019b0833","101 West 24th Street, Unit 9B")</f>
        <v>101 West 24th Street, Unit 9B</v>
      </c>
      <c r="C2178" s="25" t="s">
        <v>364</v>
      </c>
      <c r="D2178" s="26" t="s">
        <v>23</v>
      </c>
      <c r="E2178" s="27" t="str">
        <f>HYPERLINK("https://www.compass.com/building/chelsea-stratus-manhattan-ny/294845224777812053/","Chelsea Stratus")</f>
        <v>Chelsea Stratus</v>
      </c>
      <c r="F2178" s="25" t="s">
        <v>27</v>
      </c>
      <c r="G2178" s="28">
        <v>2450000.0</v>
      </c>
      <c r="H2178" s="28">
        <v>1973.0</v>
      </c>
      <c r="I2178" s="28">
        <v>2302.0</v>
      </c>
      <c r="J2178" s="28">
        <v>15228.0</v>
      </c>
      <c r="K2178" s="25" t="s">
        <v>28</v>
      </c>
      <c r="L2178" s="26">
        <v>4.0</v>
      </c>
      <c r="M2178" s="26">
        <v>2.0</v>
      </c>
      <c r="N2178" s="26">
        <v>0.0</v>
      </c>
      <c r="O2178" s="26">
        <v>0.0</v>
      </c>
      <c r="P2178" s="34">
        <v>1242.0</v>
      </c>
      <c r="Q2178" s="35">
        <v>645.0</v>
      </c>
      <c r="R2178" s="32">
        <v>45636.0</v>
      </c>
      <c r="S2178" s="32">
        <v>42269.0</v>
      </c>
      <c r="T2178" s="29"/>
      <c r="U2178" s="33"/>
      <c r="V2178" s="1"/>
    </row>
    <row r="2179" ht="24.0" customHeight="1">
      <c r="A2179" s="1"/>
      <c r="B2179" s="24" t="str">
        <f>HYPERLINK("https://www.compass.com/listing/217-west-19th-street-unit-6s-manhattan-ny-10011/803300496676986041/view?agent_id=610d3f3370540700019b0833","217 West 19th Street, Unit 6S")</f>
        <v>217 West 19th Street, Unit 6S</v>
      </c>
      <c r="C2179" s="25" t="s">
        <v>364</v>
      </c>
      <c r="D2179" s="26" t="s">
        <v>23</v>
      </c>
      <c r="E2179" s="27" t="str">
        <f>HYPERLINK("https://www.compass.com/building/217-w-19th-st-manhattan-ny-10011/281906914114162965/","217 W 19th St")</f>
        <v>217 W 19th St</v>
      </c>
      <c r="F2179" s="25" t="s">
        <v>27</v>
      </c>
      <c r="G2179" s="28">
        <v>3495000.0</v>
      </c>
      <c r="H2179" s="28">
        <v>1724.0</v>
      </c>
      <c r="I2179" s="28">
        <v>3116.0</v>
      </c>
      <c r="J2179" s="28">
        <v>21228.0</v>
      </c>
      <c r="K2179" s="25" t="s">
        <v>28</v>
      </c>
      <c r="L2179" s="26">
        <v>5.0</v>
      </c>
      <c r="M2179" s="26">
        <v>2.0</v>
      </c>
      <c r="N2179" s="26">
        <v>0.0</v>
      </c>
      <c r="O2179" s="26">
        <v>0.0</v>
      </c>
      <c r="P2179" s="34">
        <v>2027.0</v>
      </c>
      <c r="Q2179" s="35">
        <v>96.0</v>
      </c>
      <c r="R2179" s="32">
        <v>45636.0</v>
      </c>
      <c r="S2179" s="32">
        <v>42452.0</v>
      </c>
      <c r="T2179" s="29"/>
      <c r="U2179" s="33"/>
      <c r="V2179" s="1"/>
    </row>
    <row r="2180" ht="24.0" customHeight="1">
      <c r="A2180" s="1"/>
      <c r="B2180" s="24" t="str">
        <f>HYPERLINK("https://www.compass.com/listing/211-west-14th-street-unit-8b-manhattan-ny-10011/1838887061399022137/view?agent_id=610d3f3370540700019b0833","211 West 14th Street, Unit 8B")</f>
        <v>211 West 14th Street, Unit 8B</v>
      </c>
      <c r="C2180" s="25" t="s">
        <v>364</v>
      </c>
      <c r="D2180" s="26" t="s">
        <v>23</v>
      </c>
      <c r="E2180" s="27" t="str">
        <f>HYPERLINK("https://www.compass.com/building/dorsay-manhattan-ny/292801633543285477/","d'Orsay")</f>
        <v>d'Orsay</v>
      </c>
      <c r="F2180" s="25" t="s">
        <v>27</v>
      </c>
      <c r="G2180" s="28">
        <v>3450000.0</v>
      </c>
      <c r="H2180" s="28">
        <v>2571.0</v>
      </c>
      <c r="I2180" s="28">
        <v>3806.0</v>
      </c>
      <c r="J2180" s="28">
        <v>12780.0</v>
      </c>
      <c r="K2180" s="25" t="s">
        <v>28</v>
      </c>
      <c r="L2180" s="26">
        <v>4.0</v>
      </c>
      <c r="M2180" s="26">
        <v>2.0</v>
      </c>
      <c r="N2180" s="26">
        <v>0.0</v>
      </c>
      <c r="O2180" s="26">
        <v>0.0</v>
      </c>
      <c r="P2180" s="34">
        <v>1342.0</v>
      </c>
      <c r="Q2180" s="35">
        <v>364.0</v>
      </c>
      <c r="R2180" s="32">
        <v>45636.0</v>
      </c>
      <c r="S2180" s="32">
        <v>42807.0</v>
      </c>
      <c r="T2180" s="29"/>
      <c r="U2180" s="33"/>
      <c r="V2180" s="1"/>
    </row>
    <row r="2181" ht="24.0" customHeight="1">
      <c r="A2181" s="1"/>
      <c r="B2181" s="24" t="str">
        <f>HYPERLINK("https://www.compass.com/listing/149-west-22nd-street-unit-1-manhattan-ny-10011/919761295263172489/view?agent_id=610d3f3370540700019b0833","149 West 22nd Street, Unit 1/")</f>
        <v>149 West 22nd Street, Unit 1/</v>
      </c>
      <c r="C2181" s="25" t="s">
        <v>364</v>
      </c>
      <c r="D2181" s="26" t="s">
        <v>23</v>
      </c>
      <c r="E2181" s="27" t="str">
        <f>HYPERLINK("https://www.compass.com/building/149-w-22nd-st-manhattan-ny-10011/307454155488521557/","149 W 22nd St")</f>
        <v>149 W 22nd St</v>
      </c>
      <c r="F2181" s="25" t="s">
        <v>27</v>
      </c>
      <c r="G2181" s="28">
        <v>3395000.0</v>
      </c>
      <c r="H2181" s="28">
        <v>1306.0</v>
      </c>
      <c r="I2181" s="28">
        <v>3171.0</v>
      </c>
      <c r="J2181" s="29"/>
      <c r="K2181" s="25" t="s">
        <v>25</v>
      </c>
      <c r="L2181" s="26">
        <v>5.0</v>
      </c>
      <c r="M2181" s="26">
        <v>2.0</v>
      </c>
      <c r="N2181" s="26">
        <v>0.0</v>
      </c>
      <c r="O2181" s="26">
        <v>0.0</v>
      </c>
      <c r="P2181" s="34">
        <v>2600.0</v>
      </c>
      <c r="Q2181" s="35">
        <v>132.0</v>
      </c>
      <c r="R2181" s="32">
        <v>44581.0</v>
      </c>
      <c r="S2181" s="32">
        <v>42620.0</v>
      </c>
      <c r="T2181" s="29"/>
      <c r="U2181" s="33"/>
      <c r="V2181" s="1"/>
    </row>
    <row r="2182" ht="24.0" customHeight="1">
      <c r="A2182" s="1"/>
      <c r="B2182" s="24" t="str">
        <f>HYPERLINK("https://www.compass.com/listing/131-thompson-street-unit-3c-manhattan-ny-10012/763047696202413737/view?agent_id=610d3f3370540700019b0833","131 Thompson Street, Unit 3C")</f>
        <v>131 Thompson Street, Unit 3C</v>
      </c>
      <c r="C2182" s="25" t="s">
        <v>364</v>
      </c>
      <c r="D2182" s="26" t="s">
        <v>23</v>
      </c>
      <c r="E2182" s="27" t="str">
        <f>HYPERLINK("https://www.compass.com/building/131-thompson-st-manhattan-ny-10012/281912851327642069/","131 Thompson St")</f>
        <v>131 Thompson St</v>
      </c>
      <c r="F2182" s="25" t="s">
        <v>53</v>
      </c>
      <c r="G2182" s="28">
        <v>985000.0</v>
      </c>
      <c r="H2182" s="29"/>
      <c r="I2182" s="28">
        <v>1289.0</v>
      </c>
      <c r="J2182" s="28">
        <v>15468.0</v>
      </c>
      <c r="K2182" s="25" t="s">
        <v>25</v>
      </c>
      <c r="L2182" s="26">
        <v>4.0</v>
      </c>
      <c r="M2182" s="26">
        <v>2.0</v>
      </c>
      <c r="N2182" s="26">
        <v>1.0</v>
      </c>
      <c r="O2182" s="30"/>
      <c r="P2182" s="30"/>
      <c r="Q2182" s="35">
        <v>33.0</v>
      </c>
      <c r="R2182" s="32">
        <v>44634.0</v>
      </c>
      <c r="S2182" s="32">
        <v>44304.0</v>
      </c>
      <c r="T2182" s="29"/>
      <c r="U2182" s="33"/>
      <c r="V2182" s="1"/>
    </row>
    <row r="2183" ht="24.0" customHeight="1">
      <c r="A2183" s="1"/>
      <c r="B2183" s="24" t="str">
        <f>HYPERLINK("https://www.compass.com/listing/4-west-21st-street-unit-4c-manhattan-ny-10010/609884281311225177/view?agent_id=610d3f3370540700019b0833","4 West 21st Street, Unit 4C")</f>
        <v>4 West 21st Street, Unit 4C</v>
      </c>
      <c r="C2183" s="25" t="s">
        <v>364</v>
      </c>
      <c r="D2183" s="26" t="s">
        <v>23</v>
      </c>
      <c r="E2183" s="27" t="str">
        <f>HYPERLINK("https://www.compass.com/building/4w21-manhattan-ny/281903453142270421/","4W21")</f>
        <v>4W21</v>
      </c>
      <c r="F2183" s="25" t="s">
        <v>115</v>
      </c>
      <c r="G2183" s="28">
        <v>1795000.0</v>
      </c>
      <c r="H2183" s="28">
        <v>1429.0</v>
      </c>
      <c r="I2183" s="28">
        <v>2177.0</v>
      </c>
      <c r="J2183" s="29"/>
      <c r="K2183" s="25" t="s">
        <v>49</v>
      </c>
      <c r="L2183" s="26">
        <v>5.0</v>
      </c>
      <c r="M2183" s="26">
        <v>2.0</v>
      </c>
      <c r="N2183" s="26">
        <v>0.0</v>
      </c>
      <c r="O2183" s="26">
        <v>0.0</v>
      </c>
      <c r="P2183" s="34">
        <v>1256.0</v>
      </c>
      <c r="Q2183" s="35">
        <v>152.0</v>
      </c>
      <c r="R2183" s="32">
        <v>45636.0</v>
      </c>
      <c r="S2183" s="32">
        <v>42984.0</v>
      </c>
      <c r="T2183" s="29"/>
      <c r="U2183" s="33"/>
      <c r="V2183" s="1"/>
    </row>
    <row r="2184" ht="24.0" customHeight="1">
      <c r="A2184" s="1"/>
      <c r="B2184" s="24" t="str">
        <f>HYPERLINK("https://www.compass.com/listing/220-manhattan-avenue-unit-8r-manhattan-ny-10025/589069284037546441/view?agent_id=610d3f3370540700019b0833","220 Manhattan Avenue, Unit 8R")</f>
        <v>220 Manhattan Avenue, Unit 8R</v>
      </c>
      <c r="C2184" s="25" t="s">
        <v>365</v>
      </c>
      <c r="D2184" s="26" t="s">
        <v>23</v>
      </c>
      <c r="E2184" s="27" t="str">
        <f>HYPERLINK("https://www.compass.com/building/towers-on-the-park-manhattan-ny/455672565349083653/","Towers on the Park")</f>
        <v>Towers on the Park</v>
      </c>
      <c r="F2184" s="25" t="s">
        <v>29</v>
      </c>
      <c r="G2184" s="28">
        <v>875000.0</v>
      </c>
      <c r="H2184" s="28">
        <v>948.0</v>
      </c>
      <c r="I2184" s="28">
        <v>1172.0</v>
      </c>
      <c r="J2184" s="28">
        <v>7737.0</v>
      </c>
      <c r="K2184" s="25" t="s">
        <v>28</v>
      </c>
      <c r="L2184" s="26">
        <v>4.0</v>
      </c>
      <c r="M2184" s="26">
        <v>2.0</v>
      </c>
      <c r="N2184" s="26">
        <v>1.0</v>
      </c>
      <c r="O2184" s="26">
        <v>0.0</v>
      </c>
      <c r="P2184" s="26">
        <v>923.0</v>
      </c>
      <c r="Q2184" s="35">
        <v>66.0</v>
      </c>
      <c r="R2184" s="32">
        <v>44136.0</v>
      </c>
      <c r="S2184" s="32">
        <v>44069.0</v>
      </c>
      <c r="T2184" s="29"/>
      <c r="U2184" s="33"/>
      <c r="V2184" s="1"/>
    </row>
    <row r="2185" ht="24.0" customHeight="1">
      <c r="A2185" s="1"/>
      <c r="B2185" s="24" t="str">
        <f>HYPERLINK("https://www.compass.com/listing/718-broadway-unit-7b-manhattan-ny-10003/4852278270332244321/view?agent_id=610d3f3370540700019b0833","718 Broadway, Unit 7B")</f>
        <v>718 Broadway, Unit 7B</v>
      </c>
      <c r="C2185" s="25" t="s">
        <v>364</v>
      </c>
      <c r="D2185" s="26" t="s">
        <v>23</v>
      </c>
      <c r="E2185" s="27" t="str">
        <f>HYPERLINK("https://www.compass.com/building/718-broadway-manhattan-ny-10003/281894678784122533/","718 Broadway")</f>
        <v>718 Broadway</v>
      </c>
      <c r="F2185" s="25" t="s">
        <v>57</v>
      </c>
      <c r="G2185" s="28">
        <v>2195000.0</v>
      </c>
      <c r="H2185" s="28">
        <v>1663.0</v>
      </c>
      <c r="I2185" s="28">
        <v>2312.0</v>
      </c>
      <c r="J2185" s="29"/>
      <c r="K2185" s="25" t="s">
        <v>25</v>
      </c>
      <c r="L2185" s="26">
        <v>5.0</v>
      </c>
      <c r="M2185" s="26">
        <v>2.0</v>
      </c>
      <c r="N2185" s="26">
        <v>1.0</v>
      </c>
      <c r="O2185" s="26">
        <v>0.0</v>
      </c>
      <c r="P2185" s="34">
        <v>1320.0</v>
      </c>
      <c r="Q2185" s="35">
        <v>97.0</v>
      </c>
      <c r="R2185" s="32">
        <v>45636.0</v>
      </c>
      <c r="S2185" s="32">
        <v>42635.0</v>
      </c>
      <c r="T2185" s="29"/>
      <c r="U2185" s="33"/>
      <c r="V2185" s="1"/>
    </row>
    <row r="2186" ht="24.0" customHeight="1">
      <c r="A2186" s="1"/>
      <c r="B2186" s="24" t="str">
        <f>HYPERLINK("https://www.compass.com/listing/315-west-end-avenue-unit-3a-manhattan-ny-10023/454258102243044249/view?agent_id=610d3f3370540700019b0833","315 West End Avenue, Unit 3A")</f>
        <v>315 West End Avenue, Unit 3A</v>
      </c>
      <c r="C2186" s="25" t="s">
        <v>365</v>
      </c>
      <c r="D2186" s="26" t="s">
        <v>23</v>
      </c>
      <c r="E2186" s="27" t="str">
        <f>HYPERLINK("https://www.compass.com/building/315-west-end-ave-manhattan-ny-10023/281959797174118421/","315 West End Ave")</f>
        <v>315 West End Ave</v>
      </c>
      <c r="F2186" s="25" t="s">
        <v>29</v>
      </c>
      <c r="G2186" s="28">
        <v>1195000.0</v>
      </c>
      <c r="H2186" s="28">
        <v>1195.0</v>
      </c>
      <c r="I2186" s="28">
        <v>1750.0</v>
      </c>
      <c r="J2186" s="28">
        <v>0.0</v>
      </c>
      <c r="K2186" s="25" t="s">
        <v>25</v>
      </c>
      <c r="L2186" s="26">
        <v>4.0</v>
      </c>
      <c r="M2186" s="26">
        <v>2.0</v>
      </c>
      <c r="N2186" s="26">
        <v>1.0</v>
      </c>
      <c r="O2186" s="26">
        <v>0.0</v>
      </c>
      <c r="P2186" s="34">
        <v>1000.0</v>
      </c>
      <c r="Q2186" s="35">
        <v>24.0</v>
      </c>
      <c r="R2186" s="32">
        <v>44003.0</v>
      </c>
      <c r="S2186" s="32">
        <v>43885.0</v>
      </c>
      <c r="T2186" s="29"/>
      <c r="U2186" s="33"/>
      <c r="V2186" s="1"/>
    </row>
    <row r="2187" ht="24.0" customHeight="1">
      <c r="A2187" s="1"/>
      <c r="B2187" s="24" t="str">
        <f>HYPERLINK("https://www.compass.com/listing/150-chambers-street-unit-4e-manhattan-ny-10007/803305197912608793/view?agent_id=610d3f3370540700019b0833","150 Chambers Street, Unit 4E")</f>
        <v>150 Chambers Street, Unit 4E</v>
      </c>
      <c r="C2187" s="25" t="s">
        <v>364</v>
      </c>
      <c r="D2187" s="26" t="s">
        <v>23</v>
      </c>
      <c r="E2187" s="27" t="str">
        <f>HYPERLINK("https://www.compass.com/building/150-chambers-st-manhattan-ny-10007/281896694507906645/","150 Chambers St")</f>
        <v>150 Chambers St</v>
      </c>
      <c r="F2187" s="25" t="s">
        <v>60</v>
      </c>
      <c r="G2187" s="28">
        <v>2599995.0</v>
      </c>
      <c r="H2187" s="28">
        <v>1794.0</v>
      </c>
      <c r="I2187" s="28">
        <v>1575.0</v>
      </c>
      <c r="J2187" s="28">
        <v>7500.0</v>
      </c>
      <c r="K2187" s="25" t="s">
        <v>28</v>
      </c>
      <c r="L2187" s="26">
        <v>4.0</v>
      </c>
      <c r="M2187" s="26">
        <v>2.0</v>
      </c>
      <c r="N2187" s="26">
        <v>0.0</v>
      </c>
      <c r="O2187" s="26">
        <v>0.0</v>
      </c>
      <c r="P2187" s="34">
        <v>1449.0</v>
      </c>
      <c r="Q2187" s="35">
        <v>2142.0</v>
      </c>
      <c r="R2187" s="32">
        <v>45636.0</v>
      </c>
      <c r="S2187" s="32">
        <v>42438.0</v>
      </c>
      <c r="T2187" s="29"/>
      <c r="U2187" s="33"/>
      <c r="V2187" s="1"/>
    </row>
    <row r="2188" ht="24.0" customHeight="1">
      <c r="A2188" s="1"/>
      <c r="B2188" s="24" t="str">
        <f>HYPERLINK("https://www.compass.com/listing/66-9th-avenue-unit-4w-manhattan-ny-10011/29370881474120097/view?agent_id=610d3f3370540700019b0833","66 9th Avenue, Unit 4W")</f>
        <v>66 9th Avenue, Unit 4W</v>
      </c>
      <c r="C2188" s="25" t="s">
        <v>364</v>
      </c>
      <c r="D2188" s="26" t="s">
        <v>23</v>
      </c>
      <c r="E2188" s="27" t="str">
        <f>HYPERLINK("https://www.compass.com/building/the-porter-house-manhattan-ny/294842221530457269/","The Porter House")</f>
        <v>The Porter House</v>
      </c>
      <c r="F2188" s="25" t="s">
        <v>27</v>
      </c>
      <c r="G2188" s="28">
        <v>4350000.0</v>
      </c>
      <c r="H2188" s="28">
        <v>2240.0</v>
      </c>
      <c r="I2188" s="28">
        <v>3532.0</v>
      </c>
      <c r="J2188" s="28">
        <v>19068.0</v>
      </c>
      <c r="K2188" s="25" t="s">
        <v>28</v>
      </c>
      <c r="L2188" s="26">
        <v>4.0</v>
      </c>
      <c r="M2188" s="26">
        <v>2.0</v>
      </c>
      <c r="N2188" s="26">
        <v>0.0</v>
      </c>
      <c r="O2188" s="26">
        <v>0.0</v>
      </c>
      <c r="P2188" s="34">
        <v>1942.0</v>
      </c>
      <c r="Q2188" s="35">
        <v>124.0</v>
      </c>
      <c r="R2188" s="32">
        <v>45636.0</v>
      </c>
      <c r="S2188" s="32">
        <v>42425.0</v>
      </c>
      <c r="T2188" s="29"/>
      <c r="U2188" s="33"/>
      <c r="V2188" s="1"/>
    </row>
    <row r="2189" ht="24.0" customHeight="1">
      <c r="A2189" s="1"/>
      <c r="B2189" s="24" t="str">
        <f>HYPERLINK("https://www.compass.com/listing/521-west-23rd-street-unit-3r-manhattan-ny-10011/1809627359410216505/view?agent_id=610d3f3370540700019b0833","521 West 23rd Street, Unit 3R")</f>
        <v>521 West 23rd Street, Unit 3R</v>
      </c>
      <c r="C2189" s="25" t="s">
        <v>364</v>
      </c>
      <c r="D2189" s="26" t="s">
        <v>23</v>
      </c>
      <c r="E2189" s="27" t="str">
        <f>HYPERLINK("https://www.compass.com/building/521-w-23rd-st-manhattan-ny-10011/281911552997616309/","521 W 23rd St")</f>
        <v>521 W 23rd St</v>
      </c>
      <c r="F2189" s="25" t="s">
        <v>27</v>
      </c>
      <c r="G2189" s="28">
        <v>2995000.0</v>
      </c>
      <c r="H2189" s="28">
        <v>1409.0</v>
      </c>
      <c r="I2189" s="28">
        <v>5173.0</v>
      </c>
      <c r="J2189" s="28">
        <v>47988.0</v>
      </c>
      <c r="K2189" s="25" t="s">
        <v>28</v>
      </c>
      <c r="L2189" s="26">
        <v>4.0</v>
      </c>
      <c r="M2189" s="26">
        <v>2.0</v>
      </c>
      <c r="N2189" s="26">
        <v>0.0</v>
      </c>
      <c r="O2189" s="26">
        <v>0.0</v>
      </c>
      <c r="P2189" s="34">
        <v>2126.0</v>
      </c>
      <c r="Q2189" s="31"/>
      <c r="R2189" s="32">
        <v>44581.0</v>
      </c>
      <c r="S2189" s="33"/>
      <c r="T2189" s="29"/>
      <c r="U2189" s="33"/>
      <c r="V2189" s="1"/>
    </row>
    <row r="2190" ht="24.0" customHeight="1">
      <c r="A2190" s="1"/>
      <c r="B2190" s="24" t="str">
        <f>HYPERLINK("https://www.compass.com/listing/101-west-23rd-street-unit-6l-manhattan-ny-10011/29373536552384001/view?agent_id=610d3f3370540700019b0833","101 West 23rd Street, Unit 6L")</f>
        <v>101 West 23rd Street, Unit 6L</v>
      </c>
      <c r="C2190" s="25" t="s">
        <v>370</v>
      </c>
      <c r="D2190" s="26" t="s">
        <v>23</v>
      </c>
      <c r="E2190" s="27" t="str">
        <f>HYPERLINK("https://www.compass.com/building/101-w-23rd-st-manhattan-ny-10011/294838378147069173/","101 W 23rd St")</f>
        <v>101 W 23rd St</v>
      </c>
      <c r="F2190" s="25" t="s">
        <v>27</v>
      </c>
      <c r="G2190" s="28">
        <v>499000.0</v>
      </c>
      <c r="H2190" s="28">
        <v>384.0</v>
      </c>
      <c r="I2190" s="28">
        <v>3383.0</v>
      </c>
      <c r="J2190" s="29"/>
      <c r="K2190" s="25" t="s">
        <v>25</v>
      </c>
      <c r="L2190" s="26">
        <v>5.0</v>
      </c>
      <c r="M2190" s="26">
        <v>2.0</v>
      </c>
      <c r="N2190" s="26">
        <v>0.0</v>
      </c>
      <c r="O2190" s="26">
        <v>0.0</v>
      </c>
      <c r="P2190" s="34">
        <v>1300.0</v>
      </c>
      <c r="Q2190" s="35">
        <v>361.0</v>
      </c>
      <c r="R2190" s="32">
        <v>45636.0</v>
      </c>
      <c r="S2190" s="32">
        <v>41555.0</v>
      </c>
      <c r="T2190" s="29"/>
      <c r="U2190" s="33"/>
      <c r="V2190" s="1"/>
    </row>
    <row r="2191" ht="24.0" customHeight="1">
      <c r="A2191" s="1"/>
      <c r="B2191" s="24" t="str">
        <f>HYPERLINK("https://www.compass.com/listing/514-west-24th-street-unit-4e-manhattan-ny-10011/4852263192111355761/view?agent_id=610d3f3370540700019b0833","514 West 24th Street, Unit 4E")</f>
        <v>514 West 24th Street, Unit 4E</v>
      </c>
      <c r="C2191" s="25" t="s">
        <v>370</v>
      </c>
      <c r="D2191" s="26" t="s">
        <v>23</v>
      </c>
      <c r="E2191" s="27" t="str">
        <f>HYPERLINK("https://www.compass.com/building/the-fitzroy-manhattan-ny/281911423242627685/","The Fitzroy")</f>
        <v>The Fitzroy</v>
      </c>
      <c r="F2191" s="25" t="s">
        <v>27</v>
      </c>
      <c r="G2191" s="28">
        <v>5350000.0</v>
      </c>
      <c r="H2191" s="28">
        <v>2343.0</v>
      </c>
      <c r="I2191" s="28">
        <v>5463.0</v>
      </c>
      <c r="J2191" s="28">
        <v>29724.0</v>
      </c>
      <c r="K2191" s="25" t="s">
        <v>28</v>
      </c>
      <c r="L2191" s="26">
        <v>5.0</v>
      </c>
      <c r="M2191" s="26">
        <v>2.0</v>
      </c>
      <c r="N2191" s="26">
        <v>0.0</v>
      </c>
      <c r="O2191" s="26">
        <v>0.0</v>
      </c>
      <c r="P2191" s="34">
        <v>2283.0</v>
      </c>
      <c r="Q2191" s="35">
        <v>209.0</v>
      </c>
      <c r="R2191" s="32">
        <v>44581.0</v>
      </c>
      <c r="S2191" s="32">
        <v>42354.0</v>
      </c>
      <c r="T2191" s="29"/>
      <c r="U2191" s="33"/>
      <c r="V2191" s="1"/>
    </row>
    <row r="2192" ht="24.0" customHeight="1">
      <c r="A2192" s="1"/>
      <c r="B2192" s="24" t="str">
        <f>HYPERLINK("https://www.compass.com/listing/260-park-avenue-south-unit-3d-manhattan-ny-10010/921895377942782337/view?agent_id=610d3f3370540700019b0833","260 Park Avenue South, Unit 3D")</f>
        <v>260 Park Avenue South, Unit 3D</v>
      </c>
      <c r="C2192" s="25" t="s">
        <v>364</v>
      </c>
      <c r="D2192" s="26" t="s">
        <v>23</v>
      </c>
      <c r="E2192" s="27" t="str">
        <f>HYPERLINK("https://www.compass.com/building/260-park-ave-s-manhattan-ny-10010/294848738346289573/","260 Park Ave S")</f>
        <v>260 Park Ave S</v>
      </c>
      <c r="F2192" s="25" t="s">
        <v>115</v>
      </c>
      <c r="G2192" s="28">
        <v>3695000.0</v>
      </c>
      <c r="H2192" s="28">
        <v>2031.0</v>
      </c>
      <c r="I2192" s="28">
        <v>3964.0</v>
      </c>
      <c r="J2192" s="28">
        <v>21900.0</v>
      </c>
      <c r="K2192" s="25" t="s">
        <v>28</v>
      </c>
      <c r="L2192" s="26">
        <v>4.0</v>
      </c>
      <c r="M2192" s="26">
        <v>2.0</v>
      </c>
      <c r="N2192" s="26">
        <v>0.0</v>
      </c>
      <c r="O2192" s="26">
        <v>1.0</v>
      </c>
      <c r="P2192" s="34">
        <v>1819.0</v>
      </c>
      <c r="Q2192" s="35">
        <v>0.0</v>
      </c>
      <c r="R2192" s="32">
        <v>44581.0</v>
      </c>
      <c r="S2192" s="32">
        <v>43182.0</v>
      </c>
      <c r="T2192" s="29"/>
      <c r="U2192" s="33"/>
      <c r="V2192" s="1"/>
    </row>
    <row r="2193" ht="24.0" customHeight="1">
      <c r="A2193" s="1"/>
      <c r="B2193" s="24" t="str">
        <f>HYPERLINK("https://www.compass.com/listing/131-thompson-street-unit-4c-manhattan-ny-10012/1668143982170179017/view?agent_id=610d3f3370540700019b0833","131 Thompson Street, Unit 4C")</f>
        <v>131 Thompson Street, Unit 4C</v>
      </c>
      <c r="C2193" s="25" t="s">
        <v>364</v>
      </c>
      <c r="D2193" s="26" t="s">
        <v>23</v>
      </c>
      <c r="E2193" s="27" t="str">
        <f>HYPERLINK("https://www.compass.com/building/131-thompson-st-manhattan-ny-10012/281912851327642069/","131 Thompson St")</f>
        <v>131 Thompson St</v>
      </c>
      <c r="F2193" s="25" t="s">
        <v>53</v>
      </c>
      <c r="G2193" s="28">
        <v>899000.0</v>
      </c>
      <c r="H2193" s="29"/>
      <c r="I2193" s="28">
        <v>1510.0</v>
      </c>
      <c r="J2193" s="28">
        <v>0.0</v>
      </c>
      <c r="K2193" s="25" t="s">
        <v>25</v>
      </c>
      <c r="L2193" s="26">
        <v>4.0</v>
      </c>
      <c r="M2193" s="26">
        <v>2.0</v>
      </c>
      <c r="N2193" s="26">
        <v>1.0</v>
      </c>
      <c r="O2193" s="26">
        <v>0.0</v>
      </c>
      <c r="P2193" s="30"/>
      <c r="Q2193" s="35">
        <v>232.0</v>
      </c>
      <c r="R2193" s="32">
        <v>45786.0</v>
      </c>
      <c r="S2193" s="32">
        <v>45553.0</v>
      </c>
      <c r="T2193" s="29"/>
      <c r="U2193" s="33"/>
      <c r="V2193" s="1"/>
    </row>
    <row r="2194" ht="24.0" customHeight="1">
      <c r="A2194" s="1"/>
      <c r="B2194" s="24" t="str">
        <f>HYPERLINK("https://www.compass.com/listing/211-west-14th-street-unit-5b-manhattan-ny-10011/1838939816566282825/view?agent_id=610d3f3370540700019b0833","211 West 14th Street, Unit 5B")</f>
        <v>211 West 14th Street, Unit 5B</v>
      </c>
      <c r="C2194" s="25" t="s">
        <v>364</v>
      </c>
      <c r="D2194" s="26" t="s">
        <v>23</v>
      </c>
      <c r="E2194" s="27" t="str">
        <f t="shared" ref="E2194:E2196" si="38">HYPERLINK("https://www.compass.com/building/dorsay-manhattan-ny/292801633543285477/","d'Orsay")</f>
        <v>d'Orsay</v>
      </c>
      <c r="F2194" s="25" t="s">
        <v>27</v>
      </c>
      <c r="G2194" s="28">
        <v>3175000.0</v>
      </c>
      <c r="H2194" s="28">
        <v>2265.0</v>
      </c>
      <c r="I2194" s="28">
        <v>3942.0</v>
      </c>
      <c r="J2194" s="28">
        <v>14784.0</v>
      </c>
      <c r="K2194" s="25" t="s">
        <v>28</v>
      </c>
      <c r="L2194" s="26">
        <v>4.0</v>
      </c>
      <c r="M2194" s="26">
        <v>2.0</v>
      </c>
      <c r="N2194" s="26">
        <v>0.0</v>
      </c>
      <c r="O2194" s="26">
        <v>0.0</v>
      </c>
      <c r="P2194" s="34">
        <v>1402.0</v>
      </c>
      <c r="Q2194" s="35">
        <v>161.0</v>
      </c>
      <c r="R2194" s="32">
        <v>45636.0</v>
      </c>
      <c r="S2194" s="32">
        <v>43011.0</v>
      </c>
      <c r="T2194" s="29"/>
      <c r="U2194" s="33"/>
      <c r="V2194" s="1"/>
    </row>
    <row r="2195" ht="24.0" customHeight="1">
      <c r="A2195" s="1"/>
      <c r="B2195" s="24" t="str">
        <f>HYPERLINK("https://www.compass.com/listing/211-west-14th-street-unit-8a-manhattan-ny-10011/1838976824940388857/view?agent_id=610d3f3370540700019b0833","211 West 14th Street, Unit 8A")</f>
        <v>211 West 14th Street, Unit 8A</v>
      </c>
      <c r="C2195" s="25" t="s">
        <v>364</v>
      </c>
      <c r="D2195" s="26" t="s">
        <v>23</v>
      </c>
      <c r="E2195" s="27" t="str">
        <f t="shared" si="38"/>
        <v>d'Orsay</v>
      </c>
      <c r="F2195" s="25" t="s">
        <v>27</v>
      </c>
      <c r="G2195" s="28">
        <v>3425000.0</v>
      </c>
      <c r="H2195" s="28">
        <v>2571.0</v>
      </c>
      <c r="I2195" s="28">
        <v>3691.0</v>
      </c>
      <c r="J2195" s="28">
        <v>12396.0</v>
      </c>
      <c r="K2195" s="25" t="s">
        <v>28</v>
      </c>
      <c r="L2195" s="26">
        <v>4.0</v>
      </c>
      <c r="M2195" s="26">
        <v>2.0</v>
      </c>
      <c r="N2195" s="26">
        <v>0.0</v>
      </c>
      <c r="O2195" s="26">
        <v>0.0</v>
      </c>
      <c r="P2195" s="34">
        <v>1332.0</v>
      </c>
      <c r="Q2195" s="35">
        <v>476.0</v>
      </c>
      <c r="R2195" s="32">
        <v>44581.0</v>
      </c>
      <c r="S2195" s="32">
        <v>42695.0</v>
      </c>
      <c r="T2195" s="29"/>
      <c r="U2195" s="33"/>
      <c r="V2195" s="1"/>
    </row>
    <row r="2196" ht="24.0" customHeight="1">
      <c r="A2196" s="1"/>
      <c r="B2196" s="24" t="str">
        <f>HYPERLINK("https://www.compass.com/listing/211-west-14th-street-unit-4b-manhattan-ny-10011/803348543779795841/view?agent_id=610d3f3370540700019b0833","211 West 14th Street, Unit 4B")</f>
        <v>211 West 14th Street, Unit 4B</v>
      </c>
      <c r="C2196" s="25" t="s">
        <v>364</v>
      </c>
      <c r="D2196" s="26" t="s">
        <v>23</v>
      </c>
      <c r="E2196" s="27" t="str">
        <f t="shared" si="38"/>
        <v>d'Orsay</v>
      </c>
      <c r="F2196" s="25" t="s">
        <v>27</v>
      </c>
      <c r="G2196" s="28">
        <v>3125000.0</v>
      </c>
      <c r="H2196" s="28">
        <v>2229.0</v>
      </c>
      <c r="I2196" s="28">
        <v>3809.0</v>
      </c>
      <c r="J2196" s="28">
        <v>12792.0</v>
      </c>
      <c r="K2196" s="25" t="s">
        <v>28</v>
      </c>
      <c r="L2196" s="26">
        <v>4.0</v>
      </c>
      <c r="M2196" s="26">
        <v>2.0</v>
      </c>
      <c r="N2196" s="26">
        <v>0.0</v>
      </c>
      <c r="O2196" s="26">
        <v>0.0</v>
      </c>
      <c r="P2196" s="34">
        <v>1402.0</v>
      </c>
      <c r="Q2196" s="35">
        <v>319.0</v>
      </c>
      <c r="R2196" s="32">
        <v>45636.0</v>
      </c>
      <c r="S2196" s="32">
        <v>42690.0</v>
      </c>
      <c r="T2196" s="29"/>
      <c r="U2196" s="33"/>
      <c r="V2196" s="1"/>
    </row>
    <row r="2197" ht="24.0" customHeight="1">
      <c r="A2197" s="1"/>
      <c r="B2197" s="24" t="str">
        <f>HYPERLINK("https://www.compass.com/listing/170-2nd-avenue-unit-11a-manhattan-ny-10003/919901632313193673/view?agent_id=610d3f3370540700019b0833","170 2nd Avenue, Unit 11A")</f>
        <v>170 2nd Avenue, Unit 11A</v>
      </c>
      <c r="C2197" s="25" t="s">
        <v>364</v>
      </c>
      <c r="D2197" s="26" t="s">
        <v>23</v>
      </c>
      <c r="E2197" s="27" t="str">
        <f>HYPERLINK("https://www.compass.com/building/170-2nd-ave-manhattan-ny-10003/281890110633413797/","170 2nd Ave")</f>
        <v>170 2nd Ave</v>
      </c>
      <c r="F2197" s="25" t="s">
        <v>24</v>
      </c>
      <c r="G2197" s="28">
        <v>1695000.0</v>
      </c>
      <c r="H2197" s="29"/>
      <c r="I2197" s="28">
        <v>2129.0</v>
      </c>
      <c r="J2197" s="29"/>
      <c r="K2197" s="25" t="s">
        <v>25</v>
      </c>
      <c r="L2197" s="26">
        <v>5.0</v>
      </c>
      <c r="M2197" s="26">
        <v>2.0</v>
      </c>
      <c r="N2197" s="26">
        <v>1.0</v>
      </c>
      <c r="O2197" s="26">
        <v>0.0</v>
      </c>
      <c r="P2197" s="30"/>
      <c r="Q2197" s="35">
        <v>96.0</v>
      </c>
      <c r="R2197" s="32">
        <v>45636.0</v>
      </c>
      <c r="S2197" s="32">
        <v>42977.0</v>
      </c>
      <c r="T2197" s="29"/>
      <c r="U2197" s="33"/>
      <c r="V2197" s="1"/>
    </row>
    <row r="2198" ht="24.0" customHeight="1">
      <c r="A2198" s="1"/>
      <c r="B2198" s="24" t="str">
        <f>HYPERLINK("https://www.compass.com/listing/450-west-17th-street-unit-2004-manhattan-ny-10011/192565417280018273/view?agent_id=610d3f3370540700019b0833","450 West 17th Street, Unit 2004")</f>
        <v>450 West 17th Street, Unit 2004</v>
      </c>
      <c r="C2198" s="25" t="s">
        <v>364</v>
      </c>
      <c r="D2198" s="26" t="s">
        <v>23</v>
      </c>
      <c r="E2198" s="27" t="str">
        <f>HYPERLINK("https://www.compass.com/building/the-caledonia-manhattan-ny/281910674349645621/","The Caledonia")</f>
        <v>The Caledonia</v>
      </c>
      <c r="F2198" s="25" t="s">
        <v>27</v>
      </c>
      <c r="G2198" s="28">
        <v>2700000.0</v>
      </c>
      <c r="H2198" s="29"/>
      <c r="I2198" s="28">
        <v>1219.0</v>
      </c>
      <c r="J2198" s="28">
        <v>900.0</v>
      </c>
      <c r="K2198" s="25" t="s">
        <v>28</v>
      </c>
      <c r="L2198" s="26">
        <v>5.0</v>
      </c>
      <c r="M2198" s="26">
        <v>2.0</v>
      </c>
      <c r="N2198" s="26">
        <v>0.0</v>
      </c>
      <c r="O2198" s="26">
        <v>0.0</v>
      </c>
      <c r="P2198" s="30"/>
      <c r="Q2198" s="35">
        <v>3396.0</v>
      </c>
      <c r="R2198" s="32">
        <v>44581.0</v>
      </c>
      <c r="S2198" s="32">
        <v>41184.0</v>
      </c>
      <c r="T2198" s="29"/>
      <c r="U2198" s="33"/>
      <c r="V2198" s="1"/>
    </row>
    <row r="2199" ht="24.0" customHeight="1">
      <c r="A2199" s="1"/>
      <c r="B2199" s="24" t="str">
        <f>HYPERLINK("https://www.compass.com/listing/447-west-18th-street-unit-6c-manhattan-ny-10011/50865312333144545/view?agent_id=610d3f3370540700019b0833","447 West 18th Street, Unit 6C")</f>
        <v>447 West 18th Street, Unit 6C</v>
      </c>
      <c r="C2199" s="25" t="s">
        <v>364</v>
      </c>
      <c r="D2199" s="26" t="s">
        <v>23</v>
      </c>
      <c r="E2199" s="27" t="str">
        <f>HYPERLINK("https://www.compass.com/building/chelsea-modern-manhattan-ny/281910591621193429/","Chelsea Modern")</f>
        <v>Chelsea Modern</v>
      </c>
      <c r="F2199" s="25" t="s">
        <v>27</v>
      </c>
      <c r="G2199" s="28">
        <v>2895000.0</v>
      </c>
      <c r="H2199" s="28">
        <v>2068.0</v>
      </c>
      <c r="I2199" s="28">
        <v>2474.0</v>
      </c>
      <c r="J2199" s="28">
        <v>15288.0</v>
      </c>
      <c r="K2199" s="25" t="s">
        <v>28</v>
      </c>
      <c r="L2199" s="26">
        <v>5.0</v>
      </c>
      <c r="M2199" s="26">
        <v>2.0</v>
      </c>
      <c r="N2199" s="26">
        <v>0.0</v>
      </c>
      <c r="O2199" s="26">
        <v>0.0</v>
      </c>
      <c r="P2199" s="34">
        <v>1400.0</v>
      </c>
      <c r="Q2199" s="35">
        <v>135.0</v>
      </c>
      <c r="R2199" s="32">
        <v>44581.0</v>
      </c>
      <c r="S2199" s="32">
        <v>42433.0</v>
      </c>
      <c r="T2199" s="29"/>
      <c r="U2199" s="33"/>
      <c r="V2199" s="1"/>
    </row>
    <row r="2200" ht="24.0" customHeight="1">
      <c r="A2200" s="1"/>
      <c r="B2200" s="24" t="str">
        <f>HYPERLINK("https://www.compass.com/listing/211-west-14th-street-unit-3b-manhattan-ny-10011/1838976519486525177/view?agent_id=610d3f3370540700019b0833","211 West 14th Street, Unit 3B")</f>
        <v>211 West 14th Street, Unit 3B</v>
      </c>
      <c r="C2200" s="25" t="s">
        <v>364</v>
      </c>
      <c r="D2200" s="26" t="s">
        <v>23</v>
      </c>
      <c r="E2200" s="27" t="str">
        <f>HYPERLINK("https://www.compass.com/building/dorsay-manhattan-ny/292801633543285477/","d'Orsay")</f>
        <v>d'Orsay</v>
      </c>
      <c r="F2200" s="25" t="s">
        <v>27</v>
      </c>
      <c r="G2200" s="28">
        <v>3675000.0</v>
      </c>
      <c r="H2200" s="28">
        <v>2621.0</v>
      </c>
      <c r="I2200" s="28">
        <v>4266.0</v>
      </c>
      <c r="J2200" s="28">
        <v>15996.0</v>
      </c>
      <c r="K2200" s="25" t="s">
        <v>28</v>
      </c>
      <c r="L2200" s="26">
        <v>4.0</v>
      </c>
      <c r="M2200" s="26">
        <v>2.0</v>
      </c>
      <c r="N2200" s="26">
        <v>0.0</v>
      </c>
      <c r="O2200" s="26">
        <v>0.0</v>
      </c>
      <c r="P2200" s="34">
        <v>1402.0</v>
      </c>
      <c r="Q2200" s="35">
        <v>160.0</v>
      </c>
      <c r="R2200" s="32">
        <v>45636.0</v>
      </c>
      <c r="S2200" s="32">
        <v>43011.0</v>
      </c>
      <c r="T2200" s="29"/>
      <c r="U2200" s="33"/>
      <c r="V2200" s="1"/>
    </row>
    <row r="2201" ht="24.0" customHeight="1">
      <c r="A2201" s="1"/>
      <c r="B2201" s="24" t="str">
        <f>HYPERLINK("https://www.compass.com/listing/111-jane-street-unit-5-manhattan-ny-10014/4852308882501928289/view?agent_id=610d3f3370540700019b0833","111 Jane Street, Unit 5")</f>
        <v>111 Jane Street, Unit 5</v>
      </c>
      <c r="C2201" s="25" t="s">
        <v>370</v>
      </c>
      <c r="D2201" s="26" t="s">
        <v>23</v>
      </c>
      <c r="E2201" s="27" t="str">
        <f>HYPERLINK("https://www.compass.com/building/111-jane-st-manhattan-ny-10014/281921902493077749/","111 Jane St")</f>
        <v>111 Jane St</v>
      </c>
      <c r="F2201" s="25" t="s">
        <v>26</v>
      </c>
      <c r="G2201" s="28">
        <v>3345000.0</v>
      </c>
      <c r="H2201" s="28">
        <v>1665.0</v>
      </c>
      <c r="I2201" s="28">
        <v>2814.0</v>
      </c>
      <c r="J2201" s="28">
        <v>21900.0</v>
      </c>
      <c r="K2201" s="25" t="s">
        <v>28</v>
      </c>
      <c r="L2201" s="26">
        <v>5.0</v>
      </c>
      <c r="M2201" s="26">
        <v>2.0</v>
      </c>
      <c r="N2201" s="26">
        <v>0.0</v>
      </c>
      <c r="O2201" s="26">
        <v>0.0</v>
      </c>
      <c r="P2201" s="34">
        <v>2009.0</v>
      </c>
      <c r="Q2201" s="35">
        <v>132.0</v>
      </c>
      <c r="R2201" s="32">
        <v>45636.0</v>
      </c>
      <c r="S2201" s="32">
        <v>42685.0</v>
      </c>
      <c r="T2201" s="29"/>
      <c r="U2201" s="33"/>
      <c r="V2201" s="1"/>
    </row>
    <row r="2202" ht="24.0" customHeight="1">
      <c r="A2202" s="1"/>
      <c r="B2202" s="24" t="str">
        <f>HYPERLINK("https://www.compass.com/listing/390-west-end-avenue-unit-2ks-manhattan-ny-10024/1809602065097966409/view?agent_id=610d3f3370540700019b0833","390 West End Avenue, Unit 2KS")</f>
        <v>390 West End Avenue, Unit 2KS</v>
      </c>
      <c r="C2202" s="25" t="s">
        <v>370</v>
      </c>
      <c r="D2202" s="26" t="s">
        <v>23</v>
      </c>
      <c r="E2202" s="27" t="str">
        <f>HYPERLINK("https://www.compass.com/building/the-apthorp-manhattan-ny/282056781922858549/","The Apthorp")</f>
        <v>The Apthorp</v>
      </c>
      <c r="F2202" s="25" t="s">
        <v>29</v>
      </c>
      <c r="G2202" s="28">
        <v>2500000.0</v>
      </c>
      <c r="H2202" s="28">
        <v>1719.0</v>
      </c>
      <c r="I2202" s="28">
        <v>3605.0</v>
      </c>
      <c r="J2202" s="28">
        <v>19836.0</v>
      </c>
      <c r="K2202" s="25" t="s">
        <v>28</v>
      </c>
      <c r="L2202" s="26">
        <v>4.0</v>
      </c>
      <c r="M2202" s="26">
        <v>2.0</v>
      </c>
      <c r="N2202" s="26">
        <v>0.0</v>
      </c>
      <c r="O2202" s="26">
        <v>0.0</v>
      </c>
      <c r="P2202" s="34">
        <v>1454.0</v>
      </c>
      <c r="Q2202" s="35">
        <v>122.0</v>
      </c>
      <c r="R2202" s="32">
        <v>45636.0</v>
      </c>
      <c r="S2202" s="32">
        <v>43227.0</v>
      </c>
      <c r="T2202" s="29"/>
      <c r="U2202" s="33"/>
      <c r="V2202" s="1"/>
    </row>
    <row r="2203" ht="24.0" customHeight="1">
      <c r="A2203" s="1"/>
      <c r="B2203" s="24" t="str">
        <f>HYPERLINK("https://www.compass.com/listing/444-west-19th-street-unit-803-manhattan-ny-10011/4852305779027350081/view?agent_id=610d3f3370540700019b0833","444 West 19th Street, Unit 803")</f>
        <v>444 West 19th Street, Unit 803</v>
      </c>
      <c r="C2203" s="25" t="s">
        <v>370</v>
      </c>
      <c r="D2203" s="26" t="s">
        <v>23</v>
      </c>
      <c r="E2203" s="27" t="str">
        <f>HYPERLINK("https://www.compass.com/building/the-chelsea-club-manhattan-ny/281910522457120389/","The Chelsea Club")</f>
        <v>The Chelsea Club</v>
      </c>
      <c r="F2203" s="25" t="s">
        <v>27</v>
      </c>
      <c r="G2203" s="28">
        <v>2250000.0</v>
      </c>
      <c r="H2203" s="28">
        <v>1628.0</v>
      </c>
      <c r="I2203" s="28">
        <v>2044.0</v>
      </c>
      <c r="J2203" s="28">
        <v>5112.0</v>
      </c>
      <c r="K2203" s="25" t="s">
        <v>28</v>
      </c>
      <c r="L2203" s="26">
        <v>4.0</v>
      </c>
      <c r="M2203" s="26">
        <v>2.0</v>
      </c>
      <c r="N2203" s="26">
        <v>0.0</v>
      </c>
      <c r="O2203" s="26">
        <v>0.0</v>
      </c>
      <c r="P2203" s="34">
        <v>1382.0</v>
      </c>
      <c r="Q2203" s="35">
        <v>0.0</v>
      </c>
      <c r="R2203" s="32">
        <v>44581.0</v>
      </c>
      <c r="S2203" s="32">
        <v>41538.0</v>
      </c>
      <c r="T2203" s="29"/>
      <c r="U2203" s="33"/>
      <c r="V2203" s="1"/>
    </row>
    <row r="2204" ht="24.0" customHeight="1">
      <c r="A2204" s="1"/>
      <c r="B2204" s="24" t="str">
        <f>HYPERLINK("https://www.compass.com/listing/211-west-14th-street-unit-10b-manhattan-ny-10011/1838920871549779793/view?agent_id=610d3f3370540700019b0833","211 West 14th Street, Unit 10B")</f>
        <v>211 West 14th Street, Unit 10B</v>
      </c>
      <c r="C2204" s="25" t="s">
        <v>364</v>
      </c>
      <c r="D2204" s="26" t="s">
        <v>23</v>
      </c>
      <c r="E2204" s="27" t="str">
        <f t="shared" ref="E2204:E2207" si="39">HYPERLINK("https://www.compass.com/building/dorsay-manhattan-ny/292801633543285477/","d'Orsay")</f>
        <v>d'Orsay</v>
      </c>
      <c r="F2204" s="25" t="s">
        <v>27</v>
      </c>
      <c r="G2204" s="28">
        <v>3575000.0</v>
      </c>
      <c r="H2204" s="28">
        <v>2664.0</v>
      </c>
      <c r="I2204" s="28">
        <v>3843.0</v>
      </c>
      <c r="J2204" s="28">
        <v>12912.0</v>
      </c>
      <c r="K2204" s="25" t="s">
        <v>28</v>
      </c>
      <c r="L2204" s="26">
        <v>4.0</v>
      </c>
      <c r="M2204" s="26">
        <v>2.0</v>
      </c>
      <c r="N2204" s="26">
        <v>0.0</v>
      </c>
      <c r="O2204" s="26">
        <v>0.0</v>
      </c>
      <c r="P2204" s="34">
        <v>1342.0</v>
      </c>
      <c r="Q2204" s="35">
        <v>455.0</v>
      </c>
      <c r="R2204" s="32">
        <v>44581.0</v>
      </c>
      <c r="S2204" s="32">
        <v>42716.0</v>
      </c>
      <c r="T2204" s="29"/>
      <c r="U2204" s="33"/>
      <c r="V2204" s="1"/>
    </row>
    <row r="2205" ht="24.0" customHeight="1">
      <c r="A2205" s="1"/>
      <c r="B2205" s="24" t="str">
        <f>HYPERLINK("https://www.compass.com/listing/211-west-14th-street-unit-9b-manhattan-ny-10011/1838953044151150457/view?agent_id=610d3f3370540700019b0833","211 West 14th Street, Unit 9B")</f>
        <v>211 West 14th Street, Unit 9B</v>
      </c>
      <c r="C2205" s="25" t="s">
        <v>364</v>
      </c>
      <c r="D2205" s="26" t="s">
        <v>23</v>
      </c>
      <c r="E2205" s="27" t="str">
        <f t="shared" si="39"/>
        <v>d'Orsay</v>
      </c>
      <c r="F2205" s="25" t="s">
        <v>27</v>
      </c>
      <c r="G2205" s="28">
        <v>3500000.0</v>
      </c>
      <c r="H2205" s="28">
        <v>2608.0</v>
      </c>
      <c r="I2205" s="28">
        <v>3825.0</v>
      </c>
      <c r="J2205" s="28">
        <v>12852.0</v>
      </c>
      <c r="K2205" s="25" t="s">
        <v>28</v>
      </c>
      <c r="L2205" s="26">
        <v>4.0</v>
      </c>
      <c r="M2205" s="26">
        <v>2.0</v>
      </c>
      <c r="N2205" s="26">
        <v>0.0</v>
      </c>
      <c r="O2205" s="26">
        <v>0.0</v>
      </c>
      <c r="P2205" s="34">
        <v>1342.0</v>
      </c>
      <c r="Q2205" s="35">
        <v>483.0</v>
      </c>
      <c r="R2205" s="32">
        <v>45636.0</v>
      </c>
      <c r="S2205" s="32">
        <v>42688.0</v>
      </c>
      <c r="T2205" s="29"/>
      <c r="U2205" s="33"/>
      <c r="V2205" s="1"/>
    </row>
    <row r="2206" ht="24.0" customHeight="1">
      <c r="A2206" s="1"/>
      <c r="B2206" s="24" t="str">
        <f>HYPERLINK("https://www.compass.com/listing/211-west-14th-street-unit-9a-manhattan-ny-10011/1838955235935277921/view?agent_id=610d3f3370540700019b0833","211 West 14th Street, Unit 9A")</f>
        <v>211 West 14th Street, Unit 9A</v>
      </c>
      <c r="C2206" s="25" t="s">
        <v>364</v>
      </c>
      <c r="D2206" s="26" t="s">
        <v>23</v>
      </c>
      <c r="E2206" s="27" t="str">
        <f t="shared" si="39"/>
        <v>d'Orsay</v>
      </c>
      <c r="F2206" s="25" t="s">
        <v>27</v>
      </c>
      <c r="G2206" s="28">
        <v>3500000.0</v>
      </c>
      <c r="H2206" s="28">
        <v>2628.0</v>
      </c>
      <c r="I2206" s="28">
        <v>3708.0</v>
      </c>
      <c r="J2206" s="28">
        <v>12456.0</v>
      </c>
      <c r="K2206" s="25" t="s">
        <v>28</v>
      </c>
      <c r="L2206" s="26">
        <v>4.0</v>
      </c>
      <c r="M2206" s="26">
        <v>2.0</v>
      </c>
      <c r="N2206" s="26">
        <v>0.0</v>
      </c>
      <c r="O2206" s="26">
        <v>0.0</v>
      </c>
      <c r="P2206" s="34">
        <v>1332.0</v>
      </c>
      <c r="Q2206" s="35">
        <v>483.0</v>
      </c>
      <c r="R2206" s="32">
        <v>44581.0</v>
      </c>
      <c r="S2206" s="32">
        <v>42688.0</v>
      </c>
      <c r="T2206" s="29"/>
      <c r="U2206" s="33"/>
      <c r="V2206" s="1"/>
    </row>
    <row r="2207" ht="24.0" customHeight="1">
      <c r="A2207" s="1"/>
      <c r="B2207" s="24" t="str">
        <f>HYPERLINK("https://www.compass.com/listing/211-west-14th-street-unit-10a-manhattan-ny-10011/1838989228973845401/view?agent_id=610d3f3370540700019b0833","211 West 14th Street, Unit 10A")</f>
        <v>211 West 14th Street, Unit 10A</v>
      </c>
      <c r="C2207" s="25" t="s">
        <v>364</v>
      </c>
      <c r="D2207" s="26" t="s">
        <v>23</v>
      </c>
      <c r="E2207" s="27" t="str">
        <f t="shared" si="39"/>
        <v>d'Orsay</v>
      </c>
      <c r="F2207" s="25" t="s">
        <v>27</v>
      </c>
      <c r="G2207" s="28">
        <v>3575000.0</v>
      </c>
      <c r="H2207" s="28">
        <v>2684.0</v>
      </c>
      <c r="I2207" s="28">
        <v>3726.0</v>
      </c>
      <c r="J2207" s="28">
        <v>12516.0</v>
      </c>
      <c r="K2207" s="25" t="s">
        <v>28</v>
      </c>
      <c r="L2207" s="26">
        <v>4.0</v>
      </c>
      <c r="M2207" s="26">
        <v>2.0</v>
      </c>
      <c r="N2207" s="26">
        <v>0.0</v>
      </c>
      <c r="O2207" s="26">
        <v>0.0</v>
      </c>
      <c r="P2207" s="34">
        <v>1332.0</v>
      </c>
      <c r="Q2207" s="35">
        <v>460.0</v>
      </c>
      <c r="R2207" s="32">
        <v>44581.0</v>
      </c>
      <c r="S2207" s="32">
        <v>42711.0</v>
      </c>
      <c r="T2207" s="29"/>
      <c r="U2207" s="33"/>
      <c r="V2207" s="1"/>
    </row>
    <row r="2208" ht="24.0" customHeight="1">
      <c r="A2208" s="1"/>
      <c r="B2208" s="24" t="str">
        <f>HYPERLINK("https://www.compass.com/listing/21-east-22nd-street-unit-9f-manhattan-ny-10010/592816864546635017/view?agent_id=610d3f3370540700019b0833","21 East 22nd Street, Unit 9F")</f>
        <v>21 East 22nd Street, Unit 9F</v>
      </c>
      <c r="C2208" s="25" t="s">
        <v>365</v>
      </c>
      <c r="D2208" s="26" t="s">
        <v>23</v>
      </c>
      <c r="E2208" s="27" t="str">
        <f>HYPERLINK("https://www.compass.com/building/21-e-22nd-st-manhattan-ny-10010/281902113280245685/","21 E 22nd St")</f>
        <v>21 E 22nd St</v>
      </c>
      <c r="F2208" s="25" t="s">
        <v>115</v>
      </c>
      <c r="G2208" s="28">
        <v>1550000.0</v>
      </c>
      <c r="H2208" s="29"/>
      <c r="I2208" s="28">
        <v>1838.0</v>
      </c>
      <c r="J2208" s="28">
        <v>0.0</v>
      </c>
      <c r="K2208" s="25" t="s">
        <v>25</v>
      </c>
      <c r="L2208" s="26">
        <v>5.0</v>
      </c>
      <c r="M2208" s="26">
        <v>2.0</v>
      </c>
      <c r="N2208" s="26">
        <v>1.0</v>
      </c>
      <c r="O2208" s="30"/>
      <c r="P2208" s="30"/>
      <c r="Q2208" s="35">
        <v>117.0</v>
      </c>
      <c r="R2208" s="32">
        <v>44187.0</v>
      </c>
      <c r="S2208" s="32">
        <v>44069.0</v>
      </c>
      <c r="T2208" s="29"/>
      <c r="U2208" s="33"/>
      <c r="V2208" s="1"/>
    </row>
    <row r="2209" ht="24.0" customHeight="1">
      <c r="A2209" s="1"/>
      <c r="B2209" s="24" t="str">
        <f>HYPERLINK("https://www.compass.com/listing/35-west-82nd-street-unit-7c-manhattan-ny-10024/473256460529861121/view?agent_id=610d3f3370540700019b0833","35 West 82nd Street, Unit 7C")</f>
        <v>35 West 82nd Street, Unit 7C</v>
      </c>
      <c r="C2209" s="25" t="s">
        <v>364</v>
      </c>
      <c r="D2209" s="26" t="s">
        <v>23</v>
      </c>
      <c r="E2209" s="27" t="str">
        <f>HYPERLINK("https://www.compass.com/building/35-w-82nd-st-manhattan-ny-10024/281966225691591813/","35 W 82nd St")</f>
        <v>35 W 82nd St</v>
      </c>
      <c r="F2209" s="25" t="s">
        <v>29</v>
      </c>
      <c r="G2209" s="28">
        <v>1359000.0</v>
      </c>
      <c r="H2209" s="29"/>
      <c r="I2209" s="28">
        <v>2041.0</v>
      </c>
      <c r="J2209" s="28">
        <v>0.0</v>
      </c>
      <c r="K2209" s="25" t="s">
        <v>25</v>
      </c>
      <c r="L2209" s="26">
        <v>5.0</v>
      </c>
      <c r="M2209" s="26">
        <v>2.0</v>
      </c>
      <c r="N2209" s="26">
        <v>1.0</v>
      </c>
      <c r="O2209" s="26">
        <v>0.0</v>
      </c>
      <c r="P2209" s="30"/>
      <c r="Q2209" s="35">
        <v>142.0</v>
      </c>
      <c r="R2209" s="32">
        <v>44245.0</v>
      </c>
      <c r="S2209" s="32">
        <v>44000.0</v>
      </c>
      <c r="T2209" s="29"/>
      <c r="U2209" s="33"/>
      <c r="V2209" s="1"/>
    </row>
    <row r="2210" ht="24.0" customHeight="1">
      <c r="A2210" s="1"/>
      <c r="B2210" s="24" t="str">
        <f>HYPERLINK("https://www.compass.com/listing/35-bond-street-unit-5-manhattan-ny-10012/4852349963797008737/view?agent_id=610d3f3370540700019b0833","35 Bond Street, Unit 5")</f>
        <v>35 Bond Street, Unit 5</v>
      </c>
      <c r="C2210" s="25" t="s">
        <v>370</v>
      </c>
      <c r="D2210" s="26" t="s">
        <v>23</v>
      </c>
      <c r="E2210" s="27" t="str">
        <f>HYPERLINK("https://www.compass.com/building/35-bond-st-manhattan-ny-10012/281914925880736149/","35 Bond St")</f>
        <v>35 Bond St</v>
      </c>
      <c r="F2210" s="25" t="s">
        <v>57</v>
      </c>
      <c r="G2210" s="28">
        <v>4750000.0</v>
      </c>
      <c r="H2210" s="28">
        <v>1484.0</v>
      </c>
      <c r="I2210" s="28">
        <v>1600.0</v>
      </c>
      <c r="J2210" s="29"/>
      <c r="K2210" s="25" t="s">
        <v>25</v>
      </c>
      <c r="L2210" s="26">
        <v>6.0</v>
      </c>
      <c r="M2210" s="26">
        <v>2.0</v>
      </c>
      <c r="N2210" s="26">
        <v>0.0</v>
      </c>
      <c r="O2210" s="26">
        <v>0.0</v>
      </c>
      <c r="P2210" s="34">
        <v>3200.0</v>
      </c>
      <c r="Q2210" s="35">
        <v>142.0</v>
      </c>
      <c r="R2210" s="32">
        <v>44581.0</v>
      </c>
      <c r="S2210" s="32">
        <v>41717.0</v>
      </c>
      <c r="T2210" s="29"/>
      <c r="U2210" s="33"/>
      <c r="V2210" s="1"/>
    </row>
    <row r="2211" ht="24.0" customHeight="1">
      <c r="A2211" s="1"/>
      <c r="B2211" s="24" t="str">
        <f>HYPERLINK("https://www.compass.com/listing/280-park-avenue-south-unit-4d-manhattan-ny-10010/70922175435073185/view?agent_id=610d3f3370540700019b0833","280 Park Avenue South, Unit 4D")</f>
        <v>280 Park Avenue South, Unit 4D</v>
      </c>
      <c r="C2211" s="25" t="s">
        <v>364</v>
      </c>
      <c r="D2211" s="26" t="s">
        <v>23</v>
      </c>
      <c r="E2211" s="27" t="str">
        <f>HYPERLINK("https://www.compass.com/building/the-gramercy-place-condo-manhattan-ny/294845589128497029/","The Gramercy Place Condo")</f>
        <v>The Gramercy Place Condo</v>
      </c>
      <c r="F2211" s="25" t="s">
        <v>115</v>
      </c>
      <c r="G2211" s="28">
        <v>1650000.0</v>
      </c>
      <c r="H2211" s="28">
        <v>1571.0</v>
      </c>
      <c r="I2211" s="28">
        <v>1987.0</v>
      </c>
      <c r="J2211" s="28">
        <v>13560.0</v>
      </c>
      <c r="K2211" s="25" t="s">
        <v>28</v>
      </c>
      <c r="L2211" s="26">
        <v>4.0</v>
      </c>
      <c r="M2211" s="26">
        <v>2.0</v>
      </c>
      <c r="N2211" s="26">
        <v>0.0</v>
      </c>
      <c r="O2211" s="26">
        <v>0.0</v>
      </c>
      <c r="P2211" s="34">
        <v>1050.0</v>
      </c>
      <c r="Q2211" s="35">
        <v>174.0</v>
      </c>
      <c r="R2211" s="32">
        <v>45636.0</v>
      </c>
      <c r="S2211" s="32">
        <v>41815.0</v>
      </c>
      <c r="T2211" s="29"/>
      <c r="U2211" s="33"/>
      <c r="V2211" s="1"/>
    </row>
    <row r="2212" ht="24.0" customHeight="1">
      <c r="A2212" s="1"/>
      <c r="B2212" s="24" t="str">
        <f>HYPERLINK("https://www.compass.com/listing/421-hudson-street-unit-503-manhattan-ny-10014/4852306700230726145/view?agent_id=610d3f3370540700019b0833","421 Hudson Street, Unit 503")</f>
        <v>421 Hudson Street, Unit 503</v>
      </c>
      <c r="C2212" s="25" t="s">
        <v>370</v>
      </c>
      <c r="D2212" s="26" t="s">
        <v>23</v>
      </c>
      <c r="E2212" s="27" t="str">
        <f>HYPERLINK("https://www.compass.com/building/the-printing-house-condominium-manhattan-ny/281933830355470533/","The Printing House Condominium ")</f>
        <v>The Printing House Condominium </v>
      </c>
      <c r="F2212" s="25" t="s">
        <v>26</v>
      </c>
      <c r="G2212" s="28">
        <v>2550000.0</v>
      </c>
      <c r="H2212" s="29"/>
      <c r="I2212" s="28">
        <v>2100.0</v>
      </c>
      <c r="J2212" s="28">
        <v>11592.0</v>
      </c>
      <c r="K2212" s="25" t="s">
        <v>28</v>
      </c>
      <c r="L2212" s="26">
        <v>4.0</v>
      </c>
      <c r="M2212" s="26">
        <v>2.0</v>
      </c>
      <c r="N2212" s="26">
        <v>0.0</v>
      </c>
      <c r="O2212" s="26">
        <v>0.0</v>
      </c>
      <c r="P2212" s="30"/>
      <c r="Q2212" s="35">
        <v>369.0</v>
      </c>
      <c r="R2212" s="32">
        <v>45636.0</v>
      </c>
      <c r="S2212" s="32">
        <v>42319.0</v>
      </c>
      <c r="T2212" s="29"/>
      <c r="U2212" s="33"/>
      <c r="V2212" s="1"/>
    </row>
    <row r="2213" ht="24.0" customHeight="1">
      <c r="A2213" s="1"/>
      <c r="B2213" s="24" t="str">
        <f>HYPERLINK("https://www.compass.com/listing/139-west-19th-street-unit-7ne-manhattan-ny-10011/5078060906925617/view?agent_id=610d3f3370540700019b0833","139 West 19th Street, Unit 7NE")</f>
        <v>139 West 19th Street, Unit 7NE</v>
      </c>
      <c r="C2213" s="25" t="s">
        <v>364</v>
      </c>
      <c r="D2213" s="26" t="s">
        <v>23</v>
      </c>
      <c r="E2213" s="27" t="str">
        <f>HYPERLINK("https://www.compass.com/building/139-w-19th-st-manhattan-ny-10011/292799982883333477/","139 W 19th St")</f>
        <v>139 W 19th St</v>
      </c>
      <c r="F2213" s="25" t="s">
        <v>27</v>
      </c>
      <c r="G2213" s="28">
        <v>5995000.0</v>
      </c>
      <c r="H2213" s="28">
        <v>1903.0</v>
      </c>
      <c r="I2213" s="28">
        <v>3593.0</v>
      </c>
      <c r="J2213" s="29"/>
      <c r="K2213" s="25" t="s">
        <v>25</v>
      </c>
      <c r="L2213" s="26">
        <v>7.0</v>
      </c>
      <c r="M2213" s="26">
        <v>2.0</v>
      </c>
      <c r="N2213" s="26">
        <v>0.0</v>
      </c>
      <c r="O2213" s="26">
        <v>0.0</v>
      </c>
      <c r="P2213" s="34">
        <v>3150.0</v>
      </c>
      <c r="Q2213" s="35">
        <v>123.0</v>
      </c>
      <c r="R2213" s="32">
        <v>44581.0</v>
      </c>
      <c r="S2213" s="32">
        <v>43071.0</v>
      </c>
      <c r="T2213" s="29"/>
      <c r="U2213" s="33"/>
      <c r="V2213" s="1"/>
    </row>
    <row r="2214" ht="24.0" customHeight="1">
      <c r="A2214" s="1"/>
      <c r="B2214" s="24" t="str">
        <f>HYPERLINK("https://www.compass.com/listing/102-east-22nd-street-unit-9h-manhattan-ny-10010/831673454082341521/view?agent_id=610d3f3370540700019b0833","102 East 22nd Street, Unit 9H")</f>
        <v>102 East 22nd Street, Unit 9H</v>
      </c>
      <c r="C2214" s="25" t="s">
        <v>365</v>
      </c>
      <c r="D2214" s="26" t="s">
        <v>23</v>
      </c>
      <c r="E2214" s="27" t="str">
        <f>HYPERLINK("https://www.compass.com/building/102-e-22nd-st-manhattan-ny-10010/281901724015279637/","102 E 22nd St")</f>
        <v>102 E 22nd St</v>
      </c>
      <c r="F2214" s="25" t="s">
        <v>48</v>
      </c>
      <c r="G2214" s="28">
        <v>1250000.0</v>
      </c>
      <c r="H2214" s="29"/>
      <c r="I2214" s="28">
        <v>1783.0</v>
      </c>
      <c r="J2214" s="28">
        <v>21401.0</v>
      </c>
      <c r="K2214" s="25" t="s">
        <v>25</v>
      </c>
      <c r="L2214" s="26">
        <v>5.0</v>
      </c>
      <c r="M2214" s="26">
        <v>2.0</v>
      </c>
      <c r="N2214" s="26">
        <v>1.0</v>
      </c>
      <c r="O2214" s="26">
        <v>0.0</v>
      </c>
      <c r="P2214" s="30"/>
      <c r="Q2214" s="35">
        <v>61.0</v>
      </c>
      <c r="R2214" s="32">
        <v>44468.0</v>
      </c>
      <c r="S2214" s="32">
        <v>44407.0</v>
      </c>
      <c r="T2214" s="29"/>
      <c r="U2214" s="33"/>
      <c r="V2214" s="1"/>
    </row>
    <row r="2215" ht="24.0" customHeight="1">
      <c r="A2215" s="1"/>
      <c r="B2215" s="24" t="str">
        <f>HYPERLINK("https://www.compass.com/listing/112-west-18th-street-unit-ph6c-manhattan-ny-10011/921887854468680097/view?agent_id=610d3f3370540700019b0833","112 West 18th Street, Unit PH6C")</f>
        <v>112 West 18th Street, Unit PH6C</v>
      </c>
      <c r="C2215" s="25" t="s">
        <v>364</v>
      </c>
      <c r="D2215" s="26" t="s">
        <v>23</v>
      </c>
      <c r="E2215" s="27" t="str">
        <f>HYPERLINK("https://www.compass.com/building/the-brooks-van-horne-condominium-manhattan-ny/281904368926606453/","The Brooks Van Horne Condominium")</f>
        <v>The Brooks Van Horne Condominium</v>
      </c>
      <c r="F2215" s="25" t="s">
        <v>27</v>
      </c>
      <c r="G2215" s="28">
        <v>2550000.0</v>
      </c>
      <c r="H2215" s="28">
        <v>1584.0</v>
      </c>
      <c r="I2215" s="28">
        <v>2578.0</v>
      </c>
      <c r="J2215" s="28">
        <v>22512.0</v>
      </c>
      <c r="K2215" s="25" t="s">
        <v>28</v>
      </c>
      <c r="L2215" s="26">
        <v>5.0</v>
      </c>
      <c r="M2215" s="26">
        <v>2.0</v>
      </c>
      <c r="N2215" s="26">
        <v>0.0</v>
      </c>
      <c r="O2215" s="26">
        <v>0.0</v>
      </c>
      <c r="P2215" s="34">
        <v>1610.0</v>
      </c>
      <c r="Q2215" s="31"/>
      <c r="R2215" s="32">
        <v>44581.0</v>
      </c>
      <c r="S2215" s="33"/>
      <c r="T2215" s="29"/>
      <c r="U2215" s="33"/>
      <c r="V2215" s="1"/>
    </row>
    <row r="2216" ht="24.0" customHeight="1">
      <c r="A2216" s="1"/>
      <c r="B2216" s="24" t="str">
        <f>HYPERLINK("https://www.compass.com/listing/205-east-10th-street-unit-2b-manhattan-ny-10003/1166566224109220585/view?agent_id=610d3f3370540700019b0833","205 East 10th Street, Unit 2B")</f>
        <v>205 East 10th Street, Unit 2B</v>
      </c>
      <c r="C2216" s="25" t="s">
        <v>364</v>
      </c>
      <c r="D2216" s="26" t="s">
        <v>23</v>
      </c>
      <c r="E2216" s="27" t="str">
        <f>HYPERLINK("https://www.compass.com/building/205-e-10th-st-manhattan-ny-10003/281890490469584357/","205 E 10th St")</f>
        <v>205 E 10th St</v>
      </c>
      <c r="F2216" s="25" t="s">
        <v>24</v>
      </c>
      <c r="G2216" s="28">
        <v>1375000.0</v>
      </c>
      <c r="H2216" s="28">
        <v>1375.0</v>
      </c>
      <c r="I2216" s="28">
        <v>2037.0</v>
      </c>
      <c r="J2216" s="28">
        <v>0.0</v>
      </c>
      <c r="K2216" s="25" t="s">
        <v>25</v>
      </c>
      <c r="L2216" s="26">
        <v>3.0</v>
      </c>
      <c r="M2216" s="26">
        <v>2.0</v>
      </c>
      <c r="N2216" s="26">
        <v>1.0</v>
      </c>
      <c r="O2216" s="30"/>
      <c r="P2216" s="34">
        <v>1000.0</v>
      </c>
      <c r="Q2216" s="35">
        <v>37.0</v>
      </c>
      <c r="R2216" s="32">
        <v>44898.0</v>
      </c>
      <c r="S2216" s="32">
        <v>44861.0</v>
      </c>
      <c r="T2216" s="29"/>
      <c r="U2216" s="33"/>
      <c r="V2216" s="1"/>
    </row>
    <row r="2217" ht="24.0" customHeight="1">
      <c r="A2217" s="1"/>
      <c r="B2217" s="24" t="str">
        <f>HYPERLINK("https://www.compass.com/listing/117-east-10th-street-unit-4-manhattan-ny-10003/617843624409234473/view?agent_id=610d3f3370540700019b0833","117 East 10th Street, Unit 4")</f>
        <v>117 East 10th Street, Unit 4</v>
      </c>
      <c r="C2217" s="25" t="s">
        <v>365</v>
      </c>
      <c r="D2217" s="26" t="s">
        <v>23</v>
      </c>
      <c r="E2217" s="27" t="str">
        <f>HYPERLINK("https://www.compass.com/building/117-e-10th-st-manhattan-ny-10003/282063829108558917/","117 E 10th St")</f>
        <v>117 E 10th St</v>
      </c>
      <c r="F2217" s="25" t="s">
        <v>24</v>
      </c>
      <c r="G2217" s="28">
        <v>1900000.0</v>
      </c>
      <c r="H2217" s="29"/>
      <c r="I2217" s="28">
        <v>1901.0</v>
      </c>
      <c r="J2217" s="28">
        <v>0.0</v>
      </c>
      <c r="K2217" s="25" t="s">
        <v>25</v>
      </c>
      <c r="L2217" s="26">
        <v>5.0</v>
      </c>
      <c r="M2217" s="26">
        <v>2.0</v>
      </c>
      <c r="N2217" s="26">
        <v>1.0</v>
      </c>
      <c r="O2217" s="26">
        <v>0.0</v>
      </c>
      <c r="P2217" s="30"/>
      <c r="Q2217" s="35">
        <v>18.0</v>
      </c>
      <c r="R2217" s="32">
        <v>44122.0</v>
      </c>
      <c r="S2217" s="32">
        <v>44104.0</v>
      </c>
      <c r="T2217" s="29"/>
      <c r="U2217" s="33"/>
      <c r="V2217" s="1"/>
    </row>
    <row r="2218" ht="24.0" customHeight="1">
      <c r="A2218" s="1"/>
      <c r="B2218" s="24" t="str">
        <f>HYPERLINK("https://www.compass.com/listing/234-west-21st-street-unit-32-new-york-ny-10011/1028800041160854761/view?agent_id=610d3f3370540700019b0833","234 West 21st Street, Unit 32")</f>
        <v>234 West 21st Street, Unit 32</v>
      </c>
      <c r="C2218" s="25" t="s">
        <v>364</v>
      </c>
      <c r="D2218" s="26" t="s">
        <v>23</v>
      </c>
      <c r="E2218" s="27" t="str">
        <f>HYPERLINK("https://www.compass.com/building/234-west-21st-street-new-york-ny/281907472074035573/","234 West 21st Street")</f>
        <v>234 West 21st Street</v>
      </c>
      <c r="F2218" s="25" t="s">
        <v>27</v>
      </c>
      <c r="G2218" s="28">
        <v>1395000.0</v>
      </c>
      <c r="H2218" s="29"/>
      <c r="I2218" s="28">
        <v>1273.0</v>
      </c>
      <c r="J2218" s="28">
        <v>0.0</v>
      </c>
      <c r="K2218" s="25" t="s">
        <v>25</v>
      </c>
      <c r="L2218" s="26">
        <v>6.0</v>
      </c>
      <c r="M2218" s="26">
        <v>2.0</v>
      </c>
      <c r="N2218" s="26">
        <v>1.0</v>
      </c>
      <c r="O2218" s="30"/>
      <c r="P2218" s="30"/>
      <c r="Q2218" s="35">
        <v>71.0</v>
      </c>
      <c r="R2218" s="32">
        <v>44742.0</v>
      </c>
      <c r="S2218" s="32">
        <v>44671.0</v>
      </c>
      <c r="T2218" s="29"/>
      <c r="U2218" s="33"/>
      <c r="V2218" s="1"/>
    </row>
    <row r="2219" ht="24.0" customHeight="1">
      <c r="A2219" s="1"/>
      <c r="B2219" s="24" t="str">
        <f>HYPERLINK("https://www.compass.com/listing/24-west-83rd-street-unit-5r-manhattan-ny-10024/872483428957812929/view?agent_id=610d3f3370540700019b0833","24 West 83rd Street, Unit 5R")</f>
        <v>24 West 83rd Street, Unit 5R</v>
      </c>
      <c r="C2219" s="25" t="s">
        <v>364</v>
      </c>
      <c r="D2219" s="26" t="s">
        <v>23</v>
      </c>
      <c r="E2219" s="27" t="str">
        <f>HYPERLINK("https://www.compass.com/building/24-w-83rd-st-manhattan-ny-10024/281924814766119781/","24 W 83rd St")</f>
        <v>24 W 83rd St</v>
      </c>
      <c r="F2219" s="25" t="s">
        <v>29</v>
      </c>
      <c r="G2219" s="28">
        <v>849000.0</v>
      </c>
      <c r="H2219" s="29"/>
      <c r="I2219" s="28">
        <v>1394.0</v>
      </c>
      <c r="J2219" s="29"/>
      <c r="K2219" s="25" t="s">
        <v>25</v>
      </c>
      <c r="L2219" s="26">
        <v>5.0</v>
      </c>
      <c r="M2219" s="26">
        <v>2.0</v>
      </c>
      <c r="N2219" s="26">
        <v>0.0</v>
      </c>
      <c r="O2219" s="26">
        <v>0.0</v>
      </c>
      <c r="P2219" s="30"/>
      <c r="Q2219" s="35">
        <v>171.0</v>
      </c>
      <c r="R2219" s="32">
        <v>45636.0</v>
      </c>
      <c r="S2219" s="32">
        <v>41707.0</v>
      </c>
      <c r="T2219" s="29"/>
      <c r="U2219" s="33"/>
      <c r="V2219" s="1"/>
    </row>
    <row r="2220" ht="24.0" customHeight="1">
      <c r="A2220" s="1"/>
      <c r="B2220" s="24" t="str">
        <f>HYPERLINK("https://www.compass.com/listing/345-west-70th-street-unit-5f-manhattan-ny-10023/1520476648847216945/view?agent_id=610d3f3370540700019b0833","345 West 70th Street, Unit 5F")</f>
        <v>345 West 70th Street, Unit 5F</v>
      </c>
      <c r="C2220" s="25" t="s">
        <v>365</v>
      </c>
      <c r="D2220" s="26" t="s">
        <v>23</v>
      </c>
      <c r="E2220" s="27" t="str">
        <f>HYPERLINK("https://www.compass.com/building/345-w-70th-st-manhattan-ny-10023/281960274032929269/","345 W 70th St")</f>
        <v>345 W 70th St</v>
      </c>
      <c r="F2220" s="25" t="s">
        <v>29</v>
      </c>
      <c r="G2220" s="28">
        <v>1390000.0</v>
      </c>
      <c r="H2220" s="29"/>
      <c r="I2220" s="28">
        <v>2014.0</v>
      </c>
      <c r="J2220" s="28">
        <v>0.0</v>
      </c>
      <c r="K2220" s="25" t="s">
        <v>25</v>
      </c>
      <c r="L2220" s="26">
        <v>4.0</v>
      </c>
      <c r="M2220" s="26">
        <v>2.0</v>
      </c>
      <c r="N2220" s="26">
        <v>1.0</v>
      </c>
      <c r="O2220" s="30"/>
      <c r="P2220" s="30"/>
      <c r="Q2220" s="35">
        <v>184.0</v>
      </c>
      <c r="R2220" s="32">
        <v>45534.0</v>
      </c>
      <c r="S2220" s="32">
        <v>45349.0</v>
      </c>
      <c r="T2220" s="29"/>
      <c r="U2220" s="33"/>
      <c r="V2220" s="1"/>
    </row>
    <row r="2221" ht="24.0" customHeight="1">
      <c r="A2221" s="1"/>
      <c r="B2221" s="24" t="str">
        <f>HYPERLINK("https://www.compass.com/listing/165-west-66th-street-unit-17h-manhattan-ny-10023/920849323532404801/view?agent_id=610d3f3370540700019b0833","165 West 66th Street, Unit 17H")</f>
        <v>165 West 66th Street, Unit 17H</v>
      </c>
      <c r="C2221" s="25" t="s">
        <v>364</v>
      </c>
      <c r="D2221" s="26" t="s">
        <v>23</v>
      </c>
      <c r="E2221" s="27" t="str">
        <f>HYPERLINK("https://www.compass.com/building/lincoln-terrace-manhattan-ny/281957165508400581/","Lincoln Terrace")</f>
        <v>Lincoln Terrace</v>
      </c>
      <c r="F2221" s="25" t="s">
        <v>29</v>
      </c>
      <c r="G2221" s="28">
        <v>1249000.0</v>
      </c>
      <c r="H2221" s="29"/>
      <c r="I2221" s="28">
        <v>2050.0</v>
      </c>
      <c r="J2221" s="29"/>
      <c r="K2221" s="25" t="s">
        <v>25</v>
      </c>
      <c r="L2221" s="26">
        <v>4.0</v>
      </c>
      <c r="M2221" s="26">
        <v>2.0</v>
      </c>
      <c r="N2221" s="26">
        <v>1.0</v>
      </c>
      <c r="O2221" s="26">
        <v>0.0</v>
      </c>
      <c r="P2221" s="30"/>
      <c r="Q2221" s="35">
        <v>80.0</v>
      </c>
      <c r="R2221" s="32">
        <v>45636.0</v>
      </c>
      <c r="S2221" s="32">
        <v>42855.0</v>
      </c>
      <c r="T2221" s="29"/>
      <c r="U2221" s="33"/>
      <c r="V2221" s="1"/>
    </row>
    <row r="2222" ht="24.0" customHeight="1">
      <c r="A2222" s="1"/>
      <c r="B2222" s="24" t="str">
        <f>HYPERLINK("https://www.compass.com/listing/157-west-78th-street-unit-6-manhattan-ny-10024/29394142471736481/view?agent_id=610d3f3370540700019b0833","157 West 78th Street, Unit 6")</f>
        <v>157 West 78th Street, Unit 6</v>
      </c>
      <c r="C2222" s="25" t="s">
        <v>364</v>
      </c>
      <c r="D2222" s="26" t="s">
        <v>23</v>
      </c>
      <c r="E2222" s="27" t="str">
        <f>HYPERLINK("https://www.compass.com/building/157-w-78th-st-manhattan-ny-10024/281962998594088997/","157 W 78th St")</f>
        <v>157 W 78th St</v>
      </c>
      <c r="F2222" s="25" t="s">
        <v>29</v>
      </c>
      <c r="G2222" s="28">
        <v>1850000.0</v>
      </c>
      <c r="H2222" s="29"/>
      <c r="I2222" s="28">
        <v>1740.0</v>
      </c>
      <c r="J2222" s="29"/>
      <c r="K2222" s="25" t="s">
        <v>25</v>
      </c>
      <c r="L2222" s="26">
        <v>4.0</v>
      </c>
      <c r="M2222" s="26">
        <v>2.0</v>
      </c>
      <c r="N2222" s="26">
        <v>0.0</v>
      </c>
      <c r="O2222" s="26">
        <v>0.0</v>
      </c>
      <c r="P2222" s="30"/>
      <c r="Q2222" s="35">
        <v>28.0</v>
      </c>
      <c r="R2222" s="32">
        <v>45636.0</v>
      </c>
      <c r="S2222" s="32">
        <v>41354.0</v>
      </c>
      <c r="T2222" s="29"/>
      <c r="U2222" s="33"/>
      <c r="V2222" s="1"/>
    </row>
    <row r="2223" ht="24.0" customHeight="1">
      <c r="A2223" s="1"/>
      <c r="B2223" s="24" t="str">
        <f>HYPERLINK("https://www.compass.com/listing/119-east-10th-street-unit-garden-manhattan-ny-10003/192566552485263489/view?agent_id=610d3f3370540700019b0833","119 East 10th Street, Unit GARDEN")</f>
        <v>119 East 10th Street, Unit GARDEN</v>
      </c>
      <c r="C2223" s="25" t="s">
        <v>364</v>
      </c>
      <c r="D2223" s="26" t="s">
        <v>23</v>
      </c>
      <c r="E2223" s="27" t="str">
        <f>HYPERLINK("https://www.compass.com/building/119-e-10th-st-manhattan-ny-10003/282064654908298789/","119 E 10th St")</f>
        <v>119 E 10th St</v>
      </c>
      <c r="F2223" s="25" t="s">
        <v>24</v>
      </c>
      <c r="G2223" s="28">
        <v>1760000.0</v>
      </c>
      <c r="H2223" s="29"/>
      <c r="I2223" s="28">
        <v>2377.0</v>
      </c>
      <c r="J2223" s="29"/>
      <c r="K2223" s="25" t="s">
        <v>25</v>
      </c>
      <c r="L2223" s="26">
        <v>6.0</v>
      </c>
      <c r="M2223" s="26">
        <v>2.0</v>
      </c>
      <c r="N2223" s="26">
        <v>0.0</v>
      </c>
      <c r="O2223" s="26">
        <v>1.0</v>
      </c>
      <c r="P2223" s="30"/>
      <c r="Q2223" s="31"/>
      <c r="R2223" s="32">
        <v>44581.0</v>
      </c>
      <c r="S2223" s="33"/>
      <c r="T2223" s="29"/>
      <c r="U2223" s="33"/>
      <c r="V2223" s="1"/>
    </row>
    <row r="2224" ht="24.0" customHeight="1">
      <c r="A2224" s="1"/>
      <c r="B2224" s="24" t="str">
        <f>HYPERLINK("https://www.compass.com/listing/149-west-22nd-street-unit-1-manhattan-ny-10011/784772178678309841/view?agent_id=610d3f3370540700019b0833","149 West 22nd Street, Unit 1")</f>
        <v>149 West 22nd Street, Unit 1</v>
      </c>
      <c r="C2224" s="25" t="s">
        <v>364</v>
      </c>
      <c r="D2224" s="26" t="s">
        <v>23</v>
      </c>
      <c r="E2224" s="27" t="str">
        <f t="shared" ref="E2224:E2225" si="40">HYPERLINK("https://www.compass.com/building/149-w-22nd-st-manhattan-ny-10011/307454155488521557/","149 W 22nd St")</f>
        <v>149 W 22nd St</v>
      </c>
      <c r="F2224" s="25" t="s">
        <v>27</v>
      </c>
      <c r="G2224" s="28">
        <v>3500000.0</v>
      </c>
      <c r="H2224" s="28">
        <v>1346.0</v>
      </c>
      <c r="I2224" s="28">
        <v>3171.0</v>
      </c>
      <c r="J2224" s="29"/>
      <c r="K2224" s="25" t="s">
        <v>25</v>
      </c>
      <c r="L2224" s="26">
        <v>4.0</v>
      </c>
      <c r="M2224" s="26">
        <v>2.0</v>
      </c>
      <c r="N2224" s="26">
        <v>0.0</v>
      </c>
      <c r="O2224" s="26">
        <v>0.0</v>
      </c>
      <c r="P2224" s="34">
        <v>2600.0</v>
      </c>
      <c r="Q2224" s="35">
        <v>61.0</v>
      </c>
      <c r="R2224" s="32">
        <v>45636.0</v>
      </c>
      <c r="S2224" s="32">
        <v>42257.0</v>
      </c>
      <c r="T2224" s="29"/>
      <c r="U2224" s="33"/>
      <c r="V2224" s="1"/>
    </row>
    <row r="2225" ht="24.0" customHeight="1">
      <c r="A2225" s="1"/>
      <c r="B2225" s="24" t="str">
        <f>HYPERLINK("https://www.compass.com/listing/149-west-22nd-street-unit-1-manhattan-ny-10011/920464484363322377/view?agent_id=610d3f3370540700019b0833","149 West 22nd Street, Unit 1")</f>
        <v>149 West 22nd Street, Unit 1</v>
      </c>
      <c r="C2225" s="25" t="s">
        <v>364</v>
      </c>
      <c r="D2225" s="26" t="s">
        <v>23</v>
      </c>
      <c r="E2225" s="27" t="str">
        <f t="shared" si="40"/>
        <v>149 W 22nd St</v>
      </c>
      <c r="F2225" s="25" t="s">
        <v>27</v>
      </c>
      <c r="G2225" s="28">
        <v>3500000.0</v>
      </c>
      <c r="H2225" s="28">
        <v>1346.0</v>
      </c>
      <c r="I2225" s="28">
        <v>3171.0</v>
      </c>
      <c r="J2225" s="29"/>
      <c r="K2225" s="25" t="s">
        <v>25</v>
      </c>
      <c r="L2225" s="26">
        <v>4.0</v>
      </c>
      <c r="M2225" s="26">
        <v>2.0</v>
      </c>
      <c r="N2225" s="26">
        <v>0.0</v>
      </c>
      <c r="O2225" s="26">
        <v>0.0</v>
      </c>
      <c r="P2225" s="34">
        <v>2600.0</v>
      </c>
      <c r="Q2225" s="35">
        <v>142.0</v>
      </c>
      <c r="R2225" s="32">
        <v>45636.0</v>
      </c>
      <c r="S2225" s="32">
        <v>42100.0</v>
      </c>
      <c r="T2225" s="29"/>
      <c r="U2225" s="33"/>
      <c r="V2225" s="1"/>
    </row>
    <row r="2226" ht="24.0" customHeight="1">
      <c r="A2226" s="1"/>
      <c r="B2226" s="24" t="str">
        <f>HYPERLINK("https://www.compass.com/listing/149-sullivan-street-unit-6c-manhattan-ny-10012/1029639905498510465/view?agent_id=610d3f3370540700019b0833","149 Sullivan Street, Unit 6C")</f>
        <v>149 Sullivan Street, Unit 6C</v>
      </c>
      <c r="C2226" s="25" t="s">
        <v>364</v>
      </c>
      <c r="D2226" s="26" t="s">
        <v>23</v>
      </c>
      <c r="E2226" s="27" t="str">
        <f>HYPERLINK("https://www.compass.com/building/149-sullivan-st-manhattan-ny-10012/281913189606648645/","149 Sullivan St")</f>
        <v>149 Sullivan St</v>
      </c>
      <c r="F2226" s="25" t="s">
        <v>53</v>
      </c>
      <c r="G2226" s="28">
        <v>745000.0</v>
      </c>
      <c r="H2226" s="29"/>
      <c r="I2226" s="28">
        <v>1108.0</v>
      </c>
      <c r="J2226" s="28">
        <v>0.0</v>
      </c>
      <c r="K2226" s="25" t="s">
        <v>25</v>
      </c>
      <c r="L2226" s="26">
        <v>4.0</v>
      </c>
      <c r="M2226" s="26">
        <v>2.0</v>
      </c>
      <c r="N2226" s="26">
        <v>1.0</v>
      </c>
      <c r="O2226" s="30"/>
      <c r="P2226" s="30"/>
      <c r="Q2226" s="35">
        <v>124.0</v>
      </c>
      <c r="R2226" s="32">
        <v>44797.0</v>
      </c>
      <c r="S2226" s="32">
        <v>44672.0</v>
      </c>
      <c r="T2226" s="29"/>
      <c r="U2226" s="33"/>
      <c r="V2226" s="1"/>
    </row>
    <row r="2227" ht="24.0" customHeight="1">
      <c r="A2227" s="1"/>
      <c r="B2227" s="24" t="str">
        <f>HYPERLINK("https://www.compass.com/listing/39-bond-street-unit-3s-manhattan-ny-10012/4852276567478384209/view?agent_id=610d3f3370540700019b0833","39 Bond Street, Unit 3S")</f>
        <v>39 Bond Street, Unit 3S</v>
      </c>
      <c r="C2227" s="25" t="s">
        <v>364</v>
      </c>
      <c r="D2227" s="26" t="s">
        <v>23</v>
      </c>
      <c r="E2227" s="27" t="str">
        <f>HYPERLINK("https://www.compass.com/building/39-bond-st-manhattan-ny-10012/282062911940102549/","39 Bond St")</f>
        <v>39 Bond St</v>
      </c>
      <c r="F2227" s="25" t="s">
        <v>57</v>
      </c>
      <c r="G2227" s="28">
        <v>2350000.0</v>
      </c>
      <c r="H2227" s="28">
        <v>1469.0</v>
      </c>
      <c r="I2227" s="28">
        <v>800.0</v>
      </c>
      <c r="J2227" s="29"/>
      <c r="K2227" s="25" t="s">
        <v>25</v>
      </c>
      <c r="L2227" s="26">
        <v>6.0</v>
      </c>
      <c r="M2227" s="26">
        <v>2.0</v>
      </c>
      <c r="N2227" s="26">
        <v>0.0</v>
      </c>
      <c r="O2227" s="26">
        <v>0.0</v>
      </c>
      <c r="P2227" s="34">
        <v>1600.0</v>
      </c>
      <c r="Q2227" s="35">
        <v>1764.0</v>
      </c>
      <c r="R2227" s="32">
        <v>44581.0</v>
      </c>
      <c r="S2227" s="32">
        <v>41172.0</v>
      </c>
      <c r="T2227" s="29"/>
      <c r="U2227" s="33"/>
      <c r="V2227" s="1"/>
    </row>
    <row r="2228" ht="24.0" customHeight="1">
      <c r="A2228" s="1"/>
      <c r="B2228" s="24" t="str">
        <f>HYPERLINK("https://www.compass.com/listing/521-west-23rd-street-unit-3r-manhattan-ny-10011/803312854194835673/view?agent_id=610d3f3370540700019b0833","521 West 23rd Street, Unit 3R")</f>
        <v>521 West 23rd Street, Unit 3R</v>
      </c>
      <c r="C2228" s="25" t="s">
        <v>364</v>
      </c>
      <c r="D2228" s="26" t="s">
        <v>23</v>
      </c>
      <c r="E2228" s="27" t="str">
        <f>HYPERLINK("https://www.compass.com/building/521-w-23rd-st-manhattan-ny-10011/281911552997616309/","521 W 23rd St")</f>
        <v>521 W 23rd St</v>
      </c>
      <c r="F2228" s="25" t="s">
        <v>27</v>
      </c>
      <c r="G2228" s="28">
        <v>2995000.0</v>
      </c>
      <c r="H2228" s="28">
        <v>1409.0</v>
      </c>
      <c r="I2228" s="28">
        <v>5173.0</v>
      </c>
      <c r="J2228" s="28">
        <v>47988.0</v>
      </c>
      <c r="K2228" s="25" t="s">
        <v>28</v>
      </c>
      <c r="L2228" s="26">
        <v>4.0</v>
      </c>
      <c r="M2228" s="26">
        <v>2.0</v>
      </c>
      <c r="N2228" s="26">
        <v>0.0</v>
      </c>
      <c r="O2228" s="26">
        <v>0.0</v>
      </c>
      <c r="P2228" s="34">
        <v>2126.0</v>
      </c>
      <c r="Q2228" s="35">
        <v>166.0</v>
      </c>
      <c r="R2228" s="32">
        <v>45636.0</v>
      </c>
      <c r="S2228" s="32">
        <v>41795.0</v>
      </c>
      <c r="T2228" s="29"/>
      <c r="U2228" s="33"/>
      <c r="V2228" s="1"/>
    </row>
    <row r="2229" ht="24.0" customHeight="1">
      <c r="A2229" s="1"/>
      <c r="B2229" s="24" t="str">
        <f>HYPERLINK("https://www.compass.com/listing/300-east-23rd-street-unit-17c-manhattan-ny-10010/29382217369192721/view?agent_id=610d3f3370540700019b0833","300 East 23rd Street, Unit 17C")</f>
        <v>300 East 23rd Street, Unit 17C</v>
      </c>
      <c r="C2229" s="25" t="s">
        <v>370</v>
      </c>
      <c r="D2229" s="26" t="s">
        <v>23</v>
      </c>
      <c r="E2229" s="27" t="str">
        <f>HYPERLINK("https://www.compass.com/building/tempo-manhattan-ny/281902794510712821/","Tempo")</f>
        <v>Tempo</v>
      </c>
      <c r="F2229" s="25" t="s">
        <v>48</v>
      </c>
      <c r="G2229" s="28">
        <v>2450000.0</v>
      </c>
      <c r="H2229" s="28">
        <v>1852.0</v>
      </c>
      <c r="I2229" s="28">
        <v>3369.0</v>
      </c>
      <c r="J2229" s="28">
        <v>13836.0</v>
      </c>
      <c r="K2229" s="25" t="s">
        <v>28</v>
      </c>
      <c r="L2229" s="26">
        <v>5.0</v>
      </c>
      <c r="M2229" s="26">
        <v>2.0</v>
      </c>
      <c r="N2229" s="26">
        <v>0.0</v>
      </c>
      <c r="O2229" s="26">
        <v>0.0</v>
      </c>
      <c r="P2229" s="34">
        <v>1323.0</v>
      </c>
      <c r="Q2229" s="35">
        <v>95.0</v>
      </c>
      <c r="R2229" s="32">
        <v>45636.0</v>
      </c>
      <c r="S2229" s="32">
        <v>42610.0</v>
      </c>
      <c r="T2229" s="29"/>
      <c r="U2229" s="33"/>
      <c r="V2229" s="1"/>
    </row>
    <row r="2230" ht="24.0" customHeight="1">
      <c r="A2230" s="1"/>
      <c r="B2230" s="24" t="str">
        <f>HYPERLINK("https://www.compass.com/listing/260-park-avenue-south-unit-3d-manhattan-ny-10010/1838891894939924097/view?agent_id=610d3f3370540700019b0833","260 Park Avenue South, Unit 3D")</f>
        <v>260 Park Avenue South, Unit 3D</v>
      </c>
      <c r="C2230" s="25" t="s">
        <v>364</v>
      </c>
      <c r="D2230" s="26" t="s">
        <v>23</v>
      </c>
      <c r="E2230" s="27" t="str">
        <f t="shared" ref="E2230:E2231" si="41">HYPERLINK("https://www.compass.com/building/260-park-ave-s-manhattan-ny-10010/294848738346289573/","260 Park Ave S")</f>
        <v>260 Park Ave S</v>
      </c>
      <c r="F2230" s="25" t="s">
        <v>115</v>
      </c>
      <c r="G2230" s="28">
        <v>3695000.0</v>
      </c>
      <c r="H2230" s="28">
        <v>2031.0</v>
      </c>
      <c r="I2230" s="28">
        <v>3964.0</v>
      </c>
      <c r="J2230" s="28">
        <v>21900.0</v>
      </c>
      <c r="K2230" s="25" t="s">
        <v>28</v>
      </c>
      <c r="L2230" s="26">
        <v>4.0</v>
      </c>
      <c r="M2230" s="26">
        <v>2.0</v>
      </c>
      <c r="N2230" s="26">
        <v>0.0</v>
      </c>
      <c r="O2230" s="26">
        <v>0.0</v>
      </c>
      <c r="P2230" s="34">
        <v>1819.0</v>
      </c>
      <c r="Q2230" s="35">
        <v>147.0</v>
      </c>
      <c r="R2230" s="32">
        <v>45636.0</v>
      </c>
      <c r="S2230" s="32">
        <v>42110.0</v>
      </c>
      <c r="T2230" s="29"/>
      <c r="U2230" s="33"/>
      <c r="V2230" s="1"/>
    </row>
    <row r="2231" ht="24.0" customHeight="1">
      <c r="A2231" s="1"/>
      <c r="B2231" s="24" t="str">
        <f>HYPERLINK("https://www.compass.com/listing/260-park-avenue-south-unit-3-d-manhattan-ny-10010/459445591192396473/view?agent_id=610d3f3370540700019b0833","260 Park Avenue South, Unit 3/D")</f>
        <v>260 Park Avenue South, Unit 3/D</v>
      </c>
      <c r="C2231" s="25" t="s">
        <v>364</v>
      </c>
      <c r="D2231" s="26" t="s">
        <v>23</v>
      </c>
      <c r="E2231" s="27" t="str">
        <f t="shared" si="41"/>
        <v>260 Park Ave S</v>
      </c>
      <c r="F2231" s="25" t="s">
        <v>115</v>
      </c>
      <c r="G2231" s="28">
        <v>3695000.0</v>
      </c>
      <c r="H2231" s="28">
        <v>2031.0</v>
      </c>
      <c r="I2231" s="28">
        <v>3964.0</v>
      </c>
      <c r="J2231" s="28">
        <v>21900.0</v>
      </c>
      <c r="K2231" s="25" t="s">
        <v>28</v>
      </c>
      <c r="L2231" s="26">
        <v>4.0</v>
      </c>
      <c r="M2231" s="26">
        <v>2.0</v>
      </c>
      <c r="N2231" s="26">
        <v>0.0</v>
      </c>
      <c r="O2231" s="26">
        <v>0.0</v>
      </c>
      <c r="P2231" s="34">
        <v>1819.0</v>
      </c>
      <c r="Q2231" s="35">
        <v>21.0</v>
      </c>
      <c r="R2231" s="32">
        <v>45636.0</v>
      </c>
      <c r="S2231" s="32">
        <v>42257.0</v>
      </c>
      <c r="T2231" s="29"/>
      <c r="U2231" s="33"/>
      <c r="V2231" s="1"/>
    </row>
    <row r="2232" ht="24.0" customHeight="1">
      <c r="A2232" s="1"/>
      <c r="B2232" s="24" t="str">
        <f>HYPERLINK("https://www.compass.com/listing/64-macdougal-street-unit-17-18-manhattan-ny-10012/4852324282719547233/view?agent_id=610d3f3370540700019b0833","64 MacDougal Street, Unit 17/18")</f>
        <v>64 MacDougal Street, Unit 17/18</v>
      </c>
      <c r="C2232" s="25" t="s">
        <v>364</v>
      </c>
      <c r="D2232" s="26" t="s">
        <v>23</v>
      </c>
      <c r="E2232" s="27" t="str">
        <f>HYPERLINK("https://www.compass.com/building/64-macdougal-st-manhattan-ny-10012/294835712549205829/","64 Macdougal St")</f>
        <v>64 Macdougal St</v>
      </c>
      <c r="F2232" s="25" t="s">
        <v>53</v>
      </c>
      <c r="G2232" s="28">
        <v>970000.0</v>
      </c>
      <c r="H2232" s="29"/>
      <c r="I2232" s="28">
        <v>1402.0</v>
      </c>
      <c r="J2232" s="29"/>
      <c r="K2232" s="25" t="s">
        <v>25</v>
      </c>
      <c r="L2232" s="26">
        <v>4.0</v>
      </c>
      <c r="M2232" s="26">
        <v>2.0</v>
      </c>
      <c r="N2232" s="26">
        <v>0.0</v>
      </c>
      <c r="O2232" s="26">
        <v>0.0</v>
      </c>
      <c r="P2232" s="30"/>
      <c r="Q2232" s="35">
        <v>37.0</v>
      </c>
      <c r="R2232" s="32">
        <v>45636.0</v>
      </c>
      <c r="S2232" s="32">
        <v>41821.0</v>
      </c>
      <c r="T2232" s="29"/>
      <c r="U2232" s="33"/>
      <c r="V2232" s="1"/>
    </row>
    <row r="2233" ht="24.0" customHeight="1">
      <c r="A2233" s="1"/>
      <c r="B2233" s="24" t="str">
        <f>HYPERLINK("https://www.compass.com/listing/450-west-17th-street-unit-1909-manhattan-ny-10011/803303326624076769/view?agent_id=610d3f3370540700019b0833","450 West 17th Street, Unit 1909")</f>
        <v>450 West 17th Street, Unit 1909</v>
      </c>
      <c r="C2233" s="25" t="s">
        <v>364</v>
      </c>
      <c r="D2233" s="26" t="s">
        <v>23</v>
      </c>
      <c r="E2233" s="27" t="str">
        <f>HYPERLINK("https://www.compass.com/building/the-caledonia-manhattan-ny/281910674349645621/","The Caledonia")</f>
        <v>The Caledonia</v>
      </c>
      <c r="F2233" s="25" t="s">
        <v>27</v>
      </c>
      <c r="G2233" s="28">
        <v>4990000.0</v>
      </c>
      <c r="H2233" s="28">
        <v>3048.0</v>
      </c>
      <c r="I2233" s="28">
        <v>2502.0</v>
      </c>
      <c r="J2233" s="28">
        <v>9024.0</v>
      </c>
      <c r="K2233" s="25" t="s">
        <v>28</v>
      </c>
      <c r="L2233" s="26">
        <v>4.0</v>
      </c>
      <c r="M2233" s="26">
        <v>2.0</v>
      </c>
      <c r="N2233" s="26">
        <v>0.0</v>
      </c>
      <c r="O2233" s="26">
        <v>0.0</v>
      </c>
      <c r="P2233" s="34">
        <v>1637.0</v>
      </c>
      <c r="Q2233" s="35">
        <v>158.0</v>
      </c>
      <c r="R2233" s="32">
        <v>45636.0</v>
      </c>
      <c r="S2233" s="32">
        <v>42180.0</v>
      </c>
      <c r="T2233" s="29"/>
      <c r="U2233" s="33"/>
      <c r="V2233" s="1"/>
    </row>
    <row r="2234" ht="24.0" customHeight="1">
      <c r="A2234" s="1"/>
      <c r="B2234" s="24" t="str">
        <f>HYPERLINK("https://www.compass.com/listing/45-park-place-unit-19w-manhattan-ny-10007/1838918671762634337/view?agent_id=610d3f3370540700019b0833","45 Park Place, Unit 19W")</f>
        <v>45 Park Place, Unit 19W</v>
      </c>
      <c r="C2234" s="25" t="s">
        <v>364</v>
      </c>
      <c r="D2234" s="26" t="s">
        <v>23</v>
      </c>
      <c r="E2234" s="27" t="str">
        <f>HYPERLINK("https://www.compass.com/building/45-park-pl-manhattan-ny-10007/282067474101344021/","45 Park Pl")</f>
        <v>45 Park Pl</v>
      </c>
      <c r="F2234" s="25" t="s">
        <v>60</v>
      </c>
      <c r="G2234" s="28">
        <v>3945000.0</v>
      </c>
      <c r="H2234" s="28">
        <v>2521.0</v>
      </c>
      <c r="I2234" s="28">
        <v>4202.0</v>
      </c>
      <c r="J2234" s="28">
        <v>25848.0</v>
      </c>
      <c r="K2234" s="25" t="s">
        <v>28</v>
      </c>
      <c r="L2234" s="26">
        <v>4.0</v>
      </c>
      <c r="M2234" s="26">
        <v>2.0</v>
      </c>
      <c r="N2234" s="26">
        <v>0.0</v>
      </c>
      <c r="O2234" s="26">
        <v>0.0</v>
      </c>
      <c r="P2234" s="34">
        <v>1565.0</v>
      </c>
      <c r="Q2234" s="35">
        <v>263.0</v>
      </c>
      <c r="R2234" s="32">
        <v>44581.0</v>
      </c>
      <c r="S2234" s="32">
        <v>42908.0</v>
      </c>
      <c r="T2234" s="29"/>
      <c r="U2234" s="33"/>
      <c r="V2234" s="1"/>
    </row>
    <row r="2235" ht="24.0" customHeight="1">
      <c r="A2235" s="1"/>
      <c r="B2235" s="24" t="str">
        <f>HYPERLINK("https://www.compass.com/listing/35-bond-street-unit-5-manhattan-ny-10012/4852349963797008753/view?agent_id=610d3f3370540700019b0833","35 Bond St, Unit 5")</f>
        <v>35 Bond St, Unit 5</v>
      </c>
      <c r="C2235" s="25" t="s">
        <v>364</v>
      </c>
      <c r="D2235" s="26" t="s">
        <v>23</v>
      </c>
      <c r="E2235" s="27" t="str">
        <f>HYPERLINK("https://www.compass.com/building/35-bond-st-manhattan-ny-10012/281914925880736149/","35 Bond St")</f>
        <v>35 Bond St</v>
      </c>
      <c r="F2235" s="25" t="s">
        <v>57</v>
      </c>
      <c r="G2235" s="28">
        <v>5995000.0</v>
      </c>
      <c r="H2235" s="28">
        <v>1873.0</v>
      </c>
      <c r="I2235" s="28">
        <v>1600.0</v>
      </c>
      <c r="J2235" s="28">
        <v>0.0</v>
      </c>
      <c r="K2235" s="25" t="s">
        <v>25</v>
      </c>
      <c r="L2235" s="26">
        <v>5.0</v>
      </c>
      <c r="M2235" s="26">
        <v>2.0</v>
      </c>
      <c r="N2235" s="30"/>
      <c r="O2235" s="30"/>
      <c r="P2235" s="34">
        <v>3200.0</v>
      </c>
      <c r="Q2235" s="35">
        <v>301.0</v>
      </c>
      <c r="R2235" s="32">
        <v>42409.0</v>
      </c>
      <c r="S2235" s="32">
        <v>42107.0</v>
      </c>
      <c r="T2235" s="29"/>
      <c r="U2235" s="33"/>
      <c r="V2235" s="1"/>
    </row>
    <row r="2236" ht="24.0" customHeight="1">
      <c r="A2236" s="1"/>
      <c r="B2236" s="24" t="str">
        <f>HYPERLINK("https://www.compass.com/listing/234-east-23rd-street-unit-15b-manhattan-ny-10010/4852320831713328513/view?agent_id=610d3f3370540700019b0833","234 East 23rd Street, Unit 15B")</f>
        <v>234 East 23rd Street, Unit 15B</v>
      </c>
      <c r="C2236" s="25" t="s">
        <v>364</v>
      </c>
      <c r="D2236" s="26" t="s">
        <v>23</v>
      </c>
      <c r="E2236" s="27" t="str">
        <f>HYPERLINK("https://www.compass.com/building/234-e-23rd-st-manhattan-ny-10010/281902437273452789/","234 E 23rd St")</f>
        <v>234 E 23rd St</v>
      </c>
      <c r="F2236" s="25" t="s">
        <v>48</v>
      </c>
      <c r="G2236" s="28">
        <v>2395000.0</v>
      </c>
      <c r="H2236" s="28">
        <v>1908.0</v>
      </c>
      <c r="I2236" s="28">
        <v>2799.0</v>
      </c>
      <c r="J2236" s="28">
        <v>18972.0</v>
      </c>
      <c r="K2236" s="25" t="s">
        <v>28</v>
      </c>
      <c r="L2236" s="26">
        <v>4.0</v>
      </c>
      <c r="M2236" s="26">
        <v>2.0</v>
      </c>
      <c r="N2236" s="26">
        <v>0.0</v>
      </c>
      <c r="O2236" s="26">
        <v>0.0</v>
      </c>
      <c r="P2236" s="34">
        <v>1255.0</v>
      </c>
      <c r="Q2236" s="35">
        <v>195.0</v>
      </c>
      <c r="R2236" s="32">
        <v>44581.0</v>
      </c>
      <c r="S2236" s="32">
        <v>41927.0</v>
      </c>
      <c r="T2236" s="29"/>
      <c r="U2236" s="33"/>
      <c r="V2236" s="1"/>
    </row>
    <row r="2237" ht="24.0" customHeight="1">
      <c r="A2237" s="1"/>
      <c r="B2237" s="24" t="str">
        <f>HYPERLINK("https://www.compass.com/listing/456-west-19th-street-unit-phi-manhattan-ny-10011/1838946649087560481/view?agent_id=610d3f3370540700019b0833","456 West 19th Street, Unit PHI")</f>
        <v>456 West 19th Street, Unit PHI</v>
      </c>
      <c r="C2237" s="25" t="s">
        <v>364</v>
      </c>
      <c r="D2237" s="26" t="s">
        <v>23</v>
      </c>
      <c r="E2237" s="27" t="str">
        <f>HYPERLINK("https://www.compass.com/building/456-w-19th-st-manhattan-ny-10011/281910858127269813/","456 W 19th St")</f>
        <v>456 W 19th St</v>
      </c>
      <c r="F2237" s="25" t="s">
        <v>27</v>
      </c>
      <c r="G2237" s="28">
        <v>7500000.0</v>
      </c>
      <c r="H2237" s="28">
        <v>3054.0</v>
      </c>
      <c r="I2237" s="28">
        <v>4585.0</v>
      </c>
      <c r="J2237" s="28">
        <v>2112.0</v>
      </c>
      <c r="K2237" s="25" t="s">
        <v>28</v>
      </c>
      <c r="L2237" s="26">
        <v>6.0</v>
      </c>
      <c r="M2237" s="26">
        <v>2.0</v>
      </c>
      <c r="N2237" s="26">
        <v>0.0</v>
      </c>
      <c r="O2237" s="26">
        <v>0.0</v>
      </c>
      <c r="P2237" s="34">
        <v>2456.0</v>
      </c>
      <c r="Q2237" s="35">
        <v>152.0</v>
      </c>
      <c r="R2237" s="32">
        <v>44581.0</v>
      </c>
      <c r="S2237" s="32">
        <v>41317.0</v>
      </c>
      <c r="T2237" s="29"/>
      <c r="U2237" s="33"/>
      <c r="V2237" s="1"/>
    </row>
    <row r="2238" ht="24.0" customHeight="1">
      <c r="A2238" s="1"/>
      <c r="B2238" s="24" t="str">
        <f>HYPERLINK("https://www.compass.com/listing/315-east-12th-street-unit-30-manhattan-ny-10003/1429860320334976601/view?agent_id=610d3f3370540700019b0833","315 East 12th Street, Unit 30")</f>
        <v>315 East 12th Street, Unit 30</v>
      </c>
      <c r="C2238" s="25" t="s">
        <v>364</v>
      </c>
      <c r="D2238" s="26" t="s">
        <v>23</v>
      </c>
      <c r="E2238" s="27" t="str">
        <f>HYPERLINK("https://www.compass.com/building/315-e-12th-st-manhattan-ny-10003/281892290446758901/","315 E 12th St")</f>
        <v>315 E 12th St</v>
      </c>
      <c r="F2238" s="25" t="s">
        <v>24</v>
      </c>
      <c r="G2238" s="28">
        <v>895000.0</v>
      </c>
      <c r="H2238" s="29"/>
      <c r="I2238" s="28">
        <v>922.0</v>
      </c>
      <c r="J2238" s="28">
        <v>0.0</v>
      </c>
      <c r="K2238" s="25" t="s">
        <v>25</v>
      </c>
      <c r="L2238" s="26">
        <v>4.0</v>
      </c>
      <c r="M2238" s="26">
        <v>2.0</v>
      </c>
      <c r="N2238" s="26">
        <v>1.0</v>
      </c>
      <c r="O2238" s="26">
        <v>0.0</v>
      </c>
      <c r="P2238" s="30"/>
      <c r="Q2238" s="35">
        <v>175.0</v>
      </c>
      <c r="R2238" s="32">
        <v>45400.0</v>
      </c>
      <c r="S2238" s="32">
        <v>45224.0</v>
      </c>
      <c r="T2238" s="29"/>
      <c r="U2238" s="33"/>
      <c r="V2238" s="1"/>
    </row>
    <row r="2239" ht="24.0" customHeight="1">
      <c r="A2239" s="1"/>
      <c r="B2239" s="24" t="str">
        <f>HYPERLINK("https://www.compass.com/listing/160-east-22nd-street-unit-9cc-manhattan-ny-10010/4852308297312646577/view?agent_id=610d3f3370540700019b0833","160 East 22nd Street, Unit 9CC")</f>
        <v>160 East 22nd Street, Unit 9CC</v>
      </c>
      <c r="C2239" s="25" t="s">
        <v>364</v>
      </c>
      <c r="D2239" s="26" t="s">
        <v>23</v>
      </c>
      <c r="E2239" s="27" t="str">
        <f>HYPERLINK("https://www.compass.com/building/160-e-22nd-st-manhattan-ny-10010/292796862321154661/","160 E 22nd St")</f>
        <v>160 E 22nd St</v>
      </c>
      <c r="F2239" s="25" t="s">
        <v>48</v>
      </c>
      <c r="G2239" s="28">
        <v>2468000.0</v>
      </c>
      <c r="H2239" s="28">
        <v>2174.0</v>
      </c>
      <c r="I2239" s="28">
        <v>2374.0</v>
      </c>
      <c r="J2239" s="28">
        <v>14844.0</v>
      </c>
      <c r="K2239" s="25" t="s">
        <v>28</v>
      </c>
      <c r="L2239" s="26">
        <v>4.0</v>
      </c>
      <c r="M2239" s="26">
        <v>2.0</v>
      </c>
      <c r="N2239" s="26">
        <v>0.0</v>
      </c>
      <c r="O2239" s="26">
        <v>0.0</v>
      </c>
      <c r="P2239" s="34">
        <v>1135.0</v>
      </c>
      <c r="Q2239" s="35">
        <v>41.0</v>
      </c>
      <c r="R2239" s="32">
        <v>45636.0</v>
      </c>
      <c r="S2239" s="32">
        <v>42668.0</v>
      </c>
      <c r="T2239" s="29"/>
      <c r="U2239" s="33"/>
      <c r="V2239" s="1"/>
    </row>
    <row r="2240" ht="24.0" customHeight="1">
      <c r="A2240" s="1"/>
      <c r="B2240" s="24" t="str">
        <f>HYPERLINK("https://www.compass.com/listing/130-barrow-street-unit-ph2-manhattan-ny-10014/29367146178011745/view?agent_id=610d3f3370540700019b0833","130 Barrow Street, Unit PH2")</f>
        <v>130 Barrow Street, Unit PH2</v>
      </c>
      <c r="C2240" s="25" t="s">
        <v>364</v>
      </c>
      <c r="D2240" s="26" t="s">
        <v>23</v>
      </c>
      <c r="E2240" s="27" t="str">
        <f>HYPERLINK("https://www.compass.com/building/130-barrow-st-manhattan-ny-10014/281929836933460117/","130 Barrow St")</f>
        <v>130 Barrow St</v>
      </c>
      <c r="F2240" s="25" t="s">
        <v>26</v>
      </c>
      <c r="G2240" s="28">
        <v>1950000.0</v>
      </c>
      <c r="H2240" s="29"/>
      <c r="I2240" s="28">
        <v>2411.0</v>
      </c>
      <c r="J2240" s="28">
        <v>11256.0</v>
      </c>
      <c r="K2240" s="25" t="s">
        <v>28</v>
      </c>
      <c r="L2240" s="26">
        <v>5.0</v>
      </c>
      <c r="M2240" s="26">
        <v>2.0</v>
      </c>
      <c r="N2240" s="26">
        <v>0.0</v>
      </c>
      <c r="O2240" s="26">
        <v>0.0</v>
      </c>
      <c r="P2240" s="30"/>
      <c r="Q2240" s="35">
        <v>467.0</v>
      </c>
      <c r="R2240" s="32">
        <v>45636.0</v>
      </c>
      <c r="S2240" s="32">
        <v>41481.0</v>
      </c>
      <c r="T2240" s="29"/>
      <c r="U2240" s="33"/>
      <c r="V2240" s="1"/>
    </row>
    <row r="2241" ht="24.0" customHeight="1">
      <c r="A2241" s="1"/>
      <c r="B2241" s="24" t="str">
        <f>HYPERLINK("https://www.compass.com/listing/244-west-23rd-street-unit-5b-manhattan-ny-10011/29372276264779313/view?agent_id=610d3f3370540700019b0833","244 West 23rd Street, Unit 5B")</f>
        <v>244 West 23rd Street, Unit 5B</v>
      </c>
      <c r="C2241" s="25" t="s">
        <v>364</v>
      </c>
      <c r="D2241" s="26" t="s">
        <v>23</v>
      </c>
      <c r="E2241" s="27" t="str">
        <f>HYPERLINK("https://www.compass.com/building/244-w-23rd-st-manhattan-ny-10011/281907817030374149/","244 W 23rd St")</f>
        <v>244 W 23rd St</v>
      </c>
      <c r="F2241" s="25" t="s">
        <v>27</v>
      </c>
      <c r="G2241" s="28">
        <v>2795000.0</v>
      </c>
      <c r="H2241" s="28">
        <v>1725.0</v>
      </c>
      <c r="I2241" s="28">
        <v>2248.0</v>
      </c>
      <c r="J2241" s="29"/>
      <c r="K2241" s="25" t="s">
        <v>25</v>
      </c>
      <c r="L2241" s="26">
        <v>5.0</v>
      </c>
      <c r="M2241" s="26">
        <v>2.0</v>
      </c>
      <c r="N2241" s="26">
        <v>0.0</v>
      </c>
      <c r="O2241" s="26">
        <v>0.0</v>
      </c>
      <c r="P2241" s="34">
        <v>1620.0</v>
      </c>
      <c r="Q2241" s="35">
        <v>23.0</v>
      </c>
      <c r="R2241" s="32">
        <v>45636.0</v>
      </c>
      <c r="S2241" s="32">
        <v>42178.0</v>
      </c>
      <c r="T2241" s="29"/>
      <c r="U2241" s="33"/>
      <c r="V2241" s="1"/>
    </row>
    <row r="2242" ht="24.0" customHeight="1">
      <c r="A2242" s="1"/>
      <c r="B2242" s="24" t="str">
        <f>HYPERLINK("https://www.compass.com/listing/200-west-78th-street-unit-5dy-manhattan-ny-10024/1838950904368662689/view?agent_id=610d3f3370540700019b0833","200 West 78th Street, Unit 5DY")</f>
        <v>200 West 78th Street, Unit 5DY</v>
      </c>
      <c r="C2242" s="25" t="s">
        <v>364</v>
      </c>
      <c r="D2242" s="26" t="s">
        <v>23</v>
      </c>
      <c r="E2242" s="27" t="str">
        <f>HYPERLINK("https://www.compass.com/building/200-w-78th-st-manhattan-ny-10024/281963585628879173/","200 W 78th St")</f>
        <v>200 W 78th St</v>
      </c>
      <c r="F2242" s="25" t="s">
        <v>29</v>
      </c>
      <c r="G2242" s="28">
        <v>1895000.0</v>
      </c>
      <c r="H2242" s="28">
        <v>1905.0</v>
      </c>
      <c r="I2242" s="28">
        <v>2475.0</v>
      </c>
      <c r="J2242" s="28">
        <v>13116.0</v>
      </c>
      <c r="K2242" s="25" t="s">
        <v>28</v>
      </c>
      <c r="L2242" s="26">
        <v>5.0</v>
      </c>
      <c r="M2242" s="26">
        <v>2.0</v>
      </c>
      <c r="N2242" s="26">
        <v>0.0</v>
      </c>
      <c r="O2242" s="26">
        <v>0.0</v>
      </c>
      <c r="P2242" s="26">
        <v>995.0</v>
      </c>
      <c r="Q2242" s="35">
        <v>82.0</v>
      </c>
      <c r="R2242" s="32">
        <v>45636.0</v>
      </c>
      <c r="S2242" s="32">
        <v>42123.0</v>
      </c>
      <c r="T2242" s="29"/>
      <c r="U2242" s="33"/>
      <c r="V2242" s="1"/>
    </row>
    <row r="2243" ht="24.0" customHeight="1">
      <c r="A2243" s="1"/>
      <c r="B2243" s="24" t="str">
        <f>HYPERLINK("https://www.compass.com/listing/177-9th-avenue-unit-phd-manhattan-ny-10011/95563072634220881/view?agent_id=610d3f3370540700019b0833","177 9th Avenue, Unit PHD")</f>
        <v>177 9th Avenue, Unit PHD</v>
      </c>
      <c r="C2243" s="25" t="s">
        <v>364</v>
      </c>
      <c r="D2243" s="26" t="s">
        <v>23</v>
      </c>
      <c r="E2243" s="27" t="str">
        <f>HYPERLINK("https://www.compass.com/building/chelsea-enclave-manhattan-ny/281906223471678517/","Chelsea Enclave ")</f>
        <v>Chelsea Enclave </v>
      </c>
      <c r="F2243" s="25" t="s">
        <v>27</v>
      </c>
      <c r="G2243" s="28">
        <v>5200000.0</v>
      </c>
      <c r="H2243" s="28">
        <v>3013.0</v>
      </c>
      <c r="I2243" s="28">
        <v>4341.0</v>
      </c>
      <c r="J2243" s="29"/>
      <c r="K2243" s="25" t="s">
        <v>209</v>
      </c>
      <c r="L2243" s="26">
        <v>5.0</v>
      </c>
      <c r="M2243" s="26">
        <v>2.0</v>
      </c>
      <c r="N2243" s="26">
        <v>0.0</v>
      </c>
      <c r="O2243" s="26">
        <v>0.0</v>
      </c>
      <c r="P2243" s="34">
        <v>1726.0</v>
      </c>
      <c r="Q2243" s="35">
        <v>125.0</v>
      </c>
      <c r="R2243" s="32">
        <v>45636.0</v>
      </c>
      <c r="S2243" s="32">
        <v>42779.0</v>
      </c>
      <c r="T2243" s="29"/>
      <c r="U2243" s="33"/>
      <c r="V2243" s="1"/>
    </row>
    <row r="2244" ht="24.0" customHeight="1">
      <c r="A2244" s="1"/>
      <c r="B2244" s="24" t="str">
        <f>HYPERLINK("https://www.compass.com/listing/300-west-109th-street-unit-6m-manhattan-ny-10025/1557961375480933601/view?agent_id=610d3f3370540700019b0833","300 West 109th Street, Unit 6M")</f>
        <v>300 West 109th Street, Unit 6M</v>
      </c>
      <c r="C2244" s="25" t="s">
        <v>370</v>
      </c>
      <c r="D2244" s="26" t="s">
        <v>23</v>
      </c>
      <c r="E2244" s="27" t="str">
        <f>HYPERLINK("https://www.compass.com/building/the-manhasset-manhattan-ny/282059751188102629/","The Manhasset")</f>
        <v>The Manhasset</v>
      </c>
      <c r="F2244" s="25" t="s">
        <v>29</v>
      </c>
      <c r="G2244" s="28">
        <v>1150000.0</v>
      </c>
      <c r="H2244" s="29"/>
      <c r="I2244" s="28">
        <v>2195.0</v>
      </c>
      <c r="J2244" s="28">
        <v>0.0</v>
      </c>
      <c r="K2244" s="25" t="s">
        <v>25</v>
      </c>
      <c r="L2244" s="26">
        <v>4.0</v>
      </c>
      <c r="M2244" s="26">
        <v>2.0</v>
      </c>
      <c r="N2244" s="26">
        <v>1.0</v>
      </c>
      <c r="O2244" s="30"/>
      <c r="P2244" s="30"/>
      <c r="Q2244" s="35">
        <v>196.0</v>
      </c>
      <c r="R2244" s="32">
        <v>45597.0</v>
      </c>
      <c r="S2244" s="32">
        <v>45401.0</v>
      </c>
      <c r="T2244" s="29"/>
      <c r="U2244" s="33"/>
      <c r="V2244" s="1"/>
    </row>
    <row r="2245" ht="24.0" customHeight="1">
      <c r="A2245" s="1"/>
      <c r="B2245" s="24" t="str">
        <f>HYPERLINK("https://www.compass.com/listing/112-west-18th-street-unit-ph6c-manhattan-ny-10011/826837734180314713/view?agent_id=610d3f3370540700019b0833","112 West 18th Street, Unit PH6C")</f>
        <v>112 West 18th Street, Unit PH6C</v>
      </c>
      <c r="C2245" s="25" t="s">
        <v>364</v>
      </c>
      <c r="D2245" s="26" t="s">
        <v>23</v>
      </c>
      <c r="E2245" s="27" t="str">
        <f>HYPERLINK("https://www.compass.com/building/the-brooks-van-horne-condominium-manhattan-ny/281904368926606453/","The Brooks Van Horne Condominium")</f>
        <v>The Brooks Van Horne Condominium</v>
      </c>
      <c r="F2245" s="25" t="s">
        <v>27</v>
      </c>
      <c r="G2245" s="28">
        <v>2550000.0</v>
      </c>
      <c r="H2245" s="28">
        <v>1584.0</v>
      </c>
      <c r="I2245" s="28">
        <v>2578.0</v>
      </c>
      <c r="J2245" s="28">
        <v>22512.0</v>
      </c>
      <c r="K2245" s="25" t="s">
        <v>28</v>
      </c>
      <c r="L2245" s="26">
        <v>5.0</v>
      </c>
      <c r="M2245" s="26">
        <v>2.0</v>
      </c>
      <c r="N2245" s="26">
        <v>0.0</v>
      </c>
      <c r="O2245" s="26">
        <v>0.0</v>
      </c>
      <c r="P2245" s="34">
        <v>1610.0</v>
      </c>
      <c r="Q2245" s="35">
        <v>152.0</v>
      </c>
      <c r="R2245" s="32">
        <v>45636.0</v>
      </c>
      <c r="S2245" s="32">
        <v>42171.0</v>
      </c>
      <c r="T2245" s="29"/>
      <c r="U2245" s="33"/>
      <c r="V2245" s="1"/>
    </row>
    <row r="2246" ht="24.0" customHeight="1">
      <c r="A2246" s="1"/>
      <c r="B2246" s="24" t="str">
        <f>HYPERLINK("https://www.compass.com/listing/50-lexington-avenue-unit-23e-manhattan-ny-10010/29378371016306593/view?agent_id=610d3f3370540700019b0833","50 Lexington Avenue, Unit 23E")</f>
        <v>50 Lexington Avenue, Unit 23E</v>
      </c>
      <c r="C2246" s="25" t="s">
        <v>370</v>
      </c>
      <c r="D2246" s="26" t="s">
        <v>23</v>
      </c>
      <c r="E2246" s="27" t="str">
        <f>HYPERLINK("https://www.compass.com/building/50-lexington-ave-manhattan-ny-10010/281903727927902853/","50 Lexington Ave")</f>
        <v>50 Lexington Ave</v>
      </c>
      <c r="F2246" s="25" t="s">
        <v>115</v>
      </c>
      <c r="G2246" s="28">
        <v>1695000.0</v>
      </c>
      <c r="H2246" s="29"/>
      <c r="I2246" s="28">
        <v>2524.0</v>
      </c>
      <c r="J2246" s="29"/>
      <c r="K2246" s="25" t="s">
        <v>25</v>
      </c>
      <c r="L2246" s="26">
        <v>0.0</v>
      </c>
      <c r="M2246" s="26">
        <v>2.0</v>
      </c>
      <c r="N2246" s="26">
        <v>0.0</v>
      </c>
      <c r="O2246" s="26">
        <v>0.0</v>
      </c>
      <c r="P2246" s="30"/>
      <c r="Q2246" s="35">
        <v>113.0</v>
      </c>
      <c r="R2246" s="32">
        <v>45636.0</v>
      </c>
      <c r="S2246" s="32">
        <v>41517.0</v>
      </c>
      <c r="T2246" s="29"/>
      <c r="U2246" s="33"/>
      <c r="V2246" s="1"/>
    </row>
    <row r="2247" ht="24.0" customHeight="1">
      <c r="A2247" s="1"/>
      <c r="B2247" s="24" t="str">
        <f>HYPERLINK("https://www.compass.com/listing/150-sullivan-street-unit-37-manhattan-ny-10012/642851721780401137/view?agent_id=610d3f3370540700019b0833","150 Sullivan Street, Unit 37")</f>
        <v>150 Sullivan Street, Unit 37</v>
      </c>
      <c r="C2247" s="25" t="s">
        <v>365</v>
      </c>
      <c r="D2247" s="26" t="s">
        <v>23</v>
      </c>
      <c r="E2247" s="27" t="str">
        <f>HYPERLINK("https://www.compass.com/building/150-sullivan-st-manhattan-ny-10012/281913203322022197/","150 Sullivan St")</f>
        <v>150 Sullivan St</v>
      </c>
      <c r="F2247" s="25" t="s">
        <v>53</v>
      </c>
      <c r="G2247" s="28">
        <v>575000.0</v>
      </c>
      <c r="H2247" s="29"/>
      <c r="I2247" s="28">
        <v>1012.0</v>
      </c>
      <c r="J2247" s="28">
        <v>0.0</v>
      </c>
      <c r="K2247" s="25" t="s">
        <v>25</v>
      </c>
      <c r="L2247" s="26">
        <v>1.0</v>
      </c>
      <c r="M2247" s="26">
        <v>2.0</v>
      </c>
      <c r="N2247" s="26">
        <v>1.0</v>
      </c>
      <c r="O2247" s="30"/>
      <c r="P2247" s="30"/>
      <c r="Q2247" s="35">
        <v>167.0</v>
      </c>
      <c r="R2247" s="32">
        <v>44305.0</v>
      </c>
      <c r="S2247" s="32">
        <v>44138.0</v>
      </c>
      <c r="T2247" s="29"/>
      <c r="U2247" s="33"/>
      <c r="V2247" s="1"/>
    </row>
    <row r="2248" ht="24.0" customHeight="1">
      <c r="A2248" s="1"/>
      <c r="B2248" s="24" t="str">
        <f>HYPERLINK("https://www.compass.com/listing/170-2nd-avenue-unit-3b-manhattan-ny-10003/803382017420835905/view?agent_id=610d3f3370540700019b0833","170 2nd Avenue, Unit 3B")</f>
        <v>170 2nd Avenue, Unit 3B</v>
      </c>
      <c r="C2248" s="25" t="s">
        <v>364</v>
      </c>
      <c r="D2248" s="26" t="s">
        <v>23</v>
      </c>
      <c r="E2248" s="27" t="str">
        <f>HYPERLINK("https://www.compass.com/building/170-2nd-ave-manhattan-ny-10003/281890110633413797/","170 2nd Ave")</f>
        <v>170 2nd Ave</v>
      </c>
      <c r="F2248" s="25" t="s">
        <v>24</v>
      </c>
      <c r="G2248" s="28">
        <v>2200000.0</v>
      </c>
      <c r="H2248" s="28">
        <v>1538.0</v>
      </c>
      <c r="I2248" s="28">
        <v>2231.0</v>
      </c>
      <c r="J2248" s="29"/>
      <c r="K2248" s="25" t="s">
        <v>25</v>
      </c>
      <c r="L2248" s="26">
        <v>4.0</v>
      </c>
      <c r="M2248" s="26">
        <v>2.0</v>
      </c>
      <c r="N2248" s="26">
        <v>0.0</v>
      </c>
      <c r="O2248" s="26">
        <v>0.0</v>
      </c>
      <c r="P2248" s="34">
        <v>1430.0</v>
      </c>
      <c r="Q2248" s="35">
        <v>751.0</v>
      </c>
      <c r="R2248" s="32">
        <v>44581.0</v>
      </c>
      <c r="S2248" s="32">
        <v>41176.0</v>
      </c>
      <c r="T2248" s="29"/>
      <c r="U2248" s="33"/>
      <c r="V2248" s="1"/>
    </row>
    <row r="2249" ht="24.0" customHeight="1">
      <c r="A2249" s="1"/>
      <c r="B2249" s="24" t="str">
        <f>HYPERLINK("https://www.compass.com/listing/121-east-23rd-street-unit-14d-manhattan-ny-10010/785177422206054305/view?agent_id=610d3f3370540700019b0833","121 East 23rd Street, Unit 14D")</f>
        <v>121 East 23rd Street, Unit 14D</v>
      </c>
      <c r="C2249" s="25" t="s">
        <v>364</v>
      </c>
      <c r="D2249" s="26" t="s">
        <v>23</v>
      </c>
      <c r="E2249" s="27" t="str">
        <f>HYPERLINK("https://www.compass.com/building/crossing-23rd-manhattan-ny/281901772048448549/","Crossing 23rd")</f>
        <v>Crossing 23rd</v>
      </c>
      <c r="F2249" s="25" t="s">
        <v>115</v>
      </c>
      <c r="G2249" s="28">
        <v>1300000.0</v>
      </c>
      <c r="H2249" s="28">
        <v>1283.0</v>
      </c>
      <c r="I2249" s="28">
        <v>1735.0</v>
      </c>
      <c r="J2249" s="28">
        <v>5736.0</v>
      </c>
      <c r="K2249" s="25" t="s">
        <v>28</v>
      </c>
      <c r="L2249" s="26">
        <v>4.0</v>
      </c>
      <c r="M2249" s="26">
        <v>2.0</v>
      </c>
      <c r="N2249" s="26">
        <v>0.0</v>
      </c>
      <c r="O2249" s="26">
        <v>0.0</v>
      </c>
      <c r="P2249" s="34">
        <v>1013.0</v>
      </c>
      <c r="Q2249" s="31"/>
      <c r="R2249" s="32">
        <v>44581.0</v>
      </c>
      <c r="S2249" s="33"/>
      <c r="T2249" s="29"/>
      <c r="U2249" s="33"/>
      <c r="V2249" s="1"/>
    </row>
    <row r="2250" ht="24.0" customHeight="1">
      <c r="A2250" s="1"/>
      <c r="B2250" s="24" t="str">
        <f>HYPERLINK("https://www.compass.com/listing/234-east-23rd-street-unit-16b-manhattan-ny-10010/4852320422785451329/view?agent_id=610d3f3370540700019b0833","234 East 23rd Street, Unit 16B")</f>
        <v>234 East 23rd Street, Unit 16B</v>
      </c>
      <c r="C2250" s="25" t="s">
        <v>364</v>
      </c>
      <c r="D2250" s="26" t="s">
        <v>23</v>
      </c>
      <c r="E2250" s="27" t="str">
        <f t="shared" ref="E2250:E2251" si="42">HYPERLINK("https://www.compass.com/building/234-e-23rd-st-manhattan-ny-10010/281902437273452789/","234 E 23rd St")</f>
        <v>234 E 23rd St</v>
      </c>
      <c r="F2250" s="25" t="s">
        <v>48</v>
      </c>
      <c r="G2250" s="28">
        <v>3100000.0</v>
      </c>
      <c r="H2250" s="28">
        <v>2278.0</v>
      </c>
      <c r="I2250" s="28">
        <v>3247.0</v>
      </c>
      <c r="J2250" s="28">
        <v>22008.0</v>
      </c>
      <c r="K2250" s="25" t="s">
        <v>28</v>
      </c>
      <c r="L2250" s="26">
        <v>4.0</v>
      </c>
      <c r="M2250" s="26">
        <v>2.0</v>
      </c>
      <c r="N2250" s="26">
        <v>0.0</v>
      </c>
      <c r="O2250" s="26">
        <v>0.0</v>
      </c>
      <c r="P2250" s="34">
        <v>1361.0</v>
      </c>
      <c r="Q2250" s="35">
        <v>195.0</v>
      </c>
      <c r="R2250" s="32">
        <v>44581.0</v>
      </c>
      <c r="S2250" s="32">
        <v>41927.0</v>
      </c>
      <c r="T2250" s="29"/>
      <c r="U2250" s="33"/>
      <c r="V2250" s="1"/>
    </row>
    <row r="2251" ht="24.0" customHeight="1">
      <c r="A2251" s="1"/>
      <c r="B2251" s="24" t="str">
        <f>HYPERLINK("https://www.compass.com/listing/234-east-23rd-street-unit-16a-manhattan-ny-10010/4852320662011776193/view?agent_id=610d3f3370540700019b0833","234 East 23rd Street, Unit 16A")</f>
        <v>234 East 23rd Street, Unit 16A</v>
      </c>
      <c r="C2251" s="25" t="s">
        <v>364</v>
      </c>
      <c r="D2251" s="26" t="s">
        <v>23</v>
      </c>
      <c r="E2251" s="27" t="str">
        <f t="shared" si="42"/>
        <v>234 E 23rd St</v>
      </c>
      <c r="F2251" s="25" t="s">
        <v>48</v>
      </c>
      <c r="G2251" s="28">
        <v>3100000.0</v>
      </c>
      <c r="H2251" s="28">
        <v>2251.0</v>
      </c>
      <c r="I2251" s="28">
        <v>3284.0</v>
      </c>
      <c r="J2251" s="28">
        <v>22260.0</v>
      </c>
      <c r="K2251" s="25" t="s">
        <v>28</v>
      </c>
      <c r="L2251" s="26">
        <v>4.0</v>
      </c>
      <c r="M2251" s="26">
        <v>2.0</v>
      </c>
      <c r="N2251" s="26">
        <v>0.0</v>
      </c>
      <c r="O2251" s="26">
        <v>0.0</v>
      </c>
      <c r="P2251" s="34">
        <v>1377.0</v>
      </c>
      <c r="Q2251" s="35">
        <v>195.0</v>
      </c>
      <c r="R2251" s="32">
        <v>44581.0</v>
      </c>
      <c r="S2251" s="32">
        <v>41927.0</v>
      </c>
      <c r="T2251" s="29"/>
      <c r="U2251" s="33"/>
      <c r="V2251" s="1"/>
    </row>
    <row r="2252" ht="24.0" customHeight="1">
      <c r="A2252" s="1"/>
      <c r="B2252" s="24" t="str">
        <f>HYPERLINK("https://www.compass.com/listing/170-2nd-avenue-unit-6b-manhattan-ny-10003/70911541473569185/view?agent_id=610d3f3370540700019b0833","170 2nd Avenue, Unit 6B")</f>
        <v>170 2nd Avenue, Unit 6B</v>
      </c>
      <c r="C2252" s="25" t="s">
        <v>370</v>
      </c>
      <c r="D2252" s="26" t="s">
        <v>23</v>
      </c>
      <c r="E2252" s="27" t="str">
        <f>HYPERLINK("https://www.compass.com/building/170-2nd-ave-manhattan-ny-10003/281890110633413797/","170 2nd Ave")</f>
        <v>170 2nd Ave</v>
      </c>
      <c r="F2252" s="25" t="s">
        <v>24</v>
      </c>
      <c r="G2252" s="28">
        <v>1890000.0</v>
      </c>
      <c r="H2252" s="28">
        <v>1400.0</v>
      </c>
      <c r="I2252" s="28">
        <v>1920.0</v>
      </c>
      <c r="J2252" s="29"/>
      <c r="K2252" s="25" t="s">
        <v>25</v>
      </c>
      <c r="L2252" s="26">
        <v>5.0</v>
      </c>
      <c r="M2252" s="26">
        <v>2.0</v>
      </c>
      <c r="N2252" s="26">
        <v>0.0</v>
      </c>
      <c r="O2252" s="26">
        <v>0.0</v>
      </c>
      <c r="P2252" s="34">
        <v>1350.0</v>
      </c>
      <c r="Q2252" s="35">
        <v>0.0</v>
      </c>
      <c r="R2252" s="32">
        <v>44581.0</v>
      </c>
      <c r="S2252" s="32">
        <v>41538.0</v>
      </c>
      <c r="T2252" s="29"/>
      <c r="U2252" s="33"/>
      <c r="V2252" s="1"/>
    </row>
    <row r="2253" ht="24.0" customHeight="1">
      <c r="A2253" s="1"/>
      <c r="B2253" s="24" t="str">
        <f>HYPERLINK("https://www.compass.com/listing/301-west-108th-street-unit-10f-manhattan-ny-10025/425303713723340657/view?agent_id=610d3f3370540700019b0833","301 West 108th Street, Unit 10F")</f>
        <v>301 West 108th Street, Unit 10F</v>
      </c>
      <c r="C2253" s="25" t="s">
        <v>364</v>
      </c>
      <c r="D2253" s="26" t="s">
        <v>23</v>
      </c>
      <c r="E2253" s="27" t="str">
        <f>HYPERLINK("https://www.compass.com/building/301-w-108th-st-manhattan-ny/281970576518631701/","301 W 108th St")</f>
        <v>301 W 108th St</v>
      </c>
      <c r="F2253" s="25" t="s">
        <v>29</v>
      </c>
      <c r="G2253" s="28">
        <v>1325000.0</v>
      </c>
      <c r="H2253" s="28">
        <v>946.0</v>
      </c>
      <c r="I2253" s="28">
        <v>2269.0</v>
      </c>
      <c r="J2253" s="28">
        <v>0.0</v>
      </c>
      <c r="K2253" s="25" t="s">
        <v>25</v>
      </c>
      <c r="L2253" s="26">
        <v>5.0</v>
      </c>
      <c r="M2253" s="26">
        <v>2.0</v>
      </c>
      <c r="N2253" s="26">
        <v>1.0</v>
      </c>
      <c r="O2253" s="26">
        <v>0.0</v>
      </c>
      <c r="P2253" s="34">
        <v>1400.0</v>
      </c>
      <c r="Q2253" s="35">
        <v>69.0</v>
      </c>
      <c r="R2253" s="32">
        <v>44753.0</v>
      </c>
      <c r="S2253" s="32">
        <v>44684.0</v>
      </c>
      <c r="T2253" s="29"/>
      <c r="U2253" s="33"/>
      <c r="V2253" s="1"/>
    </row>
    <row r="2254" ht="24.0" customHeight="1">
      <c r="A2254" s="1"/>
      <c r="B2254" s="24" t="str">
        <f>HYPERLINK("https://www.compass.com/listing/150-sullivan-street-unit-37-manhattan-ny-10012/805077570667753097/view?agent_id=610d3f3370540700019b0833","150 Sullivan Street, Unit 37")</f>
        <v>150 Sullivan Street, Unit 37</v>
      </c>
      <c r="C2254" s="25" t="s">
        <v>364</v>
      </c>
      <c r="D2254" s="26" t="s">
        <v>23</v>
      </c>
      <c r="E2254" s="27" t="str">
        <f t="shared" ref="E2254:E2255" si="43">HYPERLINK("https://www.compass.com/building/150-sullivan-st-manhattan-ny-10012/281913203322022197/","150 Sullivan St")</f>
        <v>150 Sullivan St</v>
      </c>
      <c r="F2254" s="25" t="s">
        <v>53</v>
      </c>
      <c r="G2254" s="28">
        <v>525000.0</v>
      </c>
      <c r="H2254" s="29"/>
      <c r="I2254" s="28">
        <v>1012.0</v>
      </c>
      <c r="J2254" s="28">
        <v>0.0</v>
      </c>
      <c r="K2254" s="25" t="s">
        <v>25</v>
      </c>
      <c r="L2254" s="26">
        <v>4.0</v>
      </c>
      <c r="M2254" s="26">
        <v>2.0</v>
      </c>
      <c r="N2254" s="26">
        <v>1.0</v>
      </c>
      <c r="O2254" s="30"/>
      <c r="P2254" s="30"/>
      <c r="Q2254" s="35">
        <v>1.0</v>
      </c>
      <c r="R2254" s="32">
        <v>44364.0</v>
      </c>
      <c r="S2254" s="32">
        <v>44363.0</v>
      </c>
      <c r="T2254" s="29"/>
      <c r="U2254" s="33"/>
      <c r="V2254" s="1"/>
    </row>
    <row r="2255" ht="24.0" customHeight="1">
      <c r="A2255" s="1"/>
      <c r="B2255" s="24" t="str">
        <f>HYPERLINK("https://www.compass.com/listing/150-sullivan-street-unit-47-manhattan-ny-10012/806549731896066521/view?agent_id=610d3f3370540700019b0833","150 Sullivan Street, Unit 47")</f>
        <v>150 Sullivan Street, Unit 47</v>
      </c>
      <c r="C2255" s="25" t="s">
        <v>364</v>
      </c>
      <c r="D2255" s="26" t="s">
        <v>23</v>
      </c>
      <c r="E2255" s="27" t="str">
        <f t="shared" si="43"/>
        <v>150 Sullivan St</v>
      </c>
      <c r="F2255" s="25" t="s">
        <v>53</v>
      </c>
      <c r="G2255" s="28">
        <v>495000.0</v>
      </c>
      <c r="H2255" s="29"/>
      <c r="I2255" s="28">
        <v>1012.0</v>
      </c>
      <c r="J2255" s="28">
        <v>0.0</v>
      </c>
      <c r="K2255" s="25" t="s">
        <v>25</v>
      </c>
      <c r="L2255" s="26">
        <v>4.0</v>
      </c>
      <c r="M2255" s="26">
        <v>2.0</v>
      </c>
      <c r="N2255" s="26">
        <v>1.0</v>
      </c>
      <c r="O2255" s="30"/>
      <c r="P2255" s="30"/>
      <c r="Q2255" s="35">
        <v>100.0</v>
      </c>
      <c r="R2255" s="32">
        <v>44466.0</v>
      </c>
      <c r="S2255" s="32">
        <v>44365.0</v>
      </c>
      <c r="T2255" s="29"/>
      <c r="U2255" s="33"/>
      <c r="V2255" s="1"/>
    </row>
    <row r="2256" ht="24.0" customHeight="1">
      <c r="A2256" s="1"/>
      <c r="B2256" s="24" t="str">
        <f>HYPERLINK("https://www.compass.com/listing/93-mercer-street-unit-4w-manhattan-ny-10012/4852330046850870817/view?agent_id=610d3f3370540700019b0833","93 Mercer Street, Unit 4W")</f>
        <v>93 Mercer Street, Unit 4W</v>
      </c>
      <c r="C2256" s="25" t="s">
        <v>370</v>
      </c>
      <c r="D2256" s="26" t="s">
        <v>23</v>
      </c>
      <c r="E2256" s="27" t="str">
        <f>HYPERLINK("https://www.compass.com/building/93-mercer-st-manhattan-ny-10012/294841265061465445/","93 Mercer St")</f>
        <v>93 Mercer St</v>
      </c>
      <c r="F2256" s="25" t="s">
        <v>53</v>
      </c>
      <c r="G2256" s="28">
        <v>2150000.0</v>
      </c>
      <c r="H2256" s="28">
        <v>1075.0</v>
      </c>
      <c r="I2256" s="28">
        <v>1875.0</v>
      </c>
      <c r="J2256" s="29"/>
      <c r="K2256" s="25" t="s">
        <v>25</v>
      </c>
      <c r="L2256" s="26">
        <v>5.0</v>
      </c>
      <c r="M2256" s="26">
        <v>2.0</v>
      </c>
      <c r="N2256" s="26">
        <v>0.0</v>
      </c>
      <c r="O2256" s="26">
        <v>0.0</v>
      </c>
      <c r="P2256" s="34">
        <v>2000.0</v>
      </c>
      <c r="Q2256" s="35">
        <v>0.0</v>
      </c>
      <c r="R2256" s="32">
        <v>44581.0</v>
      </c>
      <c r="S2256" s="32">
        <v>41508.0</v>
      </c>
      <c r="T2256" s="29"/>
      <c r="U2256" s="33"/>
      <c r="V2256" s="1"/>
    </row>
    <row r="2257" ht="24.0" customHeight="1">
      <c r="A2257" s="1"/>
      <c r="B2257" s="24" t="str">
        <f>HYPERLINK("https://www.compass.com/listing/620-broadway-unit-2r-manhattan-ny-10012/50849650583925233/view?agent_id=610d3f3370540700019b0833","620 Broadway, Unit 2R")</f>
        <v>620 Broadway, Unit 2R</v>
      </c>
      <c r="C2257" s="25" t="s">
        <v>364</v>
      </c>
      <c r="D2257" s="26" t="s">
        <v>23</v>
      </c>
      <c r="E2257" s="27" t="str">
        <f>HYPERLINK("https://www.compass.com/building/620-broadway-manhattan-ny-10012/281915753727294741/","620 Broadway")</f>
        <v>620 Broadway</v>
      </c>
      <c r="F2257" s="25" t="s">
        <v>57</v>
      </c>
      <c r="G2257" s="28">
        <v>3300000.0</v>
      </c>
      <c r="H2257" s="28">
        <v>1049.0</v>
      </c>
      <c r="I2257" s="28">
        <v>3150.0</v>
      </c>
      <c r="J2257" s="29"/>
      <c r="K2257" s="25" t="s">
        <v>25</v>
      </c>
      <c r="L2257" s="26">
        <v>4.0</v>
      </c>
      <c r="M2257" s="26">
        <v>2.0</v>
      </c>
      <c r="N2257" s="26">
        <v>0.0</v>
      </c>
      <c r="O2257" s="26">
        <v>0.0</v>
      </c>
      <c r="P2257" s="34">
        <v>3146.0</v>
      </c>
      <c r="Q2257" s="35">
        <v>251.0</v>
      </c>
      <c r="R2257" s="32">
        <v>45636.0</v>
      </c>
      <c r="S2257" s="32">
        <v>41885.0</v>
      </c>
      <c r="T2257" s="29"/>
      <c r="U2257" s="33"/>
      <c r="V2257" s="1"/>
    </row>
    <row r="2258" ht="24.0" customHeight="1">
      <c r="A2258" s="1"/>
      <c r="B2258" s="24" t="str">
        <f>HYPERLINK("https://www.compass.com/listing/100-11th-avenue-unit-7d-manhattan-ny-10011/803359952068521545/view?agent_id=610d3f3370540700019b0833","100 11th Avenue, Unit 7D")</f>
        <v>100 11th Avenue, Unit 7D</v>
      </c>
      <c r="C2258" s="25" t="s">
        <v>364</v>
      </c>
      <c r="D2258" s="26" t="s">
        <v>23</v>
      </c>
      <c r="E2258" s="27" t="str">
        <f>HYPERLINK("https://www.compass.com/building/nouvel-chelsea-manhattan-ny/281904023450176421/","Nouvel Chelsea")</f>
        <v>Nouvel Chelsea</v>
      </c>
      <c r="F2258" s="25" t="s">
        <v>27</v>
      </c>
      <c r="G2258" s="28">
        <v>4225000.0</v>
      </c>
      <c r="H2258" s="28">
        <v>2401.0</v>
      </c>
      <c r="I2258" s="28">
        <v>3968.0</v>
      </c>
      <c r="J2258" s="28">
        <v>12168.0</v>
      </c>
      <c r="K2258" s="25" t="s">
        <v>28</v>
      </c>
      <c r="L2258" s="26">
        <v>4.0</v>
      </c>
      <c r="M2258" s="26">
        <v>2.0</v>
      </c>
      <c r="N2258" s="26">
        <v>0.0</v>
      </c>
      <c r="O2258" s="26">
        <v>0.0</v>
      </c>
      <c r="P2258" s="34">
        <v>1760.0</v>
      </c>
      <c r="Q2258" s="35">
        <v>2148.0</v>
      </c>
      <c r="R2258" s="32">
        <v>45636.0</v>
      </c>
      <c r="S2258" s="32">
        <v>42432.0</v>
      </c>
      <c r="T2258" s="29"/>
      <c r="U2258" s="33"/>
      <c r="V2258" s="1"/>
    </row>
    <row r="2259" ht="24.0" customHeight="1">
      <c r="A2259" s="1"/>
      <c r="B2259" s="24" t="str">
        <f>HYPERLINK("https://www.compass.com/listing/63-west-107th-street-unit-44-manhattan-ny-10025/820476798641039801/view?agent_id=610d3f3370540700019b0833","63 West 107th Street, Unit 44")</f>
        <v>63 West 107th Street, Unit 44</v>
      </c>
      <c r="C2259" s="25" t="s">
        <v>365</v>
      </c>
      <c r="D2259" s="26" t="s">
        <v>23</v>
      </c>
      <c r="E2259" s="27" t="str">
        <f>HYPERLINK("https://www.compass.com/building/63-w-107th-st-manhattan-ny-10025/282066876404634933/","63 W 107th St")</f>
        <v>63 W 107th St</v>
      </c>
      <c r="F2259" s="25" t="s">
        <v>29</v>
      </c>
      <c r="G2259" s="28">
        <v>795000.0</v>
      </c>
      <c r="H2259" s="29"/>
      <c r="I2259" s="28">
        <v>1037.0</v>
      </c>
      <c r="J2259" s="28">
        <v>5484.0</v>
      </c>
      <c r="K2259" s="25" t="s">
        <v>28</v>
      </c>
      <c r="L2259" s="26">
        <v>4.0</v>
      </c>
      <c r="M2259" s="26">
        <v>2.0</v>
      </c>
      <c r="N2259" s="26">
        <v>1.0</v>
      </c>
      <c r="O2259" s="30"/>
      <c r="P2259" s="30"/>
      <c r="Q2259" s="31"/>
      <c r="R2259" s="32">
        <v>44383.0</v>
      </c>
      <c r="S2259" s="33"/>
      <c r="T2259" s="29"/>
      <c r="U2259" s="33"/>
      <c r="V2259" s="1"/>
    </row>
    <row r="2260" ht="24.0" customHeight="1">
      <c r="A2260" s="1"/>
      <c r="B2260" s="24" t="str">
        <f>HYPERLINK("https://www.compass.com/listing/2166-broadway-unit-19a-manhattan-ny-10024/29669232828583985/view?agent_id=610d3f3370540700019b0833","2166 Broadway, Unit 19A")</f>
        <v>2166 Broadway, Unit 19A</v>
      </c>
      <c r="C2260" s="25" t="s">
        <v>370</v>
      </c>
      <c r="D2260" s="26" t="s">
        <v>23</v>
      </c>
      <c r="E2260" s="27" t="str">
        <f>HYPERLINK("https://www.compass.com/building/the-opera-manhattan-ny/292869316372679813/","The Opera")</f>
        <v>The Opera</v>
      </c>
      <c r="F2260" s="25" t="s">
        <v>29</v>
      </c>
      <c r="G2260" s="28">
        <v>1375000.0</v>
      </c>
      <c r="H2260" s="29"/>
      <c r="I2260" s="28">
        <v>2970.0</v>
      </c>
      <c r="J2260" s="29"/>
      <c r="K2260" s="25" t="s">
        <v>25</v>
      </c>
      <c r="L2260" s="26">
        <v>4.0</v>
      </c>
      <c r="M2260" s="26">
        <v>2.0</v>
      </c>
      <c r="N2260" s="26">
        <v>0.0</v>
      </c>
      <c r="O2260" s="26">
        <v>0.0</v>
      </c>
      <c r="P2260" s="30"/>
      <c r="Q2260" s="35">
        <v>192.0</v>
      </c>
      <c r="R2260" s="32">
        <v>45636.0</v>
      </c>
      <c r="S2260" s="32">
        <v>43216.0</v>
      </c>
      <c r="T2260" s="29"/>
      <c r="U2260" s="33"/>
      <c r="V2260" s="1"/>
    </row>
    <row r="2261" ht="24.0" customHeight="1">
      <c r="A2261" s="1"/>
      <c r="B2261" s="24" t="str">
        <f>HYPERLINK("https://www.compass.com/listing/101-west-23rd-street-unit-4q-manhattan-ny-10011/192565445692256817/view?agent_id=610d3f3370540700019b0833","101 West 23rd Street, Unit 4Q")</f>
        <v>101 West 23rd Street, Unit 4Q</v>
      </c>
      <c r="C2261" s="25" t="s">
        <v>370</v>
      </c>
      <c r="D2261" s="26" t="s">
        <v>23</v>
      </c>
      <c r="E2261" s="27" t="str">
        <f>HYPERLINK("https://www.compass.com/building/101-w-23rd-st-manhattan-ny-10011/294838378147069173/","101 W 23rd St")</f>
        <v>101 W 23rd St</v>
      </c>
      <c r="F2261" s="25" t="s">
        <v>27</v>
      </c>
      <c r="G2261" s="28">
        <v>325000.0</v>
      </c>
      <c r="H2261" s="28">
        <v>406.0</v>
      </c>
      <c r="I2261" s="28">
        <v>2420.0</v>
      </c>
      <c r="J2261" s="29"/>
      <c r="K2261" s="25" t="s">
        <v>25</v>
      </c>
      <c r="L2261" s="26">
        <v>4.0</v>
      </c>
      <c r="M2261" s="26">
        <v>2.0</v>
      </c>
      <c r="N2261" s="26">
        <v>0.0</v>
      </c>
      <c r="O2261" s="26">
        <v>0.0</v>
      </c>
      <c r="P2261" s="26">
        <v>800.0</v>
      </c>
      <c r="Q2261" s="31"/>
      <c r="R2261" s="32">
        <v>44581.0</v>
      </c>
      <c r="S2261" s="33"/>
      <c r="T2261" s="29"/>
      <c r="U2261" s="33"/>
      <c r="V2261" s="1"/>
    </row>
    <row r="2262" ht="24.0" customHeight="1">
      <c r="A2262" s="1"/>
      <c r="B2262" s="24" t="str">
        <f>HYPERLINK("https://www.compass.com/listing/310-west-99th-street-unit-406-manhattan-ny-10025/1271882338790501233/view?agent_id=610d3f3370540700019b0833","310 West 99th Street, Unit 406")</f>
        <v>310 West 99th Street, Unit 406</v>
      </c>
      <c r="C2262" s="25" t="s">
        <v>365</v>
      </c>
      <c r="D2262" s="26" t="s">
        <v>23</v>
      </c>
      <c r="E2262" s="27" t="str">
        <f>HYPERLINK("https://www.compass.com/building/310-w-99th-st-manhattan-ny-10025/281970866588310197/","310 W 99th St")</f>
        <v>310 W 99th St</v>
      </c>
      <c r="F2262" s="25" t="s">
        <v>29</v>
      </c>
      <c r="G2262" s="28">
        <v>1050000.0</v>
      </c>
      <c r="H2262" s="29"/>
      <c r="I2262" s="28">
        <v>2333.0</v>
      </c>
      <c r="J2262" s="28">
        <v>0.0</v>
      </c>
      <c r="K2262" s="25" t="s">
        <v>25</v>
      </c>
      <c r="L2262" s="26">
        <v>5.0</v>
      </c>
      <c r="M2262" s="26">
        <v>2.0</v>
      </c>
      <c r="N2262" s="26">
        <v>1.0</v>
      </c>
      <c r="O2262" s="30"/>
      <c r="P2262" s="30"/>
      <c r="Q2262" s="35">
        <v>187.0</v>
      </c>
      <c r="R2262" s="32">
        <v>45194.0</v>
      </c>
      <c r="S2262" s="32">
        <v>45006.0</v>
      </c>
      <c r="T2262" s="29"/>
      <c r="U2262" s="33"/>
      <c r="V2262" s="1"/>
    </row>
    <row r="2263" ht="24.0" customHeight="1">
      <c r="A2263" s="1"/>
      <c r="B2263" s="24" t="str">
        <f>HYPERLINK("https://www.compass.com/listing/54-west-16th-street-unit-7e-manhattan-ny-10011/1053681696542626737/view?agent_id=610d3f3370540700019b0833","54 West 16th Street, Unit 7E")</f>
        <v>54 West 16th Street, Unit 7E</v>
      </c>
      <c r="C2263" s="25" t="s">
        <v>364</v>
      </c>
      <c r="D2263" s="26" t="s">
        <v>23</v>
      </c>
      <c r="E2263" s="27" t="str">
        <f>HYPERLINK("https://www.compass.com/building/greenwich-house-manhattan-ny/282066754283278949/","Greenwich House")</f>
        <v>Greenwich House</v>
      </c>
      <c r="F2263" s="25" t="s">
        <v>115</v>
      </c>
      <c r="G2263" s="28">
        <v>1350000.0</v>
      </c>
      <c r="H2263" s="29"/>
      <c r="I2263" s="28">
        <v>1657.0</v>
      </c>
      <c r="J2263" s="28">
        <v>0.0</v>
      </c>
      <c r="K2263" s="25" t="s">
        <v>25</v>
      </c>
      <c r="L2263" s="26">
        <v>4.0</v>
      </c>
      <c r="M2263" s="26">
        <v>2.0</v>
      </c>
      <c r="N2263" s="26">
        <v>1.0</v>
      </c>
      <c r="O2263" s="30"/>
      <c r="P2263" s="30"/>
      <c r="Q2263" s="35">
        <v>56.0</v>
      </c>
      <c r="R2263" s="32">
        <v>44769.0</v>
      </c>
      <c r="S2263" s="32">
        <v>44705.0</v>
      </c>
      <c r="T2263" s="29"/>
      <c r="U2263" s="33"/>
      <c r="V2263" s="1"/>
    </row>
    <row r="2264" ht="24.0" customHeight="1">
      <c r="A2264" s="1"/>
      <c r="B2264" s="24" t="str">
        <f>HYPERLINK("https://www.compass.com/listing/116-west-22nd-street-unit-ph10-manhattan-ny-10011/4852318026051106817/view?agent_id=610d3f3370540700019b0833","116 West 22nd Street, Unit PH10")</f>
        <v>116 West 22nd Street, Unit PH10</v>
      </c>
      <c r="C2264" s="25" t="s">
        <v>370</v>
      </c>
      <c r="D2264" s="26" t="s">
        <v>23</v>
      </c>
      <c r="E2264" s="27" t="str">
        <f>HYPERLINK("https://www.compass.com/building/soma-condominium-manhattan-ny/281904489101805333/","SOMA Condominium")</f>
        <v>SOMA Condominium</v>
      </c>
      <c r="F2264" s="25" t="s">
        <v>27</v>
      </c>
      <c r="G2264" s="28">
        <v>3250000.0</v>
      </c>
      <c r="H2264" s="28">
        <v>1805.0</v>
      </c>
      <c r="I2264" s="28">
        <v>3462.0</v>
      </c>
      <c r="J2264" s="28">
        <v>21204.0</v>
      </c>
      <c r="K2264" s="25" t="s">
        <v>28</v>
      </c>
      <c r="L2264" s="26">
        <v>4.0</v>
      </c>
      <c r="M2264" s="26">
        <v>2.0</v>
      </c>
      <c r="N2264" s="26">
        <v>0.0</v>
      </c>
      <c r="O2264" s="26">
        <v>0.0</v>
      </c>
      <c r="P2264" s="34">
        <v>1801.0</v>
      </c>
      <c r="Q2264" s="35">
        <v>12.0</v>
      </c>
      <c r="R2264" s="32">
        <v>44581.0</v>
      </c>
      <c r="S2264" s="32">
        <v>41933.0</v>
      </c>
      <c r="T2264" s="29"/>
      <c r="U2264" s="33"/>
      <c r="V2264" s="1"/>
    </row>
    <row r="2265" ht="24.0" customHeight="1">
      <c r="A2265" s="1"/>
      <c r="B2265" s="24" t="str">
        <f>HYPERLINK("https://www.compass.com/listing/387-bleecker-street-unit-2-manhattan-ny-10014/192569324584578561/view?agent_id=610d3f3370540700019b0833","387 Bleecker Street, Unit 2")</f>
        <v>387 Bleecker Street, Unit 2</v>
      </c>
      <c r="C2265" s="25" t="s">
        <v>370</v>
      </c>
      <c r="D2265" s="26" t="s">
        <v>23</v>
      </c>
      <c r="E2265" s="27" t="str">
        <f>HYPERLINK("https://www.compass.com/building/387-bleecker-st-manhattan-ny-10014/281933394265292837/","387 Bleecker St")</f>
        <v>387 Bleecker St</v>
      </c>
      <c r="F2265" s="25" t="s">
        <v>26</v>
      </c>
      <c r="G2265" s="28">
        <v>2500000.0</v>
      </c>
      <c r="H2265" s="28">
        <v>2887.0</v>
      </c>
      <c r="I2265" s="28">
        <v>1579.0</v>
      </c>
      <c r="J2265" s="28">
        <v>3396.0</v>
      </c>
      <c r="K2265" s="25" t="s">
        <v>28</v>
      </c>
      <c r="L2265" s="26">
        <v>4.0</v>
      </c>
      <c r="M2265" s="26">
        <v>2.0</v>
      </c>
      <c r="N2265" s="26">
        <v>0.0</v>
      </c>
      <c r="O2265" s="26">
        <v>0.0</v>
      </c>
      <c r="P2265" s="26">
        <v>866.0</v>
      </c>
      <c r="Q2265" s="35">
        <v>0.0</v>
      </c>
      <c r="R2265" s="32">
        <v>44581.0</v>
      </c>
      <c r="S2265" s="32">
        <v>41511.0</v>
      </c>
      <c r="T2265" s="29"/>
      <c r="U2265" s="33"/>
      <c r="V2265" s="1"/>
    </row>
    <row r="2266" ht="24.0" customHeight="1">
      <c r="A2266" s="1"/>
      <c r="B2266" s="24" t="str">
        <f>HYPERLINK("https://www.compass.com/listing/175-west-93rd-street-unit-10k-manhattan-ny-10025/609956601153556561/view?agent_id=610d3f3370540700019b0833","175 West 93rd Street, Unit 10K")</f>
        <v>175 West 93rd Street, Unit 10K</v>
      </c>
      <c r="C2266" s="25" t="s">
        <v>365</v>
      </c>
      <c r="D2266" s="26" t="s">
        <v>23</v>
      </c>
      <c r="E2266" s="27" t="str">
        <f>HYPERLINK("https://www.compass.com/building/the-westwind-manhattan-ny/292824020884175189/","The Westwind")</f>
        <v>The Westwind</v>
      </c>
      <c r="F2266" s="25" t="s">
        <v>29</v>
      </c>
      <c r="G2266" s="28">
        <v>1195000.0</v>
      </c>
      <c r="H2266" s="29"/>
      <c r="I2266" s="28">
        <v>1859.0</v>
      </c>
      <c r="J2266" s="28">
        <v>0.0</v>
      </c>
      <c r="K2266" s="25" t="s">
        <v>25</v>
      </c>
      <c r="L2266" s="26">
        <v>4.0</v>
      </c>
      <c r="M2266" s="26">
        <v>2.0</v>
      </c>
      <c r="N2266" s="26">
        <v>1.0</v>
      </c>
      <c r="O2266" s="26">
        <v>0.0</v>
      </c>
      <c r="P2266" s="30"/>
      <c r="Q2266" s="35">
        <v>71.0</v>
      </c>
      <c r="R2266" s="32">
        <v>44172.0</v>
      </c>
      <c r="S2266" s="32">
        <v>44101.0</v>
      </c>
      <c r="T2266" s="29"/>
      <c r="U2266" s="33"/>
      <c r="V2266" s="1"/>
    </row>
    <row r="2267" ht="24.0" customHeight="1">
      <c r="A2267" s="1"/>
      <c r="B2267" s="24" t="str">
        <f>HYPERLINK("https://www.compass.com/listing/10-madison-square-west-unit-12c-manhattan-ny-10010/29374738732281857/view?agent_id=610d3f3370540700019b0833","10 Madison Square West, Unit 12C")</f>
        <v>10 Madison Square West, Unit 12C</v>
      </c>
      <c r="C2267" s="25" t="s">
        <v>370</v>
      </c>
      <c r="D2267" s="26" t="s">
        <v>23</v>
      </c>
      <c r="E2267" s="27" t="str">
        <f>HYPERLINK("https://www.compass.com/building/10-madison-square-west-manhattan-ny/294838725091521285/","10 Madison Square West")</f>
        <v>10 Madison Square West</v>
      </c>
      <c r="F2267" s="25" t="s">
        <v>115</v>
      </c>
      <c r="G2267" s="28">
        <v>4750000.0</v>
      </c>
      <c r="H2267" s="28">
        <v>2670.0</v>
      </c>
      <c r="I2267" s="28">
        <v>4052.0</v>
      </c>
      <c r="J2267" s="28">
        <v>21888.0</v>
      </c>
      <c r="K2267" s="25" t="s">
        <v>28</v>
      </c>
      <c r="L2267" s="26">
        <v>4.0</v>
      </c>
      <c r="M2267" s="26">
        <v>2.0</v>
      </c>
      <c r="N2267" s="26">
        <v>0.0</v>
      </c>
      <c r="O2267" s="26">
        <v>0.0</v>
      </c>
      <c r="P2267" s="34">
        <v>1779.0</v>
      </c>
      <c r="Q2267" s="35">
        <v>0.0</v>
      </c>
      <c r="R2267" s="32">
        <v>44581.0</v>
      </c>
      <c r="S2267" s="32">
        <v>41674.0</v>
      </c>
      <c r="T2267" s="29"/>
      <c r="U2267" s="33"/>
      <c r="V2267" s="1"/>
    </row>
    <row r="2268" ht="24.0" customHeight="1">
      <c r="A2268" s="1"/>
      <c r="B2268" s="24" t="str">
        <f>HYPERLINK("https://www.compass.com/listing/782-west-end-avenue-unit-82-manhattan-ny-10025/1318855491706865313/view?agent_id=610d3f3370540700019b0833","782 West End Avenue, Unit 82")</f>
        <v>782 West End Avenue, Unit 82</v>
      </c>
      <c r="C2268" s="25" t="s">
        <v>364</v>
      </c>
      <c r="D2268" s="26" t="s">
        <v>23</v>
      </c>
      <c r="E2268" s="27" t="str">
        <f>HYPERLINK("https://www.compass.com/building/782-west-end-ave-manhattan-ny-10025/281926004279125237/","782 West End Ave")</f>
        <v>782 West End Ave</v>
      </c>
      <c r="F2268" s="25" t="s">
        <v>29</v>
      </c>
      <c r="G2268" s="28">
        <v>995000.0</v>
      </c>
      <c r="H2268" s="29"/>
      <c r="I2268" s="28">
        <v>1695.0</v>
      </c>
      <c r="J2268" s="28">
        <v>0.0</v>
      </c>
      <c r="K2268" s="25" t="s">
        <v>25</v>
      </c>
      <c r="L2268" s="26">
        <v>5.0</v>
      </c>
      <c r="M2268" s="26">
        <v>2.0</v>
      </c>
      <c r="N2268" s="26">
        <v>1.0</v>
      </c>
      <c r="O2268" s="30"/>
      <c r="P2268" s="30"/>
      <c r="Q2268" s="35">
        <v>22.0</v>
      </c>
      <c r="R2268" s="32">
        <v>45094.0</v>
      </c>
      <c r="S2268" s="32">
        <v>45071.0</v>
      </c>
      <c r="T2268" s="29"/>
      <c r="U2268" s="33"/>
      <c r="V2268" s="1"/>
    </row>
    <row r="2269" ht="24.0" customHeight="1">
      <c r="A2269" s="1"/>
      <c r="B2269" s="24" t="str">
        <f>HYPERLINK("https://www.compass.com/listing/88-east-3rd-street-unit-fg-manhattan-ny-10003/70916977417369185/view?agent_id=610d3f3370540700019b0833","88 East 3rd Street, Unit FG")</f>
        <v>88 East 3rd Street, Unit FG</v>
      </c>
      <c r="C2269" s="25" t="s">
        <v>364</v>
      </c>
      <c r="D2269" s="26" t="s">
        <v>23</v>
      </c>
      <c r="E2269" s="27" t="str">
        <f>HYPERLINK("https://www.compass.com/building/88-e-3rd-st-manhattan-ny-10003/281895152866306373/","88 E 3rd St")</f>
        <v>88 E 3rd St</v>
      </c>
      <c r="F2269" s="25" t="s">
        <v>24</v>
      </c>
      <c r="G2269" s="28">
        <v>599000.0</v>
      </c>
      <c r="H2269" s="29"/>
      <c r="I2269" s="28">
        <v>1059.0</v>
      </c>
      <c r="J2269" s="29"/>
      <c r="K2269" s="25" t="s">
        <v>25</v>
      </c>
      <c r="L2269" s="26">
        <v>3.0</v>
      </c>
      <c r="M2269" s="26">
        <v>2.0</v>
      </c>
      <c r="N2269" s="26">
        <v>1.0</v>
      </c>
      <c r="O2269" s="26">
        <v>0.0</v>
      </c>
      <c r="P2269" s="30"/>
      <c r="Q2269" s="35">
        <v>65.0</v>
      </c>
      <c r="R2269" s="32">
        <v>45636.0</v>
      </c>
      <c r="S2269" s="32">
        <v>41891.0</v>
      </c>
      <c r="T2269" s="29"/>
      <c r="U2269" s="33"/>
      <c r="V2269" s="1"/>
    </row>
    <row r="2270" ht="24.0" customHeight="1">
      <c r="A2270" s="1"/>
      <c r="B2270" s="24" t="str">
        <f>HYPERLINK("https://www.compass.com/listing/55-west-95th-street-unit-75-manhattan-ny-10025/269354535212854513/view?agent_id=610d3f3370540700019b0833","55 West 95th Street, Unit 75")</f>
        <v>55 West 95th Street, Unit 75</v>
      </c>
      <c r="C2270" s="25" t="s">
        <v>364</v>
      </c>
      <c r="D2270" s="26" t="s">
        <v>23</v>
      </c>
      <c r="E2270" s="27" t="str">
        <f>HYPERLINK("https://www.compass.com/building/55-w-95th-st-manhattan-ny-10025/281972516124187381/","55 W 95th St")</f>
        <v>55 W 95th St</v>
      </c>
      <c r="F2270" s="25" t="s">
        <v>29</v>
      </c>
      <c r="G2270" s="28">
        <v>1099000.0</v>
      </c>
      <c r="H2270" s="29"/>
      <c r="I2270" s="28">
        <v>2442.0</v>
      </c>
      <c r="J2270" s="28">
        <v>0.0</v>
      </c>
      <c r="K2270" s="25" t="s">
        <v>25</v>
      </c>
      <c r="L2270" s="26">
        <v>5.0</v>
      </c>
      <c r="M2270" s="26">
        <v>2.0</v>
      </c>
      <c r="N2270" s="26">
        <v>1.0</v>
      </c>
      <c r="O2270" s="26">
        <v>0.0</v>
      </c>
      <c r="P2270" s="30"/>
      <c r="Q2270" s="35">
        <v>184.0</v>
      </c>
      <c r="R2270" s="32">
        <v>43902.0</v>
      </c>
      <c r="S2270" s="32">
        <v>43623.0</v>
      </c>
      <c r="T2270" s="29"/>
      <c r="U2270" s="33"/>
      <c r="V2270" s="1"/>
    </row>
    <row r="2271" ht="24.0" customHeight="1">
      <c r="A2271" s="1"/>
      <c r="B2271" s="24" t="str">
        <f>HYPERLINK("https://www.compass.com/listing/300-west-109th-street-unit-9g-manhattan-ny-10025/815267063347621841/view?agent_id=610d3f3370540700019b0833","300 West 109th Street, Unit 9G")</f>
        <v>300 West 109th Street, Unit 9G</v>
      </c>
      <c r="C2271" s="25" t="s">
        <v>364</v>
      </c>
      <c r="D2271" s="26" t="s">
        <v>23</v>
      </c>
      <c r="E2271" s="27" t="str">
        <f>HYPERLINK("https://www.compass.com/building/the-manhasset-manhattan-ny/282059751188102629/","The Manhasset")</f>
        <v>The Manhasset</v>
      </c>
      <c r="F2271" s="25" t="s">
        <v>29</v>
      </c>
      <c r="G2271" s="28">
        <v>1250000.0</v>
      </c>
      <c r="H2271" s="29"/>
      <c r="I2271" s="28">
        <v>1843.0</v>
      </c>
      <c r="J2271" s="28">
        <v>0.0</v>
      </c>
      <c r="K2271" s="25" t="s">
        <v>25</v>
      </c>
      <c r="L2271" s="26">
        <v>5.0</v>
      </c>
      <c r="M2271" s="26">
        <v>2.0</v>
      </c>
      <c r="N2271" s="26">
        <v>1.0</v>
      </c>
      <c r="O2271" s="30"/>
      <c r="P2271" s="30"/>
      <c r="Q2271" s="35">
        <v>92.0</v>
      </c>
      <c r="R2271" s="32">
        <v>44468.0</v>
      </c>
      <c r="S2271" s="32">
        <v>44376.0</v>
      </c>
      <c r="T2271" s="29"/>
      <c r="U2271" s="33"/>
      <c r="V2271" s="1"/>
    </row>
    <row r="2272" ht="24.0" customHeight="1">
      <c r="A2272" s="1"/>
      <c r="B2272" s="24" t="str">
        <f>HYPERLINK("https://www.compass.com/listing/677-west-end-avenue-unit-15a-manhattan-ny-10025/1801051771425315545/view?agent_id=610d3f3370540700019b0833","677 West End Avenue, Unit 15A")</f>
        <v>677 West End Avenue, Unit 15A</v>
      </c>
      <c r="C2272" s="25" t="s">
        <v>364</v>
      </c>
      <c r="D2272" s="26" t="s">
        <v>23</v>
      </c>
      <c r="E2272" s="27" t="str">
        <f>HYPERLINK("https://www.compass.com/building/677-west-end-ave-manhattan-ny-10025/281972922896177957/","677 West End Ave")</f>
        <v>677 West End Ave</v>
      </c>
      <c r="F2272" s="25" t="s">
        <v>29</v>
      </c>
      <c r="G2272" s="28">
        <v>1245000.0</v>
      </c>
      <c r="H2272" s="29"/>
      <c r="I2272" s="28">
        <v>2599.0</v>
      </c>
      <c r="J2272" s="28">
        <v>0.0</v>
      </c>
      <c r="K2272" s="25" t="s">
        <v>25</v>
      </c>
      <c r="L2272" s="26">
        <v>4.0</v>
      </c>
      <c r="M2272" s="26">
        <v>2.0</v>
      </c>
      <c r="N2272" s="26">
        <v>1.0</v>
      </c>
      <c r="O2272" s="30"/>
      <c r="P2272" s="30"/>
      <c r="Q2272" s="35">
        <v>60.0</v>
      </c>
      <c r="R2272" s="32">
        <v>45860.0</v>
      </c>
      <c r="S2272" s="32">
        <v>45743.0</v>
      </c>
      <c r="T2272" s="29"/>
      <c r="U2272" s="33"/>
      <c r="V2272" s="1"/>
    </row>
    <row r="2273" ht="24.0" customHeight="1">
      <c r="A2273" s="1"/>
      <c r="B2273" s="24" t="str">
        <f>HYPERLINK("https://www.compass.com/listing/55-west-95th-street-unit-75-manhattan-ny-10025/111364464456098305/view?agent_id=610d3f3370540700019b0833","55 West 95th Street, Unit 75")</f>
        <v>55 West 95th Street, Unit 75</v>
      </c>
      <c r="C2273" s="25" t="s">
        <v>364</v>
      </c>
      <c r="D2273" s="26" t="s">
        <v>23</v>
      </c>
      <c r="E2273" s="27" t="str">
        <f>HYPERLINK("https://www.compass.com/building/55-w-95th-st-manhattan-ny-10025/281972516124187381/","55 W 95th St")</f>
        <v>55 W 95th St</v>
      </c>
      <c r="F2273" s="25" t="s">
        <v>29</v>
      </c>
      <c r="G2273" s="28">
        <v>1249000.0</v>
      </c>
      <c r="H2273" s="29"/>
      <c r="I2273" s="28">
        <v>2220.0</v>
      </c>
      <c r="J2273" s="29"/>
      <c r="K2273" s="25" t="s">
        <v>25</v>
      </c>
      <c r="L2273" s="26">
        <v>5.0</v>
      </c>
      <c r="M2273" s="26">
        <v>2.0</v>
      </c>
      <c r="N2273" s="26">
        <v>1.0</v>
      </c>
      <c r="O2273" s="26">
        <v>0.0</v>
      </c>
      <c r="P2273" s="30"/>
      <c r="Q2273" s="35">
        <v>216.0</v>
      </c>
      <c r="R2273" s="32">
        <v>45636.0</v>
      </c>
      <c r="S2273" s="32">
        <v>43405.0</v>
      </c>
      <c r="T2273" s="29"/>
      <c r="U2273" s="33"/>
      <c r="V2273" s="1"/>
    </row>
    <row r="2274" ht="24.0" customHeight="1">
      <c r="A2274" s="1"/>
      <c r="B2274" s="24" t="str">
        <f>HYPERLINK("https://www.compass.com/listing/250-west-88th-street-unit-706-manhattan-ny-10024/1679703803373801769/view?agent_id=610d3f3370540700019b0833","250 West 88th Street, Unit 706")</f>
        <v>250 West 88th Street, Unit 706</v>
      </c>
      <c r="C2274" s="25" t="s">
        <v>370</v>
      </c>
      <c r="D2274" s="26" t="s">
        <v>23</v>
      </c>
      <c r="E2274" s="27" t="str">
        <f>HYPERLINK("https://www.compass.com/building/the-central-manhattan-ny/281964365358382133/","The Central")</f>
        <v>The Central</v>
      </c>
      <c r="F2274" s="25" t="s">
        <v>29</v>
      </c>
      <c r="G2274" s="28">
        <v>1150000.0</v>
      </c>
      <c r="H2274" s="28">
        <v>1353.0</v>
      </c>
      <c r="I2274" s="28">
        <v>2689.0</v>
      </c>
      <c r="J2274" s="28">
        <v>14520.0</v>
      </c>
      <c r="K2274" s="25" t="s">
        <v>28</v>
      </c>
      <c r="L2274" s="26">
        <v>4.0</v>
      </c>
      <c r="M2274" s="26">
        <v>2.0</v>
      </c>
      <c r="N2274" s="26">
        <v>1.0</v>
      </c>
      <c r="O2274" s="26">
        <v>0.0</v>
      </c>
      <c r="P2274" s="26">
        <v>850.0</v>
      </c>
      <c r="Q2274" s="35">
        <v>240.0</v>
      </c>
      <c r="R2274" s="32">
        <v>45809.0</v>
      </c>
      <c r="S2274" s="32">
        <v>45569.0</v>
      </c>
      <c r="T2274" s="29"/>
      <c r="U2274" s="33"/>
      <c r="V2274" s="1"/>
    </row>
    <row r="2275" ht="24.0" customHeight="1">
      <c r="A2275" s="1"/>
      <c r="B2275" s="24" t="str">
        <f>HYPERLINK("https://www.compass.com/listing/300-west-109th-street-unit-9g-manhattan-ny-10025/789238804244762353/view?agent_id=610d3f3370540700019b0833","300 West 109th Street, Unit 9G")</f>
        <v>300 West 109th Street, Unit 9G</v>
      </c>
      <c r="C2275" s="25" t="s">
        <v>365</v>
      </c>
      <c r="D2275" s="26" t="s">
        <v>23</v>
      </c>
      <c r="E2275" s="27" t="str">
        <f>HYPERLINK("https://www.compass.com/building/the-manhasset-manhattan-ny/282059751188102629/","The Manhasset")</f>
        <v>The Manhasset</v>
      </c>
      <c r="F2275" s="25" t="s">
        <v>29</v>
      </c>
      <c r="G2275" s="28">
        <v>1275000.0</v>
      </c>
      <c r="H2275" s="29"/>
      <c r="I2275" s="28">
        <v>1843.0</v>
      </c>
      <c r="J2275" s="28">
        <v>0.0</v>
      </c>
      <c r="K2275" s="25" t="s">
        <v>25</v>
      </c>
      <c r="L2275" s="26">
        <v>5.0</v>
      </c>
      <c r="M2275" s="26">
        <v>2.0</v>
      </c>
      <c r="N2275" s="26">
        <v>1.0</v>
      </c>
      <c r="O2275" s="30"/>
      <c r="P2275" s="30"/>
      <c r="Q2275" s="31"/>
      <c r="R2275" s="32">
        <v>44341.0</v>
      </c>
      <c r="S2275" s="33"/>
      <c r="T2275" s="29"/>
      <c r="U2275" s="33"/>
      <c r="V2275" s="1"/>
    </row>
    <row r="2276" ht="24.0" customHeight="1">
      <c r="A2276" s="1"/>
      <c r="B2276" s="24" t="str">
        <f>HYPERLINK("https://www.compass.com/listing/265-riverside-drive-unit-1c-manhattan-ny-10025/1722723591454411937/view?agent_id=610d3f3370540700019b0833","265 Riverside Drive, Unit 1C")</f>
        <v>265 Riverside Drive, Unit 1C</v>
      </c>
      <c r="C2276" s="25" t="s">
        <v>365</v>
      </c>
      <c r="D2276" s="26" t="s">
        <v>23</v>
      </c>
      <c r="E2276" s="27" t="str">
        <f>HYPERLINK("https://www.compass.com/building/265-riverside-dr-manhattan-ny-10025/281970220262838485/","265 Riverside Dr")</f>
        <v>265 Riverside Dr</v>
      </c>
      <c r="F2276" s="25" t="s">
        <v>29</v>
      </c>
      <c r="G2276" s="28">
        <v>1080000.0</v>
      </c>
      <c r="H2276" s="28">
        <v>930.0</v>
      </c>
      <c r="I2276" s="28">
        <v>1621.0</v>
      </c>
      <c r="J2276" s="28">
        <v>0.0</v>
      </c>
      <c r="K2276" s="25" t="s">
        <v>25</v>
      </c>
      <c r="L2276" s="26">
        <v>5.0</v>
      </c>
      <c r="M2276" s="26">
        <v>2.0</v>
      </c>
      <c r="N2276" s="26">
        <v>1.0</v>
      </c>
      <c r="O2276" s="26">
        <v>0.0</v>
      </c>
      <c r="P2276" s="34">
        <v>1161.0</v>
      </c>
      <c r="Q2276" s="35">
        <v>111.0</v>
      </c>
      <c r="R2276" s="32">
        <v>45811.0</v>
      </c>
      <c r="S2276" s="32">
        <v>45669.0</v>
      </c>
      <c r="T2276" s="29"/>
      <c r="U2276" s="33"/>
      <c r="V2276" s="1"/>
    </row>
    <row r="2277" ht="24.0" customHeight="1">
      <c r="A2277" s="1"/>
      <c r="B2277" s="24" t="str">
        <f>HYPERLINK("https://www.compass.com/listing/99-east-4th-street-unit-4k-manhattan-ny-10003/865785561993533017/view?agent_id=610d3f3370540700019b0833","99 East 4th Street, Unit 4K")</f>
        <v>99 East 4th Street, Unit 4K</v>
      </c>
      <c r="C2277" s="25" t="s">
        <v>364</v>
      </c>
      <c r="D2277" s="26" t="s">
        <v>23</v>
      </c>
      <c r="E2277" s="27" t="str">
        <f>HYPERLINK("https://www.compass.com/building/99-e-4th-st-manhattan-ny-10003/281895284777165253/","99 E 4th St")</f>
        <v>99 E 4th St</v>
      </c>
      <c r="F2277" s="25" t="s">
        <v>24</v>
      </c>
      <c r="G2277" s="28">
        <v>1295000.0</v>
      </c>
      <c r="H2277" s="29"/>
      <c r="I2277" s="28">
        <v>1867.0</v>
      </c>
      <c r="J2277" s="28">
        <v>0.0</v>
      </c>
      <c r="K2277" s="25" t="s">
        <v>209</v>
      </c>
      <c r="L2277" s="26">
        <v>6.0</v>
      </c>
      <c r="M2277" s="26">
        <v>2.0</v>
      </c>
      <c r="N2277" s="26">
        <v>1.0</v>
      </c>
      <c r="O2277" s="30"/>
      <c r="P2277" s="30"/>
      <c r="Q2277" s="35">
        <v>120.0</v>
      </c>
      <c r="R2277" s="32">
        <v>44566.0</v>
      </c>
      <c r="S2277" s="32">
        <v>44446.0</v>
      </c>
      <c r="T2277" s="29"/>
      <c r="U2277" s="33"/>
      <c r="V2277" s="1"/>
    </row>
    <row r="2278" ht="24.0" customHeight="1">
      <c r="A2278" s="1"/>
      <c r="B2278" s="24" t="str">
        <f>HYPERLINK("https://www.compass.com/listing/74-west-85th-street-unit-9-manhattan-ny-10024/1064532307488332361/view?agent_id=610d3f3370540700019b0833","74 West 85th Street, Unit 9")</f>
        <v>74 West 85th Street, Unit 9</v>
      </c>
      <c r="C2278" s="25" t="s">
        <v>364</v>
      </c>
      <c r="D2278" s="26" t="s">
        <v>23</v>
      </c>
      <c r="E2278" s="27" t="str">
        <f>HYPERLINK("https://www.compass.com/building/74-w-85th-st-manhattan-ny-10024/281968051614729573/","74 W 85th St")</f>
        <v>74 W 85th St</v>
      </c>
      <c r="F2278" s="25" t="s">
        <v>29</v>
      </c>
      <c r="G2278" s="28">
        <v>1250000.0</v>
      </c>
      <c r="H2278" s="28">
        <v>1486.0</v>
      </c>
      <c r="I2278" s="28">
        <v>2026.0</v>
      </c>
      <c r="J2278" s="28">
        <v>15540.0</v>
      </c>
      <c r="K2278" s="25" t="s">
        <v>28</v>
      </c>
      <c r="L2278" s="26">
        <v>4.0</v>
      </c>
      <c r="M2278" s="26">
        <v>2.0</v>
      </c>
      <c r="N2278" s="26">
        <v>1.0</v>
      </c>
      <c r="O2278" s="26">
        <v>0.0</v>
      </c>
      <c r="P2278" s="26">
        <v>841.0</v>
      </c>
      <c r="Q2278" s="35">
        <v>53.0</v>
      </c>
      <c r="R2278" s="32">
        <v>45636.0</v>
      </c>
      <c r="S2278" s="32">
        <v>44720.0</v>
      </c>
      <c r="T2278" s="29"/>
      <c r="U2278" s="33"/>
      <c r="V2278" s="1"/>
    </row>
    <row r="2279" ht="24.0" customHeight="1">
      <c r="A2279" s="1"/>
      <c r="B2279" s="24" t="str">
        <f>HYPERLINK("https://www.compass.com/listing/885-west-end-avenue-unit-1d-manhattan-ny-10025/1838973655808053129/view?agent_id=610d3f3370540700019b0833","885 West End Avenue, Unit 1D")</f>
        <v>885 West End Avenue, Unit 1D</v>
      </c>
      <c r="C2279" s="25" t="s">
        <v>364</v>
      </c>
      <c r="D2279" s="26" t="s">
        <v>23</v>
      </c>
      <c r="E2279" s="27" t="str">
        <f>HYPERLINK("https://www.compass.com/building/885-west-end-ave-manhattan-ny-10025/281973410660179413/","885 West End Ave")</f>
        <v>885 West End Ave</v>
      </c>
      <c r="F2279" s="25" t="s">
        <v>29</v>
      </c>
      <c r="G2279" s="28">
        <v>1150000.0</v>
      </c>
      <c r="H2279" s="28">
        <v>1045.0</v>
      </c>
      <c r="I2279" s="28">
        <v>1357.0</v>
      </c>
      <c r="J2279" s="29"/>
      <c r="K2279" s="25" t="s">
        <v>25</v>
      </c>
      <c r="L2279" s="26">
        <v>4.0</v>
      </c>
      <c r="M2279" s="26">
        <v>2.0</v>
      </c>
      <c r="N2279" s="26">
        <v>1.0</v>
      </c>
      <c r="O2279" s="26">
        <v>0.0</v>
      </c>
      <c r="P2279" s="34">
        <v>1100.0</v>
      </c>
      <c r="Q2279" s="35">
        <v>168.0</v>
      </c>
      <c r="R2279" s="32">
        <v>45636.0</v>
      </c>
      <c r="S2279" s="32">
        <v>42983.0</v>
      </c>
      <c r="T2279" s="29"/>
      <c r="U2279" s="33"/>
      <c r="V2279" s="1"/>
    </row>
    <row r="2280" ht="24.0" customHeight="1">
      <c r="A2280" s="1"/>
      <c r="B2280" s="24" t="str">
        <f>HYPERLINK("https://www.compass.com/listing/10-madison-square-west-unit-21a-manhattan-ny-10010/29374754335093057/view?agent_id=610d3f3370540700019b0833","10 Madison Square West, Unit 21A")</f>
        <v>10 Madison Square West, Unit 21A</v>
      </c>
      <c r="C2280" s="25" t="s">
        <v>370</v>
      </c>
      <c r="D2280" s="26" t="s">
        <v>23</v>
      </c>
      <c r="E2280" s="27" t="str">
        <f>HYPERLINK("https://www.compass.com/building/10-madison-square-west-manhattan-ny/294838725091521285/","10 Madison Square West")</f>
        <v>10 Madison Square West</v>
      </c>
      <c r="F2280" s="25" t="s">
        <v>115</v>
      </c>
      <c r="G2280" s="28">
        <v>7500000.0</v>
      </c>
      <c r="H2280" s="28">
        <v>3892.0</v>
      </c>
      <c r="I2280" s="28">
        <v>4390.0</v>
      </c>
      <c r="J2280" s="28">
        <v>23712.0</v>
      </c>
      <c r="K2280" s="25" t="s">
        <v>28</v>
      </c>
      <c r="L2280" s="26">
        <v>4.0</v>
      </c>
      <c r="M2280" s="26">
        <v>2.0</v>
      </c>
      <c r="N2280" s="26">
        <v>0.0</v>
      </c>
      <c r="O2280" s="26">
        <v>0.0</v>
      </c>
      <c r="P2280" s="34">
        <v>1927.0</v>
      </c>
      <c r="Q2280" s="35">
        <v>61.0</v>
      </c>
      <c r="R2280" s="32">
        <v>44581.0</v>
      </c>
      <c r="S2280" s="32">
        <v>41555.0</v>
      </c>
      <c r="T2280" s="29"/>
      <c r="U2280" s="33"/>
      <c r="V2280" s="1"/>
    </row>
    <row r="2281" ht="24.0" customHeight="1">
      <c r="A2281" s="1"/>
      <c r="B2281" s="24" t="str">
        <f>HYPERLINK("https://www.compass.com/listing/205-west-95th-street-unit-3gh-manhattan-ny-10025/29401530880835697/view?agent_id=610d3f3370540700019b0833","205 West 95th Street, Unit 3GH")</f>
        <v>205 West 95th Street, Unit 3GH</v>
      </c>
      <c r="C2281" s="25" t="s">
        <v>370</v>
      </c>
      <c r="D2281" s="26" t="s">
        <v>23</v>
      </c>
      <c r="E2281" s="27" t="str">
        <f>HYPERLINK("https://www.compass.com/building/cleveland-arms-manhattan-ny/281969308689583013/","Cleveland Arms")</f>
        <v>Cleveland Arms</v>
      </c>
      <c r="F2281" s="25" t="s">
        <v>29</v>
      </c>
      <c r="G2281" s="28">
        <v>1400000.0</v>
      </c>
      <c r="H2281" s="28">
        <v>1120.0</v>
      </c>
      <c r="I2281" s="28">
        <v>2039.0</v>
      </c>
      <c r="J2281" s="29"/>
      <c r="K2281" s="25" t="s">
        <v>25</v>
      </c>
      <c r="L2281" s="26">
        <v>5.0</v>
      </c>
      <c r="M2281" s="26">
        <v>2.0</v>
      </c>
      <c r="N2281" s="26">
        <v>0.0</v>
      </c>
      <c r="O2281" s="26">
        <v>0.0</v>
      </c>
      <c r="P2281" s="34">
        <v>1250.0</v>
      </c>
      <c r="Q2281" s="35">
        <v>96.0</v>
      </c>
      <c r="R2281" s="32">
        <v>45636.0</v>
      </c>
      <c r="S2281" s="32">
        <v>42808.0</v>
      </c>
      <c r="T2281" s="29"/>
      <c r="U2281" s="33"/>
      <c r="V2281" s="1"/>
    </row>
    <row r="2282" ht="24.0" customHeight="1">
      <c r="A2282" s="1"/>
      <c r="B2282" s="24" t="str">
        <f>HYPERLINK("https://www.compass.com/listing/255-west-98th-street-unit-6b-manhattan-ny-10025/70931268585458657/view?agent_id=610d3f3370540700019b0833","255 West 98th Street, Unit 6B")</f>
        <v>255 West 98th Street, Unit 6B</v>
      </c>
      <c r="C2282" s="25" t="s">
        <v>364</v>
      </c>
      <c r="D2282" s="26" t="s">
        <v>23</v>
      </c>
      <c r="E2282" s="27" t="str">
        <f>HYPERLINK("https://www.compass.com/building/255-w-98th-st-manhattan-ny-10025/281970138289360661/","255 W 98th St")</f>
        <v>255 W 98th St</v>
      </c>
      <c r="F2282" s="25" t="s">
        <v>29</v>
      </c>
      <c r="G2282" s="28">
        <v>1500000.0</v>
      </c>
      <c r="H2282" s="28">
        <v>1154.0</v>
      </c>
      <c r="I2282" s="28">
        <v>1735.0</v>
      </c>
      <c r="J2282" s="29"/>
      <c r="K2282" s="25" t="s">
        <v>25</v>
      </c>
      <c r="L2282" s="26">
        <v>6.0</v>
      </c>
      <c r="M2282" s="26">
        <v>2.0</v>
      </c>
      <c r="N2282" s="26">
        <v>1.0</v>
      </c>
      <c r="O2282" s="26">
        <v>0.0</v>
      </c>
      <c r="P2282" s="34">
        <v>1300.0</v>
      </c>
      <c r="Q2282" s="35">
        <v>78.0</v>
      </c>
      <c r="R2282" s="32">
        <v>45636.0</v>
      </c>
      <c r="S2282" s="32">
        <v>42982.0</v>
      </c>
      <c r="T2282" s="29"/>
      <c r="U2282" s="33"/>
      <c r="V2282" s="1"/>
    </row>
    <row r="2283" ht="24.0" customHeight="1">
      <c r="A2283" s="1"/>
      <c r="B2283" s="24" t="str">
        <f>HYPERLINK("https://www.compass.com/listing/242-west-104th-street-unit-6er-manhattan-ny-10025/1152179142056319457/view?agent_id=610d3f3370540700019b0833","242 West 104th Street, Unit 6ER")</f>
        <v>242 West 104th Street, Unit 6ER</v>
      </c>
      <c r="C2283" s="25" t="s">
        <v>365</v>
      </c>
      <c r="D2283" s="26" t="s">
        <v>23</v>
      </c>
      <c r="E2283" s="27" t="str">
        <f>HYPERLINK("https://www.compass.com/building/242-w-104th-st-manhattan-ny-10025/281925798657565669/","242 W 104th St")</f>
        <v>242 W 104th St</v>
      </c>
      <c r="F2283" s="25" t="s">
        <v>29</v>
      </c>
      <c r="G2283" s="28">
        <v>875000.0</v>
      </c>
      <c r="H2283" s="29"/>
      <c r="I2283" s="28">
        <v>1231.0</v>
      </c>
      <c r="J2283" s="28">
        <v>0.0</v>
      </c>
      <c r="K2283" s="25" t="s">
        <v>25</v>
      </c>
      <c r="L2283" s="26">
        <v>4.0</v>
      </c>
      <c r="M2283" s="26">
        <v>2.0</v>
      </c>
      <c r="N2283" s="26">
        <v>1.0</v>
      </c>
      <c r="O2283" s="30"/>
      <c r="P2283" s="30"/>
      <c r="Q2283" s="35">
        <v>55.0</v>
      </c>
      <c r="R2283" s="32">
        <v>44896.0</v>
      </c>
      <c r="S2283" s="32">
        <v>44841.0</v>
      </c>
      <c r="T2283" s="29"/>
      <c r="U2283" s="33"/>
      <c r="V2283" s="1"/>
    </row>
    <row r="2284" ht="24.0" customHeight="1">
      <c r="A2284" s="1"/>
      <c r="B2284" s="24" t="str">
        <f>HYPERLINK("https://www.compass.com/listing/300-west-109th-street-unit-9g-manhattan-ny-10025/1084142690201341129/view?agent_id=610d3f3370540700019b0833","300 West 109th Street, Unit 9G")</f>
        <v>300 West 109th Street, Unit 9G</v>
      </c>
      <c r="C2284" s="25" t="s">
        <v>365</v>
      </c>
      <c r="D2284" s="26" t="s">
        <v>23</v>
      </c>
      <c r="E2284" s="27" t="str">
        <f>HYPERLINK("https://www.compass.com/building/the-manhasset-manhattan-ny/282059751188102629/","The Manhasset")</f>
        <v>The Manhasset</v>
      </c>
      <c r="F2284" s="25" t="s">
        <v>29</v>
      </c>
      <c r="G2284" s="28">
        <v>1215000.0</v>
      </c>
      <c r="H2284" s="29"/>
      <c r="I2284" s="28">
        <v>1940.0</v>
      </c>
      <c r="J2284" s="28">
        <v>0.0</v>
      </c>
      <c r="K2284" s="25" t="s">
        <v>25</v>
      </c>
      <c r="L2284" s="26">
        <v>4.0</v>
      </c>
      <c r="M2284" s="26">
        <v>2.0</v>
      </c>
      <c r="N2284" s="26">
        <v>1.0</v>
      </c>
      <c r="O2284" s="30"/>
      <c r="P2284" s="30"/>
      <c r="Q2284" s="35">
        <v>125.0</v>
      </c>
      <c r="R2284" s="32">
        <v>44873.0</v>
      </c>
      <c r="S2284" s="32">
        <v>44747.0</v>
      </c>
      <c r="T2284" s="29"/>
      <c r="U2284" s="33"/>
      <c r="V2284" s="1"/>
    </row>
    <row r="2285" ht="24.0" customHeight="1">
      <c r="A2285" s="1"/>
      <c r="B2285" s="24" t="str">
        <f>HYPERLINK("https://www.compass.com/listing/88-jane-street-unit-c-manhattan-ny-10014/29369147766946977/view?agent_id=610d3f3370540700019b0833","88 Jane Street, Unit C")</f>
        <v>88 Jane Street, Unit C</v>
      </c>
      <c r="C2285" s="25" t="s">
        <v>364</v>
      </c>
      <c r="D2285" s="26" t="s">
        <v>23</v>
      </c>
      <c r="E2285" s="27" t="str">
        <f>HYPERLINK("https://www.compass.com/building/88-jane-st-manhattan-ny-10014/281936255938252021/","88 Jane St")</f>
        <v>88 Jane St</v>
      </c>
      <c r="F2285" s="25" t="s">
        <v>26</v>
      </c>
      <c r="G2285" s="28">
        <v>2995000.0</v>
      </c>
      <c r="H2285" s="28">
        <v>1872.0</v>
      </c>
      <c r="I2285" s="28">
        <v>1219.0</v>
      </c>
      <c r="J2285" s="28">
        <v>5940.0</v>
      </c>
      <c r="K2285" s="25" t="s">
        <v>28</v>
      </c>
      <c r="L2285" s="26">
        <v>4.0</v>
      </c>
      <c r="M2285" s="26">
        <v>2.0</v>
      </c>
      <c r="N2285" s="26">
        <v>0.0</v>
      </c>
      <c r="O2285" s="26">
        <v>0.0</v>
      </c>
      <c r="P2285" s="34">
        <v>1600.0</v>
      </c>
      <c r="Q2285" s="35">
        <v>61.0</v>
      </c>
      <c r="R2285" s="32">
        <v>45636.0</v>
      </c>
      <c r="S2285" s="32">
        <v>42487.0</v>
      </c>
      <c r="T2285" s="29"/>
      <c r="U2285" s="33"/>
      <c r="V2285" s="1"/>
    </row>
    <row r="2286" ht="24.0" customHeight="1">
      <c r="A2286" s="1"/>
      <c r="B2286" s="24" t="str">
        <f>HYPERLINK("https://www.compass.com/listing/41-west-82nd-street-unit-7d-manhattan-ny-10024/13810601549650561/view?agent_id=610d3f3370540700019b0833","41 West 82nd Street, Unit 7D")</f>
        <v>41 West 82nd Street, Unit 7D</v>
      </c>
      <c r="C2286" s="25" t="s">
        <v>364</v>
      </c>
      <c r="D2286" s="26" t="s">
        <v>23</v>
      </c>
      <c r="E2286" s="27" t="str">
        <f>HYPERLINK("https://www.compass.com/building/41-w-82nd-st-manhattan-ny-10024/281966467476438517/","41 W 82nd St")</f>
        <v>41 W 82nd St</v>
      </c>
      <c r="F2286" s="25" t="s">
        <v>29</v>
      </c>
      <c r="G2286" s="28">
        <v>1750000.0</v>
      </c>
      <c r="H2286" s="29"/>
      <c r="I2286" s="28">
        <v>2119.0</v>
      </c>
      <c r="J2286" s="29"/>
      <c r="K2286" s="25" t="s">
        <v>25</v>
      </c>
      <c r="L2286" s="26">
        <v>5.0</v>
      </c>
      <c r="M2286" s="26">
        <v>2.0</v>
      </c>
      <c r="N2286" s="26">
        <v>0.0</v>
      </c>
      <c r="O2286" s="26">
        <v>0.0</v>
      </c>
      <c r="P2286" s="30"/>
      <c r="Q2286" s="35">
        <v>64.0</v>
      </c>
      <c r="R2286" s="32">
        <v>45636.0</v>
      </c>
      <c r="S2286" s="32">
        <v>42885.0</v>
      </c>
      <c r="T2286" s="29"/>
      <c r="U2286" s="33"/>
      <c r="V2286" s="1"/>
    </row>
    <row r="2287" ht="24.0" customHeight="1">
      <c r="A2287" s="1"/>
      <c r="B2287" s="24" t="str">
        <f>HYPERLINK("https://www.compass.com/listing/55-west-17th-street-unit-701-manhattan-ny-10011/29513651815713729/view?agent_id=610d3f3370540700019b0833","55 West 17th Street, Unit 701")</f>
        <v>55 West 17th Street, Unit 701</v>
      </c>
      <c r="C2287" s="25" t="s">
        <v>364</v>
      </c>
      <c r="D2287" s="26" t="s">
        <v>23</v>
      </c>
      <c r="E2287" s="27" t="str">
        <f>HYPERLINK("https://www.compass.com/building/55-w-17th-st-manhattan-ny-10011/281911689161499829/","55 W 17th St")</f>
        <v>55 W 17th St</v>
      </c>
      <c r="F2287" s="25" t="s">
        <v>115</v>
      </c>
      <c r="G2287" s="28">
        <v>2550000.0</v>
      </c>
      <c r="H2287" s="28">
        <v>1544.0</v>
      </c>
      <c r="I2287" s="28">
        <v>4584.0</v>
      </c>
      <c r="J2287" s="28">
        <v>28992.0</v>
      </c>
      <c r="K2287" s="25" t="s">
        <v>28</v>
      </c>
      <c r="L2287" s="26">
        <v>3.0</v>
      </c>
      <c r="M2287" s="26">
        <v>2.0</v>
      </c>
      <c r="N2287" s="26">
        <v>0.0</v>
      </c>
      <c r="O2287" s="26">
        <v>0.0</v>
      </c>
      <c r="P2287" s="34">
        <v>1652.0</v>
      </c>
      <c r="Q2287" s="35">
        <v>81.0</v>
      </c>
      <c r="R2287" s="32">
        <v>45636.0</v>
      </c>
      <c r="S2287" s="32">
        <v>43182.0</v>
      </c>
      <c r="T2287" s="29"/>
      <c r="U2287" s="33"/>
      <c r="V2287" s="1"/>
    </row>
    <row r="2288" ht="24.0" customHeight="1">
      <c r="A2288" s="1"/>
      <c r="B2288" s="24" t="str">
        <f>HYPERLINK("https://www.compass.com/listing/223-west-80th-street-unit-3-manhattan-ny-10024/921830675191227113/view?agent_id=610d3f3370540700019b0833","223 West 80th Street, Unit 3")</f>
        <v>223 West 80th Street, Unit 3</v>
      </c>
      <c r="C2288" s="25" t="s">
        <v>370</v>
      </c>
      <c r="D2288" s="26" t="s">
        <v>23</v>
      </c>
      <c r="E2288" s="27" t="str">
        <f>HYPERLINK("https://www.compass.com/building/223-w-80th-st-manhattan-ny-10024/281964106628545301/","223 W 80th St")</f>
        <v>223 W 80th St</v>
      </c>
      <c r="F2288" s="25" t="s">
        <v>29</v>
      </c>
      <c r="G2288" s="28">
        <v>2295000.0</v>
      </c>
      <c r="H2288" s="28">
        <v>1469.0</v>
      </c>
      <c r="I2288" s="28">
        <v>3266.0</v>
      </c>
      <c r="J2288" s="28">
        <v>23820.0</v>
      </c>
      <c r="K2288" s="25" t="s">
        <v>28</v>
      </c>
      <c r="L2288" s="26">
        <v>5.0</v>
      </c>
      <c r="M2288" s="26">
        <v>2.0</v>
      </c>
      <c r="N2288" s="26">
        <v>0.0</v>
      </c>
      <c r="O2288" s="26">
        <v>0.0</v>
      </c>
      <c r="P2288" s="34">
        <v>1562.0</v>
      </c>
      <c r="Q2288" s="35">
        <v>32.0</v>
      </c>
      <c r="R2288" s="32">
        <v>45636.0</v>
      </c>
      <c r="S2288" s="32">
        <v>42628.0</v>
      </c>
      <c r="T2288" s="29"/>
      <c r="U2288" s="33"/>
      <c r="V2288" s="1"/>
    </row>
    <row r="2289" ht="24.0" customHeight="1">
      <c r="A2289" s="1"/>
      <c r="B2289" s="24" t="str">
        <f>HYPERLINK("https://www.compass.com/listing/260-west-end-avenue-unit-10b-manhattan-ny-10023/1838981754925370257/view?agent_id=610d3f3370540700019b0833","260 West End Avenue, Unit 10B")</f>
        <v>260 West End Avenue, Unit 10B</v>
      </c>
      <c r="C2289" s="25" t="s">
        <v>364</v>
      </c>
      <c r="D2289" s="26" t="s">
        <v>23</v>
      </c>
      <c r="E2289" s="27" t="str">
        <f>HYPERLINK("https://www.compass.com/building/260-west-end-ave-manhattan-ny-10023/281959225071050533/","260 West End Ave")</f>
        <v>260 West End Ave</v>
      </c>
      <c r="F2289" s="25" t="s">
        <v>29</v>
      </c>
      <c r="G2289" s="28">
        <v>1595000.0</v>
      </c>
      <c r="H2289" s="29"/>
      <c r="I2289" s="28">
        <v>2907.0</v>
      </c>
      <c r="J2289" s="29"/>
      <c r="K2289" s="25" t="s">
        <v>25</v>
      </c>
      <c r="L2289" s="26">
        <v>5.0</v>
      </c>
      <c r="M2289" s="26">
        <v>2.0</v>
      </c>
      <c r="N2289" s="26">
        <v>0.0</v>
      </c>
      <c r="O2289" s="26">
        <v>0.0</v>
      </c>
      <c r="P2289" s="30"/>
      <c r="Q2289" s="35">
        <v>0.0</v>
      </c>
      <c r="R2289" s="32">
        <v>44581.0</v>
      </c>
      <c r="S2289" s="32">
        <v>41549.0</v>
      </c>
      <c r="T2289" s="29"/>
      <c r="U2289" s="33"/>
      <c r="V2289" s="1"/>
    </row>
    <row r="2290" ht="24.0" customHeight="1">
      <c r="A2290" s="1"/>
      <c r="B2290" s="24" t="str">
        <f>HYPERLINK("https://www.compass.com/listing/407-central-park-west-unit-4c-manhattan-ny-10025/299960442537688625/view?agent_id=610d3f3370540700019b0833","407 Central Park West, Unit 4C")</f>
        <v>407 Central Park West, Unit 4C</v>
      </c>
      <c r="C2290" s="25" t="s">
        <v>365</v>
      </c>
      <c r="D2290" s="26" t="s">
        <v>23</v>
      </c>
      <c r="E2290" s="27" t="str">
        <f>HYPERLINK("https://www.compass.com/building/407-central-park-west-manhattan-ny-10025/281971793286223845/","407 Central Park West")</f>
        <v>407 Central Park West</v>
      </c>
      <c r="F2290" s="25" t="s">
        <v>29</v>
      </c>
      <c r="G2290" s="28">
        <v>950000.0</v>
      </c>
      <c r="H2290" s="29"/>
      <c r="I2290" s="28">
        <v>2074.0</v>
      </c>
      <c r="J2290" s="28">
        <v>0.0</v>
      </c>
      <c r="K2290" s="25" t="s">
        <v>25</v>
      </c>
      <c r="L2290" s="26">
        <v>5.0</v>
      </c>
      <c r="M2290" s="26">
        <v>2.0</v>
      </c>
      <c r="N2290" s="26">
        <v>1.0</v>
      </c>
      <c r="O2290" s="26">
        <v>0.0</v>
      </c>
      <c r="P2290" s="30"/>
      <c r="Q2290" s="35">
        <v>216.0</v>
      </c>
      <c r="R2290" s="32">
        <v>43894.0</v>
      </c>
      <c r="S2290" s="32">
        <v>43677.0</v>
      </c>
      <c r="T2290" s="29"/>
      <c r="U2290" s="33"/>
      <c r="V2290" s="1"/>
    </row>
    <row r="2291" ht="24.0" customHeight="1">
      <c r="A2291" s="1"/>
      <c r="B2291" s="24" t="str">
        <f>HYPERLINK("https://www.compass.com/listing/66-bainbridge-street-unit-4-brooklyn-ny-11233/557288221753763801/view?agent_id=610d3f3370540700019b0833","66 Bainbridge Street, Unit 4")</f>
        <v>66 Bainbridge Street, Unit 4</v>
      </c>
      <c r="C2291" s="25" t="s">
        <v>364</v>
      </c>
      <c r="D2291" s="26" t="s">
        <v>23</v>
      </c>
      <c r="E2291" s="27" t="str">
        <f>HYPERLINK("https://www.compass.com/building/66-bainbridge-st-brooklyn-ny-11233/293417677395970709/","66 Bainbridge St")</f>
        <v>66 Bainbridge St</v>
      </c>
      <c r="F2291" s="25" t="s">
        <v>51</v>
      </c>
      <c r="G2291" s="28">
        <v>647500.0</v>
      </c>
      <c r="H2291" s="28">
        <v>784.0</v>
      </c>
      <c r="I2291" s="28">
        <v>0.0</v>
      </c>
      <c r="J2291" s="29"/>
      <c r="K2291" s="25" t="s">
        <v>125</v>
      </c>
      <c r="L2291" s="26">
        <v>4.0</v>
      </c>
      <c r="M2291" s="26">
        <v>2.0</v>
      </c>
      <c r="N2291" s="26">
        <v>1.0</v>
      </c>
      <c r="O2291" s="26">
        <v>0.0</v>
      </c>
      <c r="P2291" s="26">
        <v>826.0</v>
      </c>
      <c r="Q2291" s="35">
        <v>119.0</v>
      </c>
      <c r="R2291" s="32">
        <v>45636.0</v>
      </c>
      <c r="S2291" s="32">
        <v>44463.0</v>
      </c>
      <c r="T2291" s="29"/>
      <c r="U2291" s="33"/>
      <c r="V2291" s="1"/>
    </row>
    <row r="2292" ht="24.0" customHeight="1">
      <c r="A2292" s="1"/>
      <c r="B2292" s="24" t="str">
        <f>HYPERLINK("https://www.compass.com/listing/220-manhattan-avenue-unit-7l-manhattan-ny-10025/114435295457353089/view?agent_id=610d3f3370540700019b0833","220 Manhattan Avenue, Unit 7L")</f>
        <v>220 Manhattan Avenue, Unit 7L</v>
      </c>
      <c r="C2292" s="25" t="s">
        <v>364</v>
      </c>
      <c r="D2292" s="26" t="s">
        <v>23</v>
      </c>
      <c r="E2292" s="27" t="str">
        <f>HYPERLINK("https://www.compass.com/building/towers-on-the-park-manhattan-ny/455672565349083653/","Towers on the Park")</f>
        <v>Towers on the Park</v>
      </c>
      <c r="F2292" s="25" t="s">
        <v>29</v>
      </c>
      <c r="G2292" s="28">
        <v>850000.0</v>
      </c>
      <c r="H2292" s="28">
        <v>1013.0</v>
      </c>
      <c r="I2292" s="28">
        <v>1195.0</v>
      </c>
      <c r="J2292" s="28">
        <v>7980.0</v>
      </c>
      <c r="K2292" s="25" t="s">
        <v>28</v>
      </c>
      <c r="L2292" s="26">
        <v>5.0</v>
      </c>
      <c r="M2292" s="26">
        <v>2.0</v>
      </c>
      <c r="N2292" s="26">
        <v>1.0</v>
      </c>
      <c r="O2292" s="30"/>
      <c r="P2292" s="26">
        <v>839.0</v>
      </c>
      <c r="Q2292" s="35">
        <v>229.0</v>
      </c>
      <c r="R2292" s="32">
        <v>43643.0</v>
      </c>
      <c r="S2292" s="32">
        <v>43413.0</v>
      </c>
      <c r="T2292" s="29"/>
      <c r="U2292" s="33"/>
      <c r="V2292" s="1"/>
    </row>
    <row r="2293" ht="24.0" customHeight="1">
      <c r="A2293" s="1"/>
      <c r="B2293" s="24" t="str">
        <f>HYPERLINK("https://www.compass.com/listing/677-west-end-avenue-unit-9b-manhattan-ny-10025/594091004125296393/view?agent_id=610d3f3370540700019b0833","677 West End Avenue, Unit 9B")</f>
        <v>677 West End Avenue, Unit 9B</v>
      </c>
      <c r="C2293" s="25" t="s">
        <v>365</v>
      </c>
      <c r="D2293" s="26" t="s">
        <v>23</v>
      </c>
      <c r="E2293" s="27" t="str">
        <f>HYPERLINK("https://www.compass.com/building/677-west-end-ave-manhattan-ny-10025/281972922896177957/","677 West End Ave")</f>
        <v>677 West End Ave</v>
      </c>
      <c r="F2293" s="25" t="s">
        <v>29</v>
      </c>
      <c r="G2293" s="28">
        <v>1175000.0</v>
      </c>
      <c r="H2293" s="29"/>
      <c r="I2293" s="28">
        <v>1843.0</v>
      </c>
      <c r="J2293" s="28">
        <v>0.0</v>
      </c>
      <c r="K2293" s="25" t="s">
        <v>25</v>
      </c>
      <c r="L2293" s="26">
        <v>4.0</v>
      </c>
      <c r="M2293" s="26">
        <v>2.0</v>
      </c>
      <c r="N2293" s="26">
        <v>1.0</v>
      </c>
      <c r="O2293" s="26">
        <v>0.0</v>
      </c>
      <c r="P2293" s="30"/>
      <c r="Q2293" s="35">
        <v>123.0</v>
      </c>
      <c r="R2293" s="32">
        <v>44195.0</v>
      </c>
      <c r="S2293" s="32">
        <v>44071.0</v>
      </c>
      <c r="T2293" s="29"/>
      <c r="U2293" s="33"/>
      <c r="V2293" s="1"/>
    </row>
    <row r="2294" ht="24.0" customHeight="1">
      <c r="A2294" s="1"/>
      <c r="B2294" s="24" t="str">
        <f>HYPERLINK("https://www.compass.com/listing/328-sterling-place-unit-4c-brooklyn-ny-11238/1838921795395585625/view?agent_id=610d3f3370540700019b0833","328 Sterling Place, Unit 4C")</f>
        <v>328 Sterling Place, Unit 4C</v>
      </c>
      <c r="C2294" s="25" t="s">
        <v>364</v>
      </c>
      <c r="D2294" s="26" t="s">
        <v>23</v>
      </c>
      <c r="E2294" s="27" t="str">
        <f>HYPERLINK("https://www.compass.com/building/328-sterling-pl-brooklyn-ny-11238/293417690784194853/","328 Sterling Pl")</f>
        <v>328 Sterling Pl</v>
      </c>
      <c r="F2294" s="25" t="s">
        <v>39</v>
      </c>
      <c r="G2294" s="28">
        <v>499000.0</v>
      </c>
      <c r="H2294" s="29"/>
      <c r="I2294" s="28">
        <v>641.0</v>
      </c>
      <c r="J2294" s="29"/>
      <c r="K2294" s="25" t="s">
        <v>25</v>
      </c>
      <c r="L2294" s="26">
        <v>4.0</v>
      </c>
      <c r="M2294" s="26">
        <v>2.0</v>
      </c>
      <c r="N2294" s="26">
        <v>0.0</v>
      </c>
      <c r="O2294" s="26">
        <v>0.0</v>
      </c>
      <c r="P2294" s="30"/>
      <c r="Q2294" s="35">
        <v>3396.0</v>
      </c>
      <c r="R2294" s="32">
        <v>44581.0</v>
      </c>
      <c r="S2294" s="32">
        <v>41184.0</v>
      </c>
      <c r="T2294" s="29"/>
      <c r="U2294" s="33"/>
      <c r="V2294" s="1"/>
    </row>
    <row r="2295" ht="24.0" customHeight="1">
      <c r="A2295" s="1"/>
      <c r="B2295" s="24" t="str">
        <f>HYPERLINK("https://www.compass.com/listing/65-west-107th-street-unit-17-manhattan-ny-10025/602832479398806577/view?agent_id=610d3f3370540700019b0833","65 West 107th Street, Unit 17")</f>
        <v>65 West 107th Street, Unit 17</v>
      </c>
      <c r="C2295" s="25" t="s">
        <v>364</v>
      </c>
      <c r="D2295" s="26" t="s">
        <v>23</v>
      </c>
      <c r="E2295" s="27" t="str">
        <f>HYPERLINK("https://www.compass.com/building/65-w-107th-st-manhattan-ny-10025/282066496291642261/","65 W 107th St")</f>
        <v>65 W 107th St</v>
      </c>
      <c r="F2295" s="25" t="s">
        <v>29</v>
      </c>
      <c r="G2295" s="28">
        <v>795000.0</v>
      </c>
      <c r="H2295" s="28">
        <v>1262.0</v>
      </c>
      <c r="I2295" s="28">
        <v>1031.0</v>
      </c>
      <c r="J2295" s="28">
        <v>4976.0</v>
      </c>
      <c r="K2295" s="25" t="s">
        <v>28</v>
      </c>
      <c r="L2295" s="26">
        <v>4.0</v>
      </c>
      <c r="M2295" s="26">
        <v>2.0</v>
      </c>
      <c r="N2295" s="26">
        <v>1.0</v>
      </c>
      <c r="O2295" s="26">
        <v>0.0</v>
      </c>
      <c r="P2295" s="26">
        <v>630.0</v>
      </c>
      <c r="Q2295" s="31"/>
      <c r="R2295" s="32">
        <v>44083.0</v>
      </c>
      <c r="S2295" s="33"/>
      <c r="T2295" s="29"/>
      <c r="U2295" s="33"/>
      <c r="V2295" s="1"/>
    </row>
    <row r="2296" ht="24.0" customHeight="1">
      <c r="A2296" s="1"/>
      <c r="B2296" s="24" t="str">
        <f>HYPERLINK("https://www.compass.com/listing/215-west-88th-street-unit-12b-manhattan-ny-10024/1160035737656105225/view?agent_id=610d3f3370540700019b0833","215 West 88th Street, Unit 12B")</f>
        <v>215 West 88th Street, Unit 12B</v>
      </c>
      <c r="C2296" s="25" t="s">
        <v>364</v>
      </c>
      <c r="D2296" s="26" t="s">
        <v>23</v>
      </c>
      <c r="E2296" s="27" t="str">
        <f>HYPERLINK("https://www.compass.com/building/merrion-condominium-manhattan-ny/292869297162767845/","Merrion Condominium")</f>
        <v>Merrion Condominium</v>
      </c>
      <c r="F2296" s="25" t="s">
        <v>29</v>
      </c>
      <c r="G2296" s="28">
        <v>1475000.0</v>
      </c>
      <c r="H2296" s="28">
        <v>1382.0</v>
      </c>
      <c r="I2296" s="28">
        <v>2504.0</v>
      </c>
      <c r="J2296" s="28">
        <v>15429.0</v>
      </c>
      <c r="K2296" s="25" t="s">
        <v>28</v>
      </c>
      <c r="L2296" s="26">
        <v>4.0</v>
      </c>
      <c r="M2296" s="26">
        <v>2.0</v>
      </c>
      <c r="N2296" s="26">
        <v>1.0</v>
      </c>
      <c r="O2296" s="30"/>
      <c r="P2296" s="34">
        <v>1067.0</v>
      </c>
      <c r="Q2296" s="35">
        <v>19.0</v>
      </c>
      <c r="R2296" s="32">
        <v>44872.0</v>
      </c>
      <c r="S2296" s="32">
        <v>44852.0</v>
      </c>
      <c r="T2296" s="29"/>
      <c r="U2296" s="33"/>
      <c r="V2296" s="1"/>
    </row>
    <row r="2297" ht="24.0" customHeight="1">
      <c r="A2297" s="1"/>
      <c r="B2297" s="24" t="str">
        <f>HYPERLINK("https://www.compass.com/listing/125-east-12th-street-unit-5h-manhattan-ny-10003/4852330019537560929/view?agent_id=610d3f3370540700019b0833","125 East 12th Street, Unit 5H")</f>
        <v>125 East 12th Street, Unit 5H</v>
      </c>
      <c r="C2297" s="25" t="s">
        <v>370</v>
      </c>
      <c r="D2297" s="26" t="s">
        <v>23</v>
      </c>
      <c r="E2297" s="27" t="str">
        <f>HYPERLINK("https://www.compass.com/building/the-zachary-manhattan-ny/281889305419319653/","The Zachary")</f>
        <v>The Zachary</v>
      </c>
      <c r="F2297" s="25" t="s">
        <v>43</v>
      </c>
      <c r="G2297" s="28">
        <v>1900000.0</v>
      </c>
      <c r="H2297" s="29"/>
      <c r="I2297" s="28">
        <v>966.0</v>
      </c>
      <c r="J2297" s="28">
        <v>4260.0</v>
      </c>
      <c r="K2297" s="25" t="s">
        <v>28</v>
      </c>
      <c r="L2297" s="26">
        <v>5.0</v>
      </c>
      <c r="M2297" s="26">
        <v>2.0</v>
      </c>
      <c r="N2297" s="26">
        <v>0.0</v>
      </c>
      <c r="O2297" s="26">
        <v>0.0</v>
      </c>
      <c r="P2297" s="30"/>
      <c r="Q2297" s="35">
        <v>25.0</v>
      </c>
      <c r="R2297" s="32">
        <v>44581.0</v>
      </c>
      <c r="S2297" s="32">
        <v>41304.0</v>
      </c>
      <c r="T2297" s="29"/>
      <c r="U2297" s="33"/>
      <c r="V2297" s="1"/>
    </row>
    <row r="2298" ht="24.0" customHeight="1">
      <c r="A2298" s="1"/>
      <c r="B2298" s="24" t="str">
        <f>HYPERLINK("https://www.compass.com/listing/55-west-17th-street-unit-501-manhattan-ny-10011/1838980890739335681/view?agent_id=610d3f3370540700019b0833","55 West 17th Street, Unit 501")</f>
        <v>55 West 17th Street, Unit 501</v>
      </c>
      <c r="C2298" s="25" t="s">
        <v>364</v>
      </c>
      <c r="D2298" s="26" t="s">
        <v>23</v>
      </c>
      <c r="E2298" s="27" t="str">
        <f t="shared" ref="E2298:E2300" si="44">HYPERLINK("https://www.compass.com/building/55-w-17th-st-manhattan-ny-10011/281911689161499829/","55 W 17th St")</f>
        <v>55 W 17th St</v>
      </c>
      <c r="F2298" s="25" t="s">
        <v>115</v>
      </c>
      <c r="G2298" s="28">
        <v>3224990.0</v>
      </c>
      <c r="H2298" s="28">
        <v>1952.0</v>
      </c>
      <c r="I2298" s="28">
        <v>4460.0</v>
      </c>
      <c r="J2298" s="28">
        <v>28944.0</v>
      </c>
      <c r="K2298" s="25" t="s">
        <v>28</v>
      </c>
      <c r="L2298" s="26">
        <v>4.0</v>
      </c>
      <c r="M2298" s="26">
        <v>2.0</v>
      </c>
      <c r="N2298" s="26">
        <v>0.0</v>
      </c>
      <c r="O2298" s="26">
        <v>0.0</v>
      </c>
      <c r="P2298" s="34">
        <v>1652.0</v>
      </c>
      <c r="Q2298" s="35">
        <v>0.0</v>
      </c>
      <c r="R2298" s="32">
        <v>44581.0</v>
      </c>
      <c r="S2298" s="32">
        <v>43055.0</v>
      </c>
      <c r="T2298" s="29"/>
      <c r="U2298" s="33"/>
      <c r="V2298" s="1"/>
    </row>
    <row r="2299" ht="24.0" customHeight="1">
      <c r="A2299" s="1"/>
      <c r="B2299" s="24" t="str">
        <f>HYPERLINK("https://www.compass.com/listing/55-west-17th-street-unit-801-manhattan-ny-10011/921049600986182217/view?agent_id=610d3f3370540700019b0833","55 West 17th Street, Unit 801")</f>
        <v>55 West 17th Street, Unit 801</v>
      </c>
      <c r="C2299" s="25" t="s">
        <v>364</v>
      </c>
      <c r="D2299" s="26" t="s">
        <v>23</v>
      </c>
      <c r="E2299" s="27" t="str">
        <f t="shared" si="44"/>
        <v>55 W 17th St</v>
      </c>
      <c r="F2299" s="25" t="s">
        <v>115</v>
      </c>
      <c r="G2299" s="28">
        <v>3374990.0</v>
      </c>
      <c r="H2299" s="28">
        <v>2043.0</v>
      </c>
      <c r="I2299" s="28">
        <v>4473.0</v>
      </c>
      <c r="J2299" s="28">
        <v>29028.0</v>
      </c>
      <c r="K2299" s="25" t="s">
        <v>28</v>
      </c>
      <c r="L2299" s="26">
        <v>4.0</v>
      </c>
      <c r="M2299" s="26">
        <v>2.0</v>
      </c>
      <c r="N2299" s="26">
        <v>0.0</v>
      </c>
      <c r="O2299" s="26">
        <v>0.0</v>
      </c>
      <c r="P2299" s="34">
        <v>1652.0</v>
      </c>
      <c r="Q2299" s="35">
        <v>361.0</v>
      </c>
      <c r="R2299" s="32">
        <v>45636.0</v>
      </c>
      <c r="S2299" s="32">
        <v>42349.0</v>
      </c>
      <c r="T2299" s="29"/>
      <c r="U2299" s="33"/>
      <c r="V2299" s="1"/>
    </row>
    <row r="2300" ht="24.0" customHeight="1">
      <c r="A2300" s="1"/>
      <c r="B2300" s="24" t="str">
        <f>HYPERLINK("https://www.compass.com/listing/55-west-17th-street-unit-204-manhattan-ny-10011/1838891707555673329/view?agent_id=610d3f3370540700019b0833","55 West 17th Street, Unit 204")</f>
        <v>55 West 17th Street, Unit 204</v>
      </c>
      <c r="C2300" s="25" t="s">
        <v>364</v>
      </c>
      <c r="D2300" s="26" t="s">
        <v>23</v>
      </c>
      <c r="E2300" s="27" t="str">
        <f t="shared" si="44"/>
        <v>55 W 17th St</v>
      </c>
      <c r="F2300" s="25" t="s">
        <v>115</v>
      </c>
      <c r="G2300" s="28">
        <v>2699990.0</v>
      </c>
      <c r="H2300" s="28">
        <v>1911.0</v>
      </c>
      <c r="I2300" s="28">
        <v>4699.0</v>
      </c>
      <c r="J2300" s="28">
        <v>29724.0</v>
      </c>
      <c r="K2300" s="25" t="s">
        <v>28</v>
      </c>
      <c r="L2300" s="26">
        <v>4.0</v>
      </c>
      <c r="M2300" s="26">
        <v>2.0</v>
      </c>
      <c r="N2300" s="26">
        <v>0.0</v>
      </c>
      <c r="O2300" s="26">
        <v>0.0</v>
      </c>
      <c r="P2300" s="34">
        <v>1413.0</v>
      </c>
      <c r="Q2300" s="35">
        <v>913.0</v>
      </c>
      <c r="R2300" s="32">
        <v>45636.0</v>
      </c>
      <c r="S2300" s="32">
        <v>42349.0</v>
      </c>
      <c r="T2300" s="29"/>
      <c r="U2300" s="33"/>
      <c r="V2300" s="1"/>
    </row>
    <row r="2301" ht="24.0" customHeight="1">
      <c r="A2301" s="1"/>
      <c r="B2301" s="24" t="str">
        <f>HYPERLINK("https://www.compass.com/listing/760-west-end-avenue-unit-14b-manhattan-ny-10025/882043967865820769/view?agent_id=610d3f3370540700019b0833","760 West End Avenue, Unit 14B")</f>
        <v>760 West End Avenue, Unit 14B</v>
      </c>
      <c r="C2301" s="25" t="s">
        <v>365</v>
      </c>
      <c r="D2301" s="26" t="s">
        <v>23</v>
      </c>
      <c r="E2301" s="27" t="str">
        <f>HYPERLINK("https://www.compass.com/building/760-west-end-ave-manhattan-ny-10025/281973168288128101/","760 West End Ave")</f>
        <v>760 West End Ave</v>
      </c>
      <c r="F2301" s="25" t="s">
        <v>29</v>
      </c>
      <c r="G2301" s="28">
        <v>985000.0</v>
      </c>
      <c r="H2301" s="29"/>
      <c r="I2301" s="28">
        <v>1976.0</v>
      </c>
      <c r="J2301" s="28">
        <v>0.0</v>
      </c>
      <c r="K2301" s="25" t="s">
        <v>25</v>
      </c>
      <c r="L2301" s="26">
        <v>4.0</v>
      </c>
      <c r="M2301" s="26">
        <v>2.0</v>
      </c>
      <c r="N2301" s="26">
        <v>1.0</v>
      </c>
      <c r="O2301" s="30"/>
      <c r="P2301" s="30"/>
      <c r="Q2301" s="35">
        <v>156.0</v>
      </c>
      <c r="R2301" s="32">
        <v>44685.0</v>
      </c>
      <c r="S2301" s="32">
        <v>44489.0</v>
      </c>
      <c r="T2301" s="29"/>
      <c r="U2301" s="33"/>
      <c r="V2301" s="1"/>
    </row>
    <row r="2302" ht="24.0" customHeight="1">
      <c r="A2302" s="1"/>
      <c r="B2302" s="24" t="str">
        <f>HYPERLINK("https://www.compass.com/listing/223-west-80th-street-unit-3-manhattan-ny-10024/1809623169636255793/view?agent_id=610d3f3370540700019b0833","223 West 80th Street, Unit 3")</f>
        <v>223 West 80th Street, Unit 3</v>
      </c>
      <c r="C2302" s="25" t="s">
        <v>370</v>
      </c>
      <c r="D2302" s="26" t="s">
        <v>23</v>
      </c>
      <c r="E2302" s="27" t="str">
        <f>HYPERLINK("https://www.compass.com/building/223-w-80th-st-manhattan-ny-10024/281964106628545301/","223 W 80th St")</f>
        <v>223 W 80th St</v>
      </c>
      <c r="F2302" s="25" t="s">
        <v>29</v>
      </c>
      <c r="G2302" s="28">
        <v>2295000.0</v>
      </c>
      <c r="H2302" s="28">
        <v>1469.0</v>
      </c>
      <c r="I2302" s="28">
        <v>2992.0</v>
      </c>
      <c r="J2302" s="28">
        <v>20532.0</v>
      </c>
      <c r="K2302" s="25" t="s">
        <v>28</v>
      </c>
      <c r="L2302" s="26">
        <v>5.0</v>
      </c>
      <c r="M2302" s="26">
        <v>2.0</v>
      </c>
      <c r="N2302" s="26">
        <v>0.0</v>
      </c>
      <c r="O2302" s="26">
        <v>0.0</v>
      </c>
      <c r="P2302" s="34">
        <v>1562.0</v>
      </c>
      <c r="Q2302" s="35">
        <v>129.0</v>
      </c>
      <c r="R2302" s="32">
        <v>45636.0</v>
      </c>
      <c r="S2302" s="32">
        <v>42458.0</v>
      </c>
      <c r="T2302" s="29"/>
      <c r="U2302" s="33"/>
      <c r="V2302" s="1"/>
    </row>
    <row r="2303" ht="24.0" customHeight="1">
      <c r="A2303" s="1"/>
      <c r="B2303" s="24" t="str">
        <f>HYPERLINK("https://www.compass.com/listing/65-west-107th-street-unit-2d-manhattan-ny-10025/181758283810355329/view?agent_id=610d3f3370540700019b0833","65 West 107th Street, Unit 2D")</f>
        <v>65 West 107th Street, Unit 2D</v>
      </c>
      <c r="C2303" s="25" t="s">
        <v>364</v>
      </c>
      <c r="D2303" s="26" t="s">
        <v>23</v>
      </c>
      <c r="E2303" s="27" t="str">
        <f>HYPERLINK("https://www.compass.com/building/65-w-107th-st-manhattan-ny-10025/282066496291642261/","65 W 107th St")</f>
        <v>65 W 107th St</v>
      </c>
      <c r="F2303" s="25" t="s">
        <v>29</v>
      </c>
      <c r="G2303" s="28">
        <v>615000.0</v>
      </c>
      <c r="H2303" s="29"/>
      <c r="I2303" s="28">
        <v>731.0</v>
      </c>
      <c r="J2303" s="28">
        <v>2676.0</v>
      </c>
      <c r="K2303" s="25" t="s">
        <v>28</v>
      </c>
      <c r="L2303" s="26">
        <v>4.0</v>
      </c>
      <c r="M2303" s="26">
        <v>2.0</v>
      </c>
      <c r="N2303" s="26">
        <v>1.0</v>
      </c>
      <c r="O2303" s="26">
        <v>0.0</v>
      </c>
      <c r="P2303" s="30"/>
      <c r="Q2303" s="35">
        <v>159.0</v>
      </c>
      <c r="R2303" s="32">
        <v>45636.0</v>
      </c>
      <c r="S2303" s="32">
        <v>43502.0</v>
      </c>
      <c r="T2303" s="29"/>
      <c r="U2303" s="33"/>
      <c r="V2303" s="1"/>
    </row>
    <row r="2304" ht="24.0" customHeight="1">
      <c r="A2304" s="1"/>
      <c r="B2304" s="24" t="str">
        <f>HYPERLINK("https://www.compass.com/listing/895-west-end-avenue-unit-6c-manhattan-ny-10025/1838983710225988529/view?agent_id=610d3f3370540700019b0833","895 West End Avenue, Unit 6C")</f>
        <v>895 West End Avenue, Unit 6C</v>
      </c>
      <c r="C2304" s="25" t="s">
        <v>364</v>
      </c>
      <c r="D2304" s="26" t="s">
        <v>23</v>
      </c>
      <c r="E2304" s="27" t="str">
        <f>HYPERLINK("https://www.compass.com/building/895-west-end-ave-manhattan-ny-10025/281973422127406565/","895 West End Ave")</f>
        <v>895 West End Ave</v>
      </c>
      <c r="F2304" s="25" t="s">
        <v>29</v>
      </c>
      <c r="G2304" s="28">
        <v>1212000.0</v>
      </c>
      <c r="H2304" s="29"/>
      <c r="I2304" s="28">
        <v>1784.0</v>
      </c>
      <c r="J2304" s="29"/>
      <c r="K2304" s="25" t="s">
        <v>25</v>
      </c>
      <c r="L2304" s="26">
        <v>5.0</v>
      </c>
      <c r="M2304" s="26">
        <v>2.0</v>
      </c>
      <c r="N2304" s="26">
        <v>0.0</v>
      </c>
      <c r="O2304" s="26">
        <v>0.0</v>
      </c>
      <c r="P2304" s="30"/>
      <c r="Q2304" s="35">
        <v>97.0</v>
      </c>
      <c r="R2304" s="32">
        <v>44581.0</v>
      </c>
      <c r="S2304" s="32">
        <v>41390.0</v>
      </c>
      <c r="T2304" s="29"/>
      <c r="U2304" s="33"/>
      <c r="V2304" s="1"/>
    </row>
    <row r="2305" ht="24.0" customHeight="1">
      <c r="A2305" s="1"/>
      <c r="B2305" s="24" t="str">
        <f>HYPERLINK("https://www.compass.com/listing/310-west-99th-street-unit-206-manhattan-ny-10025/1055799003182695897/view?agent_id=610d3f3370540700019b0833","310 West 99th Street, Unit 206")</f>
        <v>310 West 99th Street, Unit 206</v>
      </c>
      <c r="C2305" s="25" t="s">
        <v>364</v>
      </c>
      <c r="D2305" s="26" t="s">
        <v>23</v>
      </c>
      <c r="E2305" s="27" t="str">
        <f>HYPERLINK("https://www.compass.com/building/310-w-99th-st-manhattan-ny-10025/281970866588310197/","310 W 99th St")</f>
        <v>310 W 99th St</v>
      </c>
      <c r="F2305" s="25" t="s">
        <v>29</v>
      </c>
      <c r="G2305" s="28">
        <v>999000.0</v>
      </c>
      <c r="H2305" s="29"/>
      <c r="I2305" s="28">
        <v>2178.0</v>
      </c>
      <c r="J2305" s="28">
        <v>0.0</v>
      </c>
      <c r="K2305" s="25" t="s">
        <v>25</v>
      </c>
      <c r="L2305" s="26">
        <v>4.0</v>
      </c>
      <c r="M2305" s="26">
        <v>2.0</v>
      </c>
      <c r="N2305" s="26">
        <v>1.0</v>
      </c>
      <c r="O2305" s="30"/>
      <c r="P2305" s="30"/>
      <c r="Q2305" s="35">
        <v>272.0</v>
      </c>
      <c r="R2305" s="32">
        <v>44980.0</v>
      </c>
      <c r="S2305" s="32">
        <v>44708.0</v>
      </c>
      <c r="T2305" s="29"/>
      <c r="U2305" s="33"/>
      <c r="V2305" s="1"/>
    </row>
    <row r="2306" ht="24.0" customHeight="1">
      <c r="A2306" s="1"/>
      <c r="B2306" s="24" t="str">
        <f>HYPERLINK("https://www.compass.com/listing/22-east-18th-street-unit-4w-manhattan-ny-10003/70919328450511601/view?agent_id=610d3f3370540700019b0833","22 East 18th Street, Unit 4W")</f>
        <v>22 East 18th Street, Unit 4W</v>
      </c>
      <c r="C2306" s="25" t="s">
        <v>364</v>
      </c>
      <c r="D2306" s="26" t="s">
        <v>23</v>
      </c>
      <c r="E2306" s="27" t="str">
        <f>HYPERLINK("https://www.compass.com/building/22-e-18th-st-manhattan-ny-10003/292781379635127749/","22 E 18th St")</f>
        <v>22 E 18th St</v>
      </c>
      <c r="F2306" s="25" t="s">
        <v>115</v>
      </c>
      <c r="G2306" s="28">
        <v>3995000.0</v>
      </c>
      <c r="H2306" s="28">
        <v>1211.0</v>
      </c>
      <c r="I2306" s="28">
        <v>3808.0</v>
      </c>
      <c r="J2306" s="29"/>
      <c r="K2306" s="25" t="s">
        <v>25</v>
      </c>
      <c r="L2306" s="26">
        <v>5.0</v>
      </c>
      <c r="M2306" s="26">
        <v>2.0</v>
      </c>
      <c r="N2306" s="26">
        <v>0.0</v>
      </c>
      <c r="O2306" s="26">
        <v>0.0</v>
      </c>
      <c r="P2306" s="34">
        <v>3300.0</v>
      </c>
      <c r="Q2306" s="35">
        <v>16.0</v>
      </c>
      <c r="R2306" s="32">
        <v>45636.0</v>
      </c>
      <c r="S2306" s="32">
        <v>42381.0</v>
      </c>
      <c r="T2306" s="29"/>
      <c r="U2306" s="33"/>
      <c r="V2306" s="1"/>
    </row>
    <row r="2307" ht="24.0" customHeight="1">
      <c r="A2307" s="1"/>
      <c r="B2307" s="24" t="str">
        <f>HYPERLINK("https://www.compass.com/listing/675-west-end-avenue-unit-15b-manhattan-ny-10025/1809612108661157745/view?agent_id=610d3f3370540700019b0833","675 West End Avenue, Unit 15B")</f>
        <v>675 West End Avenue, Unit 15B</v>
      </c>
      <c r="C2307" s="25" t="s">
        <v>370</v>
      </c>
      <c r="D2307" s="26" t="s">
        <v>23</v>
      </c>
      <c r="E2307" s="27" t="str">
        <f>HYPERLINK("https://www.compass.com/building/675-west-end-ave-manhattan-ny-10025/281972916042685589/","675 West End Ave")</f>
        <v>675 West End Ave</v>
      </c>
      <c r="F2307" s="25" t="s">
        <v>29</v>
      </c>
      <c r="G2307" s="28">
        <v>1650000.0</v>
      </c>
      <c r="H2307" s="29"/>
      <c r="I2307" s="28">
        <v>2385.0</v>
      </c>
      <c r="J2307" s="29"/>
      <c r="K2307" s="25" t="s">
        <v>25</v>
      </c>
      <c r="L2307" s="26">
        <v>6.0</v>
      </c>
      <c r="M2307" s="26">
        <v>2.0</v>
      </c>
      <c r="N2307" s="26">
        <v>0.0</v>
      </c>
      <c r="O2307" s="26">
        <v>0.0</v>
      </c>
      <c r="P2307" s="30"/>
      <c r="Q2307" s="31"/>
      <c r="R2307" s="32">
        <v>44581.0</v>
      </c>
      <c r="S2307" s="33"/>
      <c r="T2307" s="29"/>
      <c r="U2307" s="33"/>
      <c r="V2307" s="1"/>
    </row>
    <row r="2308" ht="24.0" customHeight="1">
      <c r="A2308" s="1"/>
      <c r="B2308" s="24" t="str">
        <f>HYPERLINK("https://www.compass.com/listing/100-morton-street-unit-3aw-manhattan-ny-10014/70911544619226273/view?agent_id=610d3f3370540700019b0833","100 Morton Street, Unit 3AW")</f>
        <v>100 Morton Street, Unit 3AW</v>
      </c>
      <c r="C2308" s="25" t="s">
        <v>370</v>
      </c>
      <c r="D2308" s="26" t="s">
        <v>23</v>
      </c>
      <c r="E2308" s="27" t="str">
        <f>HYPERLINK("https://www.compass.com/building/1-morton-square-manhattan-ny/281921646707642293/","1 Morton Square")</f>
        <v>1 Morton Square</v>
      </c>
      <c r="F2308" s="25" t="s">
        <v>26</v>
      </c>
      <c r="G2308" s="28">
        <v>1850000.0</v>
      </c>
      <c r="H2308" s="28">
        <v>1542.0</v>
      </c>
      <c r="I2308" s="28">
        <v>967.0</v>
      </c>
      <c r="J2308" s="28">
        <v>564.0</v>
      </c>
      <c r="K2308" s="25" t="s">
        <v>28</v>
      </c>
      <c r="L2308" s="26">
        <v>4.0</v>
      </c>
      <c r="M2308" s="26">
        <v>2.0</v>
      </c>
      <c r="N2308" s="26">
        <v>0.0</v>
      </c>
      <c r="O2308" s="26">
        <v>0.0</v>
      </c>
      <c r="P2308" s="34">
        <v>1200.0</v>
      </c>
      <c r="Q2308" s="35">
        <v>0.0</v>
      </c>
      <c r="R2308" s="32">
        <v>44581.0</v>
      </c>
      <c r="S2308" s="32">
        <v>41538.0</v>
      </c>
      <c r="T2308" s="29"/>
      <c r="U2308" s="33"/>
      <c r="V2308" s="1"/>
    </row>
    <row r="2309" ht="24.0" customHeight="1">
      <c r="A2309" s="1"/>
      <c r="B2309" s="24" t="str">
        <f>HYPERLINK("https://www.compass.com/listing/210-west-78th-street-unit-1b-manhattan-ny-10024/921743217477072793/view?agent_id=610d3f3370540700019b0833","210 West 78th Street, Unit 1B")</f>
        <v>210 West 78th Street, Unit 1B</v>
      </c>
      <c r="C2309" s="25" t="s">
        <v>370</v>
      </c>
      <c r="D2309" s="26" t="s">
        <v>23</v>
      </c>
      <c r="E2309" s="27" t="str">
        <f>HYPERLINK("https://www.compass.com/building/21078-owners-corporation-manhattan-ny/281963898230356517/","21078 Owners Corporation")</f>
        <v>21078 Owners Corporation</v>
      </c>
      <c r="F2309" s="25" t="s">
        <v>29</v>
      </c>
      <c r="G2309" s="28">
        <v>1445000.0</v>
      </c>
      <c r="H2309" s="28">
        <v>997.0</v>
      </c>
      <c r="I2309" s="28">
        <v>1717.0</v>
      </c>
      <c r="J2309" s="29"/>
      <c r="K2309" s="25" t="s">
        <v>25</v>
      </c>
      <c r="L2309" s="26">
        <v>6.0</v>
      </c>
      <c r="M2309" s="26">
        <v>2.0</v>
      </c>
      <c r="N2309" s="26">
        <v>0.0</v>
      </c>
      <c r="O2309" s="26">
        <v>0.0</v>
      </c>
      <c r="P2309" s="34">
        <v>1450.0</v>
      </c>
      <c r="Q2309" s="35">
        <v>0.0</v>
      </c>
      <c r="R2309" s="32">
        <v>44581.0</v>
      </c>
      <c r="S2309" s="32">
        <v>41512.0</v>
      </c>
      <c r="T2309" s="29"/>
      <c r="U2309" s="33"/>
      <c r="V2309" s="1"/>
    </row>
    <row r="2310" ht="24.0" customHeight="1">
      <c r="A2310" s="1"/>
      <c r="B2310" s="24" t="str">
        <f>HYPERLINK("https://www.compass.com/listing/215-west-88th-street-unit-10c-manhattan-ny-10024/80169268703940225/view?agent_id=610d3f3370540700019b0833","215 West 88th Street, Unit 10C")</f>
        <v>215 West 88th Street, Unit 10C</v>
      </c>
      <c r="C2310" s="25" t="s">
        <v>364</v>
      </c>
      <c r="D2310" s="26" t="s">
        <v>23</v>
      </c>
      <c r="E2310" s="27" t="str">
        <f>HYPERLINK("https://www.compass.com/building/merrion-condominium-manhattan-ny/292869297162767845/","Merrion Condominium")</f>
        <v>Merrion Condominium</v>
      </c>
      <c r="F2310" s="25" t="s">
        <v>29</v>
      </c>
      <c r="G2310" s="28">
        <v>2450000.0</v>
      </c>
      <c r="H2310" s="28">
        <v>1734.0</v>
      </c>
      <c r="I2310" s="28">
        <v>2802.0</v>
      </c>
      <c r="J2310" s="28">
        <v>16728.0</v>
      </c>
      <c r="K2310" s="25" t="s">
        <v>28</v>
      </c>
      <c r="L2310" s="26">
        <v>5.0</v>
      </c>
      <c r="M2310" s="26">
        <v>2.0</v>
      </c>
      <c r="N2310" s="26">
        <v>0.0</v>
      </c>
      <c r="O2310" s="26">
        <v>0.0</v>
      </c>
      <c r="P2310" s="34">
        <v>1413.0</v>
      </c>
      <c r="Q2310" s="35">
        <v>111.0</v>
      </c>
      <c r="R2310" s="32">
        <v>45636.0</v>
      </c>
      <c r="S2310" s="32">
        <v>43217.0</v>
      </c>
      <c r="T2310" s="29"/>
      <c r="U2310" s="33"/>
      <c r="V2310" s="1"/>
    </row>
    <row r="2311" ht="24.0" customHeight="1">
      <c r="A2311" s="1"/>
      <c r="B2311" s="24" t="str">
        <f>HYPERLINK("https://www.compass.com/listing/210-riverside-drive-unit-10g-manhattan-ny-10025/4852329751404092465/view?agent_id=610d3f3370540700019b0833","210 Riverside Drive, Unit 10G")</f>
        <v>210 Riverside Drive, Unit 10G</v>
      </c>
      <c r="C2311" s="25" t="s">
        <v>364</v>
      </c>
      <c r="D2311" s="26" t="s">
        <v>23</v>
      </c>
      <c r="E2311" s="27" t="str">
        <f>HYPERLINK("https://www.compass.com/building/210-riverside-dr-manhattan-ny-10025/281969398481243157/","210 Riverside Dr")</f>
        <v>210 Riverside Dr</v>
      </c>
      <c r="F2311" s="25" t="s">
        <v>29</v>
      </c>
      <c r="G2311" s="28">
        <v>975000.0</v>
      </c>
      <c r="H2311" s="29"/>
      <c r="I2311" s="28">
        <v>3059.0</v>
      </c>
      <c r="J2311" s="29"/>
      <c r="K2311" s="25" t="s">
        <v>25</v>
      </c>
      <c r="L2311" s="26">
        <v>5.0</v>
      </c>
      <c r="M2311" s="26">
        <v>2.0</v>
      </c>
      <c r="N2311" s="26">
        <v>0.0</v>
      </c>
      <c r="O2311" s="26">
        <v>0.0</v>
      </c>
      <c r="P2311" s="30"/>
      <c r="Q2311" s="35">
        <v>89.0</v>
      </c>
      <c r="R2311" s="32">
        <v>44581.0</v>
      </c>
      <c r="S2311" s="32">
        <v>41464.0</v>
      </c>
      <c r="T2311" s="29"/>
      <c r="U2311" s="33"/>
      <c r="V2311" s="1"/>
    </row>
    <row r="2312" ht="24.0" customHeight="1">
      <c r="A2312" s="1"/>
      <c r="B2312" s="24" t="str">
        <f>HYPERLINK("https://www.compass.com/listing/2-cornelia-street-unit-404-manhattan-ny-10014/29366492697033329/view?agent_id=610d3f3370540700019b0833","2 Cornelia Street, Unit 404")</f>
        <v>2 Cornelia Street, Unit 404</v>
      </c>
      <c r="C2312" s="25" t="s">
        <v>370</v>
      </c>
      <c r="D2312" s="26" t="s">
        <v>23</v>
      </c>
      <c r="E2312" s="27" t="str">
        <f>HYPERLINK("https://www.compass.com/building/2-cornelia-st-manhattan-ny-10014/281930768639373877/","2 Cornelia St")</f>
        <v>2 Cornelia St</v>
      </c>
      <c r="F2312" s="25" t="s">
        <v>26</v>
      </c>
      <c r="G2312" s="28">
        <v>1495000.0</v>
      </c>
      <c r="H2312" s="28">
        <v>1246.0</v>
      </c>
      <c r="I2312" s="28">
        <v>1461.0</v>
      </c>
      <c r="J2312" s="28">
        <v>7464.0</v>
      </c>
      <c r="K2312" s="25" t="s">
        <v>28</v>
      </c>
      <c r="L2312" s="26">
        <v>4.0</v>
      </c>
      <c r="M2312" s="26">
        <v>2.0</v>
      </c>
      <c r="N2312" s="26">
        <v>0.0</v>
      </c>
      <c r="O2312" s="26">
        <v>0.0</v>
      </c>
      <c r="P2312" s="34">
        <v>1200.0</v>
      </c>
      <c r="Q2312" s="35">
        <v>0.0</v>
      </c>
      <c r="R2312" s="32">
        <v>44581.0</v>
      </c>
      <c r="S2312" s="32">
        <v>41538.0</v>
      </c>
      <c r="T2312" s="29"/>
      <c r="U2312" s="33"/>
      <c r="V2312" s="1"/>
    </row>
    <row r="2313" ht="24.0" customHeight="1">
      <c r="A2313" s="1"/>
      <c r="B2313" s="24" t="str">
        <f>HYPERLINK("https://www.compass.com/listing/320-central-park-west-unit-9h-manhattan-ny-10025/1838944449720729977/view?agent_id=610d3f3370540700019b0833","320 Central Park West, Unit 9H")</f>
        <v>320 Central Park West, Unit 9H</v>
      </c>
      <c r="C2313" s="25" t="s">
        <v>364</v>
      </c>
      <c r="D2313" s="26" t="s">
        <v>23</v>
      </c>
      <c r="E2313" s="27" t="str">
        <f>HYPERLINK("https://www.compass.com/building/the-ardsley-manhattan-ny/281971247691158597/","The Ardsley")</f>
        <v>The Ardsley</v>
      </c>
      <c r="F2313" s="25" t="s">
        <v>29</v>
      </c>
      <c r="G2313" s="28">
        <v>2000000.0</v>
      </c>
      <c r="H2313" s="29"/>
      <c r="I2313" s="28">
        <v>2600.0</v>
      </c>
      <c r="J2313" s="29"/>
      <c r="K2313" s="25" t="s">
        <v>25</v>
      </c>
      <c r="L2313" s="26">
        <v>4.0</v>
      </c>
      <c r="M2313" s="26">
        <v>2.0</v>
      </c>
      <c r="N2313" s="26">
        <v>0.0</v>
      </c>
      <c r="O2313" s="26">
        <v>0.0</v>
      </c>
      <c r="P2313" s="30"/>
      <c r="Q2313" s="35">
        <v>139.0</v>
      </c>
      <c r="R2313" s="32">
        <v>45636.0</v>
      </c>
      <c r="S2313" s="32">
        <v>42131.0</v>
      </c>
      <c r="T2313" s="29"/>
      <c r="U2313" s="33"/>
      <c r="V2313" s="1"/>
    </row>
    <row r="2314" ht="24.0" customHeight="1">
      <c r="A2314" s="1"/>
      <c r="B2314" s="24" t="str">
        <f>HYPERLINK("https://www.compass.com/listing/1-west-67th-street-unit-300-manhattan-ny-10023/1838989744160529665/view?agent_id=610d3f3370540700019b0833","1 West 67th Street, Unit 300")</f>
        <v>1 West 67th Street, Unit 300</v>
      </c>
      <c r="C2314" s="25" t="s">
        <v>370</v>
      </c>
      <c r="D2314" s="26" t="s">
        <v>23</v>
      </c>
      <c r="E2314" s="27" t="str">
        <f>HYPERLINK("https://www.compass.com/building/hotel-des-artistes-manhattan-ny/282059006271323077/","Hotel des Artistes")</f>
        <v>Hotel des Artistes</v>
      </c>
      <c r="F2314" s="25" t="s">
        <v>29</v>
      </c>
      <c r="G2314" s="28">
        <v>2299000.0</v>
      </c>
      <c r="H2314" s="29"/>
      <c r="I2314" s="28">
        <v>4124.0</v>
      </c>
      <c r="J2314" s="29"/>
      <c r="K2314" s="25" t="s">
        <v>25</v>
      </c>
      <c r="L2314" s="26">
        <v>5.0</v>
      </c>
      <c r="M2314" s="26">
        <v>2.0</v>
      </c>
      <c r="N2314" s="26">
        <v>0.0</v>
      </c>
      <c r="O2314" s="26">
        <v>0.0</v>
      </c>
      <c r="P2314" s="30"/>
      <c r="Q2314" s="35">
        <v>454.0</v>
      </c>
      <c r="R2314" s="32">
        <v>45636.0</v>
      </c>
      <c r="S2314" s="32">
        <v>42328.0</v>
      </c>
      <c r="T2314" s="29"/>
      <c r="U2314" s="33"/>
      <c r="V2314" s="1"/>
    </row>
    <row r="2315" ht="24.0" customHeight="1">
      <c r="A2315" s="1"/>
      <c r="B2315" s="24" t="str">
        <f>HYPERLINK("https://www.compass.com/listing/310-west-99th-street-unit-109-manhattan-ny-10025/29431314834834817/view?agent_id=610d3f3370540700019b0833","310 West 99th Street, Unit 109")</f>
        <v>310 West 99th Street, Unit 109</v>
      </c>
      <c r="C2315" s="25" t="s">
        <v>370</v>
      </c>
      <c r="D2315" s="26" t="s">
        <v>23</v>
      </c>
      <c r="E2315" s="27" t="str">
        <f>HYPERLINK("https://www.compass.com/building/310-w-99th-st-manhattan-ny-10025/281970866588310197/","310 W 99th St")</f>
        <v>310 W 99th St</v>
      </c>
      <c r="F2315" s="25" t="s">
        <v>29</v>
      </c>
      <c r="G2315" s="28">
        <v>850000.0</v>
      </c>
      <c r="H2315" s="29"/>
      <c r="I2315" s="28">
        <v>1414.0</v>
      </c>
      <c r="J2315" s="29"/>
      <c r="K2315" s="25" t="s">
        <v>25</v>
      </c>
      <c r="L2315" s="26">
        <v>4.0</v>
      </c>
      <c r="M2315" s="26">
        <v>2.0</v>
      </c>
      <c r="N2315" s="26">
        <v>0.0</v>
      </c>
      <c r="O2315" s="26">
        <v>0.0</v>
      </c>
      <c r="P2315" s="30"/>
      <c r="Q2315" s="35">
        <v>143.0</v>
      </c>
      <c r="R2315" s="32">
        <v>45636.0</v>
      </c>
      <c r="S2315" s="32">
        <v>42937.0</v>
      </c>
      <c r="T2315" s="29"/>
      <c r="U2315" s="33"/>
      <c r="V2315" s="1"/>
    </row>
    <row r="2316" ht="24.0" customHeight="1">
      <c r="A2316" s="1"/>
      <c r="B2316" s="24" t="str">
        <f>HYPERLINK("https://www.compass.com/listing/738-broadway-unit-ph2-manhattan-ny-10003/1838883082078564057/view?agent_id=610d3f3370540700019b0833","738 Broadway, Unit PH2")</f>
        <v>738 Broadway, Unit PH2</v>
      </c>
      <c r="C2316" s="25" t="s">
        <v>364</v>
      </c>
      <c r="D2316" s="26" t="s">
        <v>23</v>
      </c>
      <c r="E2316" s="27" t="str">
        <f>HYPERLINK("https://www.compass.com/building/738-broadway-manhattan-ny-10003/281894757351825157/","738 Broadway")</f>
        <v>738 Broadway</v>
      </c>
      <c r="F2316" s="25" t="s">
        <v>57</v>
      </c>
      <c r="G2316" s="28">
        <v>6750000.0</v>
      </c>
      <c r="H2316" s="28">
        <v>2817.0</v>
      </c>
      <c r="I2316" s="28">
        <v>4253.0</v>
      </c>
      <c r="J2316" s="28">
        <v>17940.0</v>
      </c>
      <c r="K2316" s="25" t="s">
        <v>28</v>
      </c>
      <c r="L2316" s="26">
        <v>4.0</v>
      </c>
      <c r="M2316" s="26">
        <v>2.0</v>
      </c>
      <c r="N2316" s="26">
        <v>0.0</v>
      </c>
      <c r="O2316" s="26">
        <v>0.0</v>
      </c>
      <c r="P2316" s="34">
        <v>2396.0</v>
      </c>
      <c r="Q2316" s="35">
        <v>135.0</v>
      </c>
      <c r="R2316" s="32">
        <v>45636.0</v>
      </c>
      <c r="S2316" s="32">
        <v>41652.0</v>
      </c>
      <c r="T2316" s="29"/>
      <c r="U2316" s="33"/>
      <c r="V2316" s="1"/>
    </row>
    <row r="2317" ht="24.0" customHeight="1">
      <c r="A2317" s="1"/>
      <c r="B2317" s="24" t="str">
        <f>HYPERLINK("https://www.compass.com/listing/205-west-end-avenue-unit-15j-manhattan-ny-10023/1809628450399001017/view?agent_id=610d3f3370540700019b0833","205 West End Avenue, Unit 15J")</f>
        <v>205 West End Avenue, Unit 15J</v>
      </c>
      <c r="C2317" s="25" t="s">
        <v>370</v>
      </c>
      <c r="D2317" s="26" t="s">
        <v>23</v>
      </c>
      <c r="E2317" s="27" t="str">
        <f>HYPERLINK("https://www.compass.com/building/lincoln-towers-manhattan-ny/281958334712585077/","Lincoln Towers")</f>
        <v>Lincoln Towers</v>
      </c>
      <c r="F2317" s="25" t="s">
        <v>29</v>
      </c>
      <c r="G2317" s="28">
        <v>1195000.0</v>
      </c>
      <c r="H2317" s="29"/>
      <c r="I2317" s="28">
        <v>1477.0</v>
      </c>
      <c r="J2317" s="29"/>
      <c r="K2317" s="25" t="s">
        <v>25</v>
      </c>
      <c r="L2317" s="26">
        <v>4.0</v>
      </c>
      <c r="M2317" s="26">
        <v>2.0</v>
      </c>
      <c r="N2317" s="26">
        <v>0.0</v>
      </c>
      <c r="O2317" s="26">
        <v>0.0</v>
      </c>
      <c r="P2317" s="30"/>
      <c r="Q2317" s="35">
        <v>120.0</v>
      </c>
      <c r="R2317" s="32">
        <v>45636.0</v>
      </c>
      <c r="S2317" s="32">
        <v>42401.0</v>
      </c>
      <c r="T2317" s="29"/>
      <c r="U2317" s="33"/>
      <c r="V2317" s="1"/>
    </row>
    <row r="2318" ht="24.0" customHeight="1">
      <c r="A2318" s="1"/>
      <c r="B2318" s="24" t="str">
        <f>HYPERLINK("https://www.compass.com/listing/738-broadway-unit-3-manhattan-ny-10003/1838953606297298793/view?agent_id=610d3f3370540700019b0833","738 Broadway, Unit 3")</f>
        <v>738 Broadway, Unit 3</v>
      </c>
      <c r="C2318" s="25" t="s">
        <v>364</v>
      </c>
      <c r="D2318" s="26" t="s">
        <v>23</v>
      </c>
      <c r="E2318" s="27" t="str">
        <f>HYPERLINK("https://www.compass.com/building/738-broadway-manhattan-ny-10003/281894757351825157/","738 Broadway")</f>
        <v>738 Broadway</v>
      </c>
      <c r="F2318" s="25" t="s">
        <v>57</v>
      </c>
      <c r="G2318" s="28">
        <v>5750000.0</v>
      </c>
      <c r="H2318" s="28">
        <v>2400.0</v>
      </c>
      <c r="I2318" s="28">
        <v>2774.0</v>
      </c>
      <c r="J2318" s="28">
        <v>11700.0</v>
      </c>
      <c r="K2318" s="25" t="s">
        <v>28</v>
      </c>
      <c r="L2318" s="26">
        <v>4.0</v>
      </c>
      <c r="M2318" s="26">
        <v>2.0</v>
      </c>
      <c r="N2318" s="26">
        <v>0.0</v>
      </c>
      <c r="O2318" s="26">
        <v>0.0</v>
      </c>
      <c r="P2318" s="34">
        <v>2396.0</v>
      </c>
      <c r="Q2318" s="35">
        <v>135.0</v>
      </c>
      <c r="R2318" s="32">
        <v>45636.0</v>
      </c>
      <c r="S2318" s="32">
        <v>41652.0</v>
      </c>
      <c r="T2318" s="29"/>
      <c r="U2318" s="33"/>
      <c r="V2318" s="1"/>
    </row>
    <row r="2319" ht="24.0" customHeight="1">
      <c r="A2319" s="1"/>
      <c r="B2319" s="24" t="str">
        <f>HYPERLINK("https://www.compass.com/listing/782-west-end-avenue-unit-ph1-manhattan-ny-10025/238259081503057969/view?agent_id=610d3f3370540700019b0833","782 West End Avenue, Unit PH1")</f>
        <v>782 West End Avenue, Unit PH1</v>
      </c>
      <c r="C2319" s="25" t="s">
        <v>364</v>
      </c>
      <c r="D2319" s="26" t="s">
        <v>23</v>
      </c>
      <c r="E2319" s="27" t="str">
        <f>HYPERLINK("https://www.compass.com/building/782-west-end-ave-manhattan-ny-10025/281926004279125237/","782 West End Ave")</f>
        <v>782 West End Ave</v>
      </c>
      <c r="F2319" s="25" t="s">
        <v>29</v>
      </c>
      <c r="G2319" s="28">
        <v>799999.0</v>
      </c>
      <c r="H2319" s="29"/>
      <c r="I2319" s="28">
        <v>1503.0</v>
      </c>
      <c r="J2319" s="28">
        <v>0.0</v>
      </c>
      <c r="K2319" s="25" t="s">
        <v>25</v>
      </c>
      <c r="L2319" s="26">
        <v>4.0</v>
      </c>
      <c r="M2319" s="26">
        <v>2.0</v>
      </c>
      <c r="N2319" s="26">
        <v>1.0</v>
      </c>
      <c r="O2319" s="26">
        <v>0.0</v>
      </c>
      <c r="P2319" s="30"/>
      <c r="Q2319" s="35">
        <v>41.0</v>
      </c>
      <c r="R2319" s="32">
        <v>43622.0</v>
      </c>
      <c r="S2319" s="32">
        <v>43580.0</v>
      </c>
      <c r="T2319" s="29"/>
      <c r="U2319" s="33"/>
      <c r="V2319" s="1"/>
    </row>
    <row r="2320" ht="24.0" customHeight="1">
      <c r="A2320" s="1"/>
      <c r="B2320" s="24" t="str">
        <f>HYPERLINK("https://www.compass.com/listing/65-west-95th-street-unit-6a-manhattan-ny-10025/1838988241106025545/view?agent_id=610d3f3370540700019b0833","65 West 95th Street, Unit 6A")</f>
        <v>65 West 95th Street, Unit 6A</v>
      </c>
      <c r="C2320" s="25" t="s">
        <v>364</v>
      </c>
      <c r="D2320" s="26" t="s">
        <v>23</v>
      </c>
      <c r="E2320" s="27" t="str">
        <f>HYPERLINK("https://www.compass.com/building/65-w-95th-st-manhattan-ny-10025/281972825034679045/","65 W 95th St")</f>
        <v>65 W 95th St</v>
      </c>
      <c r="F2320" s="25" t="s">
        <v>29</v>
      </c>
      <c r="G2320" s="28">
        <v>1295000.0</v>
      </c>
      <c r="H2320" s="29"/>
      <c r="I2320" s="28">
        <v>1826.0</v>
      </c>
      <c r="J2320" s="29"/>
      <c r="K2320" s="25" t="s">
        <v>25</v>
      </c>
      <c r="L2320" s="26">
        <v>4.0</v>
      </c>
      <c r="M2320" s="26">
        <v>2.0</v>
      </c>
      <c r="N2320" s="26">
        <v>0.0</v>
      </c>
      <c r="O2320" s="26">
        <v>0.0</v>
      </c>
      <c r="P2320" s="30"/>
      <c r="Q2320" s="31"/>
      <c r="R2320" s="32">
        <v>44581.0</v>
      </c>
      <c r="S2320" s="33"/>
      <c r="T2320" s="29"/>
      <c r="U2320" s="33"/>
      <c r="V2320" s="1"/>
    </row>
    <row r="2321" ht="24.0" customHeight="1">
      <c r="A2321" s="1"/>
      <c r="B2321" s="24" t="str">
        <f>HYPERLINK("https://www.compass.com/listing/56-garden-unit-2-brooklyn-ny-11201/1299600955325655321/view?agent_id=610d3f3370540700019b0833","56 Garden, Unit 2")</f>
        <v>56 Garden, Unit 2</v>
      </c>
      <c r="C2321" s="25" t="s">
        <v>370</v>
      </c>
      <c r="D2321" s="26" t="s">
        <v>23</v>
      </c>
      <c r="E2321" s="26" t="s">
        <v>372</v>
      </c>
      <c r="F2321" s="25" t="s">
        <v>52</v>
      </c>
      <c r="G2321" s="28">
        <v>1195000.0</v>
      </c>
      <c r="H2321" s="29"/>
      <c r="I2321" s="28">
        <v>1000.0</v>
      </c>
      <c r="J2321" s="29"/>
      <c r="K2321" s="25" t="s">
        <v>25</v>
      </c>
      <c r="L2321" s="26">
        <v>4.0</v>
      </c>
      <c r="M2321" s="26">
        <v>2.0</v>
      </c>
      <c r="N2321" s="26">
        <v>1.0</v>
      </c>
      <c r="O2321" s="30"/>
      <c r="P2321" s="30"/>
      <c r="Q2321" s="35">
        <v>155.0</v>
      </c>
      <c r="R2321" s="32">
        <v>44258.0</v>
      </c>
      <c r="S2321" s="32">
        <v>44103.0</v>
      </c>
      <c r="T2321" s="29"/>
      <c r="U2321" s="33"/>
      <c r="V2321" s="1"/>
    </row>
    <row r="2322" ht="24.0" customHeight="1">
      <c r="A2322" s="1"/>
      <c r="B2322" s="24" t="str">
        <f>HYPERLINK("https://www.compass.com/listing/677-west-end-avenue-unit-9b-manhattan-ny-10025/1838870485912628705/view?agent_id=610d3f3370540700019b0833","677 West End Avenue, Unit 9B")</f>
        <v>677 West End Avenue, Unit 9B</v>
      </c>
      <c r="C2322" s="25" t="s">
        <v>364</v>
      </c>
      <c r="D2322" s="26" t="s">
        <v>23</v>
      </c>
      <c r="E2322" s="27" t="str">
        <f>HYPERLINK("https://www.compass.com/building/677-west-end-ave-manhattan-ny-10025/281972922896177957/","677 West End Ave")</f>
        <v>677 West End Ave</v>
      </c>
      <c r="F2322" s="25" t="s">
        <v>29</v>
      </c>
      <c r="G2322" s="28">
        <v>1295000.0</v>
      </c>
      <c r="H2322" s="29"/>
      <c r="I2322" s="28">
        <v>1721.0</v>
      </c>
      <c r="J2322" s="29"/>
      <c r="K2322" s="25" t="s">
        <v>25</v>
      </c>
      <c r="L2322" s="26">
        <v>4.0</v>
      </c>
      <c r="M2322" s="26">
        <v>2.0</v>
      </c>
      <c r="N2322" s="26">
        <v>1.0</v>
      </c>
      <c r="O2322" s="26">
        <v>0.0</v>
      </c>
      <c r="P2322" s="30"/>
      <c r="Q2322" s="35">
        <v>24.0</v>
      </c>
      <c r="R2322" s="32">
        <v>45636.0</v>
      </c>
      <c r="S2322" s="32">
        <v>43137.0</v>
      </c>
      <c r="T2322" s="29"/>
      <c r="U2322" s="33"/>
      <c r="V2322" s="1"/>
    </row>
    <row r="2323" ht="24.0" customHeight="1">
      <c r="A2323" s="1"/>
      <c r="B2323" s="24" t="str">
        <f>HYPERLINK("https://www.compass.com/listing/355-clinton-avenue-unit-1f-brooklyn-ny-11238/1809830041450135553/view?agent_id=610d3f3370540700019b0833","355 Clinton Avenue, Unit 1F")</f>
        <v>355 Clinton Avenue, Unit 1F</v>
      </c>
      <c r="C2323" s="25" t="s">
        <v>365</v>
      </c>
      <c r="D2323" s="26" t="s">
        <v>23</v>
      </c>
      <c r="E2323" s="27" t="str">
        <f>HYPERLINK("https://www.compass.com/building/clinton-hill-coops-south-campus-brooklyn-ny/293426176305733173/","Clinton Hill Coops - South Campus")</f>
        <v>Clinton Hill Coops - South Campus</v>
      </c>
      <c r="F2323" s="25" t="s">
        <v>30</v>
      </c>
      <c r="G2323" s="28">
        <v>900000.0</v>
      </c>
      <c r="H2323" s="28">
        <v>900.0</v>
      </c>
      <c r="I2323" s="28">
        <v>1454.0</v>
      </c>
      <c r="J2323" s="28">
        <v>0.0</v>
      </c>
      <c r="K2323" s="25" t="s">
        <v>25</v>
      </c>
      <c r="L2323" s="26">
        <v>4.0</v>
      </c>
      <c r="M2323" s="26">
        <v>2.0</v>
      </c>
      <c r="N2323" s="26">
        <v>1.0</v>
      </c>
      <c r="O2323" s="30"/>
      <c r="P2323" s="34">
        <v>1000.0</v>
      </c>
      <c r="Q2323" s="35">
        <v>98.0</v>
      </c>
      <c r="R2323" s="32">
        <v>45861.0</v>
      </c>
      <c r="S2323" s="32">
        <v>45762.0</v>
      </c>
      <c r="T2323" s="29"/>
      <c r="U2323" s="33"/>
      <c r="V2323" s="1"/>
    </row>
    <row r="2324" ht="24.0" customHeight="1">
      <c r="A2324" s="1"/>
      <c r="B2324" s="24" t="str">
        <f>HYPERLINK("https://www.compass.com/listing/332-west-19th-street-manhattan-ny-10011/4852265850981324257/view?agent_id=610d3f3370540700019b0833","332 West 19th Street")</f>
        <v>332 West 19th Street</v>
      </c>
      <c r="C2324" s="25" t="s">
        <v>364</v>
      </c>
      <c r="D2324" s="26" t="s">
        <v>23</v>
      </c>
      <c r="E2324" s="27" t="str">
        <f>HYPERLINK("https://www.compass.com/building/332-w-19th-st-manhattan-ny-10011/281908956538888453/","332 W 19th St")</f>
        <v>332 W 19th St</v>
      </c>
      <c r="F2324" s="25" t="s">
        <v>27</v>
      </c>
      <c r="G2324" s="28">
        <v>1395000.0</v>
      </c>
      <c r="H2324" s="29"/>
      <c r="I2324" s="28">
        <v>0.0</v>
      </c>
      <c r="J2324" s="29"/>
      <c r="K2324" s="25" t="s">
        <v>373</v>
      </c>
      <c r="L2324" s="26">
        <v>0.0</v>
      </c>
      <c r="M2324" s="26">
        <v>2.0</v>
      </c>
      <c r="N2324" s="26">
        <v>0.0</v>
      </c>
      <c r="O2324" s="26">
        <v>0.0</v>
      </c>
      <c r="P2324" s="30"/>
      <c r="Q2324" s="31"/>
      <c r="R2324" s="32">
        <v>44581.0</v>
      </c>
      <c r="S2324" s="33"/>
      <c r="T2324" s="29"/>
      <c r="U2324" s="33"/>
      <c r="V2324" s="1"/>
    </row>
    <row r="2325" ht="24.0" customHeight="1">
      <c r="A2325" s="1"/>
      <c r="B2325" s="24" t="str">
        <f>HYPERLINK("https://www.compass.com/listing/57-bond-street-unit-2w-manhattan-ny-10012/4852276562604601921/view?agent_id=610d3f3370540700019b0833","57 Bond Street, Unit 2W")</f>
        <v>57 Bond Street, Unit 2W</v>
      </c>
      <c r="C2325" s="25" t="s">
        <v>364</v>
      </c>
      <c r="D2325" s="26" t="s">
        <v>23</v>
      </c>
      <c r="E2325" s="27" t="str">
        <f>HYPERLINK("https://www.compass.com/building/57-bond-st-manhattan-ny-10012/281915596818380325/","57 Bond St")</f>
        <v>57 Bond St</v>
      </c>
      <c r="F2325" s="25" t="s">
        <v>57</v>
      </c>
      <c r="G2325" s="28">
        <v>3925000.0</v>
      </c>
      <c r="H2325" s="28">
        <v>1860.0</v>
      </c>
      <c r="I2325" s="28">
        <v>3707.0</v>
      </c>
      <c r="J2325" s="28">
        <v>23040.0</v>
      </c>
      <c r="K2325" s="25" t="s">
        <v>28</v>
      </c>
      <c r="L2325" s="26">
        <v>6.0</v>
      </c>
      <c r="M2325" s="26">
        <v>2.0</v>
      </c>
      <c r="N2325" s="26">
        <v>0.0</v>
      </c>
      <c r="O2325" s="26">
        <v>0.0</v>
      </c>
      <c r="P2325" s="34">
        <v>2110.0</v>
      </c>
      <c r="Q2325" s="35">
        <v>1764.0</v>
      </c>
      <c r="R2325" s="32">
        <v>44581.0</v>
      </c>
      <c r="S2325" s="32">
        <v>41172.0</v>
      </c>
      <c r="T2325" s="29"/>
      <c r="U2325" s="33"/>
      <c r="V2325" s="1"/>
    </row>
    <row r="2326" ht="24.0" customHeight="1">
      <c r="A2326" s="1"/>
      <c r="B2326" s="24" t="str">
        <f>HYPERLINK("https://www.compass.com/listing/165-charles-street-unit-1-manhattan-ny-10014/1838920234040723441/view?agent_id=610d3f3370540700019b0833","165 Charles Street, Unit 1")</f>
        <v>165 Charles Street, Unit 1</v>
      </c>
      <c r="C2326" s="25" t="s">
        <v>364</v>
      </c>
      <c r="D2326" s="26" t="s">
        <v>23</v>
      </c>
      <c r="E2326" s="27" t="str">
        <f t="shared" ref="E2326:E2327" si="45">HYPERLINK("https://www.compass.com/building/165-charles-st-manhattan-ny-10014/281930382352364181/","165 Charles St")</f>
        <v>165 Charles St</v>
      </c>
      <c r="F2326" s="25" t="s">
        <v>26</v>
      </c>
      <c r="G2326" s="28">
        <v>4500000.0</v>
      </c>
      <c r="H2326" s="28">
        <v>2506.0</v>
      </c>
      <c r="I2326" s="28">
        <v>4066.0</v>
      </c>
      <c r="J2326" s="28">
        <v>10332.0</v>
      </c>
      <c r="K2326" s="25" t="s">
        <v>28</v>
      </c>
      <c r="L2326" s="26">
        <v>5.0</v>
      </c>
      <c r="M2326" s="26">
        <v>2.0</v>
      </c>
      <c r="N2326" s="26">
        <v>0.0</v>
      </c>
      <c r="O2326" s="26">
        <v>0.0</v>
      </c>
      <c r="P2326" s="34">
        <v>1796.0</v>
      </c>
      <c r="Q2326" s="31"/>
      <c r="R2326" s="32">
        <v>45636.0</v>
      </c>
      <c r="S2326" s="33"/>
      <c r="T2326" s="29"/>
      <c r="U2326" s="33"/>
      <c r="V2326" s="1"/>
    </row>
    <row r="2327" ht="24.0" customHeight="1">
      <c r="A2327" s="1"/>
      <c r="B2327" s="24" t="str">
        <f>HYPERLINK("https://www.compass.com/listing/165-charles-street-unit-2-manhattan-ny-10014/1838920502803250553/view?agent_id=610d3f3370540700019b0833","165 Charles Street, Unit 2")</f>
        <v>165 Charles Street, Unit 2</v>
      </c>
      <c r="C2327" s="25" t="s">
        <v>364</v>
      </c>
      <c r="D2327" s="26" t="s">
        <v>23</v>
      </c>
      <c r="E2327" s="27" t="str">
        <f t="shared" si="45"/>
        <v>165 Charles St</v>
      </c>
      <c r="F2327" s="25" t="s">
        <v>26</v>
      </c>
      <c r="G2327" s="28">
        <v>4500000.0</v>
      </c>
      <c r="H2327" s="28">
        <v>2786.0</v>
      </c>
      <c r="I2327" s="28">
        <v>3652.0</v>
      </c>
      <c r="J2327" s="28">
        <v>9312.0</v>
      </c>
      <c r="K2327" s="25" t="s">
        <v>28</v>
      </c>
      <c r="L2327" s="26">
        <v>5.0</v>
      </c>
      <c r="M2327" s="26">
        <v>2.0</v>
      </c>
      <c r="N2327" s="26">
        <v>0.0</v>
      </c>
      <c r="O2327" s="26">
        <v>0.0</v>
      </c>
      <c r="P2327" s="34">
        <v>1615.0</v>
      </c>
      <c r="Q2327" s="31"/>
      <c r="R2327" s="32">
        <v>44581.0</v>
      </c>
      <c r="S2327" s="33"/>
      <c r="T2327" s="29"/>
      <c r="U2327" s="33"/>
      <c r="V2327" s="1"/>
    </row>
    <row r="2328" ht="24.0" customHeight="1">
      <c r="A2328" s="1"/>
      <c r="B2328" s="24" t="str">
        <f>HYPERLINK("https://www.compass.com/listing/207-east-21st-street-unit-2b-manhattan-ny-10010/803304658273297969/view?agent_id=610d3f3370540700019b0833","207 East 21st Street, Unit 2B")</f>
        <v>207 East 21st Street, Unit 2B</v>
      </c>
      <c r="C2328" s="25" t="s">
        <v>364</v>
      </c>
      <c r="D2328" s="26" t="s">
        <v>23</v>
      </c>
      <c r="E2328" s="27" t="str">
        <f>HYPERLINK("https://www.compass.com/building/207-e-21st-st-manhattan-ny-10010/281902086705137061/","207 E 21st St")</f>
        <v>207 E 21st St</v>
      </c>
      <c r="F2328" s="25" t="s">
        <v>48</v>
      </c>
      <c r="G2328" s="28">
        <v>525000.0</v>
      </c>
      <c r="H2328" s="29"/>
      <c r="I2328" s="28">
        <v>1489.0</v>
      </c>
      <c r="J2328" s="29"/>
      <c r="K2328" s="25" t="s">
        <v>25</v>
      </c>
      <c r="L2328" s="26">
        <v>5.0</v>
      </c>
      <c r="M2328" s="26">
        <v>2.0</v>
      </c>
      <c r="N2328" s="26">
        <v>1.0</v>
      </c>
      <c r="O2328" s="26">
        <v>0.0</v>
      </c>
      <c r="P2328" s="30"/>
      <c r="Q2328" s="35">
        <v>136.0</v>
      </c>
      <c r="R2328" s="32">
        <v>45636.0</v>
      </c>
      <c r="S2328" s="32">
        <v>43626.0</v>
      </c>
      <c r="T2328" s="29"/>
      <c r="U2328" s="33"/>
      <c r="V2328" s="1"/>
    </row>
    <row r="2329" ht="24.0" customHeight="1">
      <c r="A2329" s="1"/>
      <c r="B2329" s="24" t="str">
        <f>HYPERLINK("https://www.compass.com/listing/321-west-78th-street-unit-1e-manhattan-ny-10024/9219468584666289/view?agent_id=610d3f3370540700019b0833","321 West 78th Street, Unit 1E")</f>
        <v>321 West 78th Street, Unit 1E</v>
      </c>
      <c r="C2329" s="25" t="s">
        <v>370</v>
      </c>
      <c r="D2329" s="26" t="s">
        <v>23</v>
      </c>
      <c r="E2329" s="27" t="str">
        <f>HYPERLINK("https://www.compass.com/building/321-w-78th-st-manhattan-ny-10024/281965414110542549/","321 W 78th St")</f>
        <v>321 W 78th St</v>
      </c>
      <c r="F2329" s="25" t="s">
        <v>29</v>
      </c>
      <c r="G2329" s="28">
        <v>1095000.0</v>
      </c>
      <c r="H2329" s="29"/>
      <c r="I2329" s="28">
        <v>2298.0</v>
      </c>
      <c r="J2329" s="28">
        <v>0.0</v>
      </c>
      <c r="K2329" s="25" t="s">
        <v>25</v>
      </c>
      <c r="L2329" s="26">
        <v>4.0</v>
      </c>
      <c r="M2329" s="26">
        <v>2.0</v>
      </c>
      <c r="N2329" s="30"/>
      <c r="O2329" s="30"/>
      <c r="P2329" s="30"/>
      <c r="Q2329" s="35">
        <v>132.0</v>
      </c>
      <c r="R2329" s="32">
        <v>43397.0</v>
      </c>
      <c r="S2329" s="32">
        <v>43264.0</v>
      </c>
      <c r="T2329" s="29"/>
      <c r="U2329" s="33"/>
      <c r="V2329" s="1"/>
    </row>
    <row r="2330" ht="24.0" customHeight="1">
      <c r="A2330" s="1"/>
      <c r="B2330" s="24" t="str">
        <f>HYPERLINK("https://www.compass.com/listing/205-hicks-street-unit-4c-brooklyn-ny-11201/29510605106970353/view?agent_id=610d3f3370540700019b0833","205 Hicks Street, Unit 4C")</f>
        <v>205 Hicks Street, Unit 4C</v>
      </c>
      <c r="C2330" s="25" t="s">
        <v>364</v>
      </c>
      <c r="D2330" s="26" t="s">
        <v>23</v>
      </c>
      <c r="E2330" s="27" t="str">
        <f>HYPERLINK("https://www.compass.com/building/205-hicks-st-brooklyn-ny-11201/282510782841839701/","205 Hicks St")</f>
        <v>205 Hicks St</v>
      </c>
      <c r="F2330" s="25" t="s">
        <v>52</v>
      </c>
      <c r="G2330" s="28">
        <v>2200000.0</v>
      </c>
      <c r="H2330" s="28">
        <v>2404.0</v>
      </c>
      <c r="I2330" s="28">
        <v>1370.0</v>
      </c>
      <c r="J2330" s="28">
        <v>0.0</v>
      </c>
      <c r="K2330" s="25" t="s">
        <v>25</v>
      </c>
      <c r="L2330" s="26">
        <v>4.0</v>
      </c>
      <c r="M2330" s="26">
        <v>2.0</v>
      </c>
      <c r="N2330" s="30"/>
      <c r="O2330" s="30"/>
      <c r="P2330" s="26">
        <v>915.0</v>
      </c>
      <c r="Q2330" s="35">
        <v>303.0</v>
      </c>
      <c r="R2330" s="32">
        <v>43587.0</v>
      </c>
      <c r="S2330" s="32">
        <v>43283.0</v>
      </c>
      <c r="T2330" s="29"/>
      <c r="U2330" s="33"/>
      <c r="V2330" s="1"/>
    </row>
    <row r="2331" ht="24.0" customHeight="1">
      <c r="A2331" s="1"/>
      <c r="B2331" s="24" t="str">
        <f>HYPERLINK("https://www.compass.com/listing/170-west-81st-street-unit-5a-manhattan-ny-10024/1034566647688805729/view?agent_id=610d3f3370540700019b0833","170 West 81st Street, Unit 5A")</f>
        <v>170 West 81st Street, Unit 5A</v>
      </c>
      <c r="C2331" s="25" t="s">
        <v>365</v>
      </c>
      <c r="D2331" s="26" t="s">
        <v>23</v>
      </c>
      <c r="E2331" s="27" t="str">
        <f>HYPERLINK("https://www.compass.com/building/170-w-81st-st-manhattan-ny-10024/281963317797402693/","170 W 81st St")</f>
        <v>170 W 81st St</v>
      </c>
      <c r="F2331" s="25" t="s">
        <v>29</v>
      </c>
      <c r="G2331" s="28">
        <v>1299000.0</v>
      </c>
      <c r="H2331" s="29"/>
      <c r="I2331" s="28">
        <v>1627.0</v>
      </c>
      <c r="J2331" s="28">
        <v>0.0</v>
      </c>
      <c r="K2331" s="25" t="s">
        <v>25</v>
      </c>
      <c r="L2331" s="26">
        <v>3.0</v>
      </c>
      <c r="M2331" s="26">
        <v>2.0</v>
      </c>
      <c r="N2331" s="26">
        <v>1.0</v>
      </c>
      <c r="O2331" s="30"/>
      <c r="P2331" s="30"/>
      <c r="Q2331" s="35">
        <v>82.0</v>
      </c>
      <c r="R2331" s="32">
        <v>44774.0</v>
      </c>
      <c r="S2331" s="32">
        <v>44679.0</v>
      </c>
      <c r="T2331" s="29"/>
      <c r="U2331" s="33"/>
      <c r="V2331" s="1"/>
    </row>
    <row r="2332" ht="24.0" customHeight="1">
      <c r="A2332" s="1"/>
      <c r="B2332" s="24" t="str">
        <f>HYPERLINK("https://www.compass.com/listing/235-west-102nd-street-unit-14i-manhattan-ny-10025/1838880927657474769/view?agent_id=610d3f3370540700019b0833","235 West 102nd Street, Unit 14I")</f>
        <v>235 West 102nd Street, Unit 14I</v>
      </c>
      <c r="C2332" s="25" t="s">
        <v>364</v>
      </c>
      <c r="D2332" s="26" t="s">
        <v>23</v>
      </c>
      <c r="E2332" s="27" t="str">
        <f t="shared" ref="E2332:E2333" si="46">HYPERLINK("https://www.compass.com/building/the-broadmoor-manhattan-ny/292877841798884117/","The Broadmoor")</f>
        <v>The Broadmoor</v>
      </c>
      <c r="F2332" s="25" t="s">
        <v>29</v>
      </c>
      <c r="G2332" s="28">
        <v>1249000.0</v>
      </c>
      <c r="H2332" s="29"/>
      <c r="I2332" s="28">
        <v>1689.0</v>
      </c>
      <c r="J2332" s="29"/>
      <c r="K2332" s="25" t="s">
        <v>25</v>
      </c>
      <c r="L2332" s="26">
        <v>4.0</v>
      </c>
      <c r="M2332" s="26">
        <v>2.0</v>
      </c>
      <c r="N2332" s="26">
        <v>0.0</v>
      </c>
      <c r="O2332" s="26">
        <v>0.0</v>
      </c>
      <c r="P2332" s="30"/>
      <c r="Q2332" s="35">
        <v>99.0</v>
      </c>
      <c r="R2332" s="32">
        <v>45636.0</v>
      </c>
      <c r="S2332" s="32">
        <v>41881.0</v>
      </c>
      <c r="T2332" s="29"/>
      <c r="U2332" s="33"/>
      <c r="V2332" s="1"/>
    </row>
    <row r="2333" ht="24.0" customHeight="1">
      <c r="A2333" s="1"/>
      <c r="B2333" s="24" t="str">
        <f>HYPERLINK("https://www.compass.com/listing/235-west-102nd-street-unit-14i-manhattan-ny-10025/920124593963951881/view?agent_id=610d3f3370540700019b0833","235 West 102nd Street, Unit 14I")</f>
        <v>235 West 102nd Street, Unit 14I</v>
      </c>
      <c r="C2333" s="25" t="s">
        <v>364</v>
      </c>
      <c r="D2333" s="26" t="s">
        <v>23</v>
      </c>
      <c r="E2333" s="27" t="str">
        <f t="shared" si="46"/>
        <v>The Broadmoor</v>
      </c>
      <c r="F2333" s="25" t="s">
        <v>29</v>
      </c>
      <c r="G2333" s="28">
        <v>1289000.0</v>
      </c>
      <c r="H2333" s="29"/>
      <c r="I2333" s="28">
        <v>1723.0</v>
      </c>
      <c r="J2333" s="29"/>
      <c r="K2333" s="25" t="s">
        <v>25</v>
      </c>
      <c r="L2333" s="26">
        <v>4.0</v>
      </c>
      <c r="M2333" s="26">
        <v>2.0</v>
      </c>
      <c r="N2333" s="26">
        <v>0.0</v>
      </c>
      <c r="O2333" s="26">
        <v>0.0</v>
      </c>
      <c r="P2333" s="30"/>
      <c r="Q2333" s="35">
        <v>193.0</v>
      </c>
      <c r="R2333" s="32">
        <v>45636.0</v>
      </c>
      <c r="S2333" s="32">
        <v>42146.0</v>
      </c>
      <c r="T2333" s="29"/>
      <c r="U2333" s="33"/>
      <c r="V2333" s="1"/>
    </row>
    <row r="2334" ht="24.0" customHeight="1">
      <c r="A2334" s="1"/>
      <c r="B2334" s="24" t="str">
        <f>HYPERLINK("https://www.compass.com/listing/100-west-81st-street-unit-1c-manhattan-ny-10024/29399506659357409/view?agent_id=610d3f3370540700019b0833","100 West 81st Street, Unit 1C")</f>
        <v>100 West 81st Street, Unit 1C</v>
      </c>
      <c r="C2334" s="25" t="s">
        <v>370</v>
      </c>
      <c r="D2334" s="26" t="s">
        <v>23</v>
      </c>
      <c r="E2334" s="27" t="str">
        <f>HYPERLINK("https://www.compass.com/building/100-w-81st-st-manhattan-ny-10024/281961363117516997/","100 W 81st St")</f>
        <v>100 W 81st St</v>
      </c>
      <c r="F2334" s="25" t="s">
        <v>29</v>
      </c>
      <c r="G2334" s="28">
        <v>1395000.0</v>
      </c>
      <c r="H2334" s="28">
        <v>930.0</v>
      </c>
      <c r="I2334" s="28">
        <v>2062.0</v>
      </c>
      <c r="J2334" s="29"/>
      <c r="K2334" s="25" t="s">
        <v>25</v>
      </c>
      <c r="L2334" s="26">
        <v>5.0</v>
      </c>
      <c r="M2334" s="26">
        <v>2.0</v>
      </c>
      <c r="N2334" s="26">
        <v>0.0</v>
      </c>
      <c r="O2334" s="26">
        <v>0.0</v>
      </c>
      <c r="P2334" s="34">
        <v>1500.0</v>
      </c>
      <c r="Q2334" s="35">
        <v>0.0</v>
      </c>
      <c r="R2334" s="32">
        <v>44581.0</v>
      </c>
      <c r="S2334" s="32">
        <v>41538.0</v>
      </c>
      <c r="T2334" s="29"/>
      <c r="U2334" s="33"/>
      <c r="V2334" s="1"/>
    </row>
    <row r="2335" ht="24.0" customHeight="1">
      <c r="A2335" s="1"/>
      <c r="B2335" s="24" t="str">
        <f>HYPERLINK("https://www.compass.com/listing/28-old-fulton-street-unit-3h-brooklyn-ny-11201/4852281193460145121/view?agent_id=610d3f3370540700019b0833","28 Old Fulton Street, Unit 3H")</f>
        <v>28 Old Fulton Street, Unit 3H</v>
      </c>
      <c r="C2335" s="25" t="s">
        <v>370</v>
      </c>
      <c r="D2335" s="26" t="s">
        <v>23</v>
      </c>
      <c r="E2335" s="27" t="str">
        <f>HYPERLINK("https://www.compass.com/building/28-old-fulton-st-brooklyn-ny-11201/282504473803308949/","28 Old Fulton St")</f>
        <v>28 Old Fulton St</v>
      </c>
      <c r="F2335" s="25" t="s">
        <v>52</v>
      </c>
      <c r="G2335" s="28">
        <v>1999000.0</v>
      </c>
      <c r="H2335" s="29"/>
      <c r="I2335" s="28">
        <v>2236.0</v>
      </c>
      <c r="J2335" s="29"/>
      <c r="K2335" s="25" t="s">
        <v>25</v>
      </c>
      <c r="L2335" s="26">
        <v>6.0</v>
      </c>
      <c r="M2335" s="26">
        <v>2.0</v>
      </c>
      <c r="N2335" s="26">
        <v>0.0</v>
      </c>
      <c r="O2335" s="26">
        <v>0.0</v>
      </c>
      <c r="P2335" s="30"/>
      <c r="Q2335" s="35">
        <v>153.0</v>
      </c>
      <c r="R2335" s="32">
        <v>45636.0</v>
      </c>
      <c r="S2335" s="32">
        <v>42837.0</v>
      </c>
      <c r="T2335" s="29"/>
      <c r="U2335" s="33"/>
      <c r="V2335" s="1"/>
    </row>
    <row r="2336" ht="24.0" customHeight="1">
      <c r="A2336" s="1"/>
      <c r="B2336" s="24" t="str">
        <f>HYPERLINK("https://www.compass.com/listing/36-west-84th-street-unit-6a-manhattan-ny-10024/1029864646483206361/view?agent_id=610d3f3370540700019b0833","36 West 84th Street, Unit 6A")</f>
        <v>36 West 84th Street, Unit 6A</v>
      </c>
      <c r="C2336" s="25" t="s">
        <v>364</v>
      </c>
      <c r="D2336" s="26" t="s">
        <v>23</v>
      </c>
      <c r="E2336" s="27" t="str">
        <f>HYPERLINK("https://www.compass.com/building/36-w-84th-st-manhattan-ny-10024/281966310248760581/","36 W 84th St")</f>
        <v>36 W 84th St</v>
      </c>
      <c r="F2336" s="25" t="s">
        <v>29</v>
      </c>
      <c r="G2336" s="28">
        <v>1250000.0</v>
      </c>
      <c r="H2336" s="29"/>
      <c r="I2336" s="28">
        <v>2015.0</v>
      </c>
      <c r="J2336" s="28">
        <v>0.0</v>
      </c>
      <c r="K2336" s="25" t="s">
        <v>25</v>
      </c>
      <c r="L2336" s="26">
        <v>4.0</v>
      </c>
      <c r="M2336" s="26">
        <v>2.0</v>
      </c>
      <c r="N2336" s="26">
        <v>1.0</v>
      </c>
      <c r="O2336" s="26">
        <v>0.0</v>
      </c>
      <c r="P2336" s="30"/>
      <c r="Q2336" s="35">
        <v>195.0</v>
      </c>
      <c r="R2336" s="32">
        <v>44872.0</v>
      </c>
      <c r="S2336" s="32">
        <v>44676.0</v>
      </c>
      <c r="T2336" s="29"/>
      <c r="U2336" s="33"/>
      <c r="V2336" s="1"/>
    </row>
    <row r="2337" ht="24.0" customHeight="1">
      <c r="A2337" s="1"/>
      <c r="B2337" s="24" t="str">
        <f>HYPERLINK("https://www.compass.com/listing/160-garfield-place-unit-3l-brooklyn-ny-11215/1090721574769328105/view?agent_id=610d3f3370540700019b0833","160 Garfield Place, Unit 3L")</f>
        <v>160 Garfield Place, Unit 3L</v>
      </c>
      <c r="C2337" s="25" t="s">
        <v>365</v>
      </c>
      <c r="D2337" s="26" t="s">
        <v>23</v>
      </c>
      <c r="E2337" s="27" t="str">
        <f>HYPERLINK("https://www.compass.com/building/160-garfield-pl-brooklyn-ny-11215/282501134634007333/","160 Garfield Pl")</f>
        <v>160 Garfield Pl</v>
      </c>
      <c r="F2337" s="25" t="s">
        <v>40</v>
      </c>
      <c r="G2337" s="28">
        <v>879000.0</v>
      </c>
      <c r="H2337" s="29"/>
      <c r="I2337" s="28">
        <v>800.0</v>
      </c>
      <c r="J2337" s="28">
        <v>0.0</v>
      </c>
      <c r="K2337" s="25" t="s">
        <v>25</v>
      </c>
      <c r="L2337" s="26">
        <v>6.0</v>
      </c>
      <c r="M2337" s="26">
        <v>2.0</v>
      </c>
      <c r="N2337" s="26">
        <v>1.0</v>
      </c>
      <c r="O2337" s="26">
        <v>0.0</v>
      </c>
      <c r="P2337" s="30"/>
      <c r="Q2337" s="35">
        <v>152.0</v>
      </c>
      <c r="R2337" s="32">
        <v>44910.0</v>
      </c>
      <c r="S2337" s="32">
        <v>44758.0</v>
      </c>
      <c r="T2337" s="29"/>
      <c r="U2337" s="33"/>
      <c r="V2337" s="1"/>
    </row>
    <row r="2338" ht="24.0" customHeight="1">
      <c r="A2338" s="1"/>
      <c r="B2338" s="24" t="str">
        <f>HYPERLINK("https://www.compass.com/listing/133-mercer-street-unit-3-manhattan-ny-10012/70911385713854321/view?agent_id=610d3f3370540700019b0833","133 Mercer Street, Unit 3")</f>
        <v>133 Mercer Street, Unit 3</v>
      </c>
      <c r="C2338" s="25" t="s">
        <v>370</v>
      </c>
      <c r="D2338" s="26" t="s">
        <v>23</v>
      </c>
      <c r="E2338" s="27" t="str">
        <f>HYPERLINK("https://www.compass.com/building/133-mercer-st-manhattan-ny-10012/281912887423821765/","133 Mercer St")</f>
        <v>133 Mercer St</v>
      </c>
      <c r="F2338" s="25" t="s">
        <v>53</v>
      </c>
      <c r="G2338" s="28">
        <v>1825000.0</v>
      </c>
      <c r="H2338" s="28">
        <v>1304.0</v>
      </c>
      <c r="I2338" s="28">
        <v>1750.0</v>
      </c>
      <c r="J2338" s="29"/>
      <c r="K2338" s="25" t="s">
        <v>25</v>
      </c>
      <c r="L2338" s="26">
        <v>4.0</v>
      </c>
      <c r="M2338" s="26">
        <v>2.0</v>
      </c>
      <c r="N2338" s="26">
        <v>0.0</v>
      </c>
      <c r="O2338" s="26">
        <v>0.0</v>
      </c>
      <c r="P2338" s="34">
        <v>1400.0</v>
      </c>
      <c r="Q2338" s="35">
        <v>0.0</v>
      </c>
      <c r="R2338" s="32">
        <v>44581.0</v>
      </c>
      <c r="S2338" s="32">
        <v>41538.0</v>
      </c>
      <c r="T2338" s="29"/>
      <c r="U2338" s="33"/>
      <c r="V2338" s="1"/>
    </row>
    <row r="2339" ht="24.0" customHeight="1">
      <c r="A2339" s="1"/>
      <c r="B2339" s="24" t="str">
        <f>HYPERLINK("https://www.compass.com/listing/14-prince-street-unit-4a-manhattan-ny-10012/919516986416715401/view?agent_id=610d3f3370540700019b0833","14 Prince Street, Unit 4A")</f>
        <v>14 Prince Street, Unit 4A</v>
      </c>
      <c r="C2339" s="25" t="s">
        <v>364</v>
      </c>
      <c r="D2339" s="26" t="s">
        <v>23</v>
      </c>
      <c r="E2339" s="27" t="str">
        <f>HYPERLINK("https://www.compass.com/building/14-prince-st-manhattan-ny-10012/281913001785715317/","14 Prince St")</f>
        <v>14 Prince St</v>
      </c>
      <c r="F2339" s="25" t="s">
        <v>101</v>
      </c>
      <c r="G2339" s="28">
        <v>1650000.0</v>
      </c>
      <c r="H2339" s="28">
        <v>1937.0</v>
      </c>
      <c r="I2339" s="28">
        <v>1454.0</v>
      </c>
      <c r="J2339" s="28">
        <v>6228.0</v>
      </c>
      <c r="K2339" s="25" t="s">
        <v>28</v>
      </c>
      <c r="L2339" s="26">
        <v>4.0</v>
      </c>
      <c r="M2339" s="26">
        <v>2.0</v>
      </c>
      <c r="N2339" s="26">
        <v>0.0</v>
      </c>
      <c r="O2339" s="26">
        <v>0.0</v>
      </c>
      <c r="P2339" s="26">
        <v>852.0</v>
      </c>
      <c r="Q2339" s="35">
        <v>162.0</v>
      </c>
      <c r="R2339" s="32">
        <v>45636.0</v>
      </c>
      <c r="S2339" s="32">
        <v>43039.0</v>
      </c>
      <c r="T2339" s="29"/>
      <c r="U2339" s="33"/>
      <c r="V2339" s="1"/>
    </row>
    <row r="2340" ht="24.0" customHeight="1">
      <c r="A2340" s="1"/>
      <c r="B2340" s="24" t="str">
        <f>HYPERLINK("https://www.compass.com/listing/1-west-67th-street-unit-2e-manhattan-ny-10023/13810583732242849/view?agent_id=610d3f3370540700019b0833","1 West 67th Street, Unit 2E")</f>
        <v>1 West 67th Street, Unit 2E</v>
      </c>
      <c r="C2340" s="25" t="s">
        <v>364</v>
      </c>
      <c r="D2340" s="26" t="s">
        <v>23</v>
      </c>
      <c r="E2340" s="27" t="str">
        <f>HYPERLINK("https://www.compass.com/building/hotel-des-artistes-manhattan-ny/282059006271323077/","Hotel des Artistes")</f>
        <v>Hotel des Artistes</v>
      </c>
      <c r="F2340" s="25" t="s">
        <v>29</v>
      </c>
      <c r="G2340" s="28">
        <v>2999000.0</v>
      </c>
      <c r="H2340" s="29"/>
      <c r="I2340" s="28">
        <v>3535.0</v>
      </c>
      <c r="J2340" s="29"/>
      <c r="K2340" s="25" t="s">
        <v>25</v>
      </c>
      <c r="L2340" s="26">
        <v>5.0</v>
      </c>
      <c r="M2340" s="26">
        <v>2.0</v>
      </c>
      <c r="N2340" s="26">
        <v>0.0</v>
      </c>
      <c r="O2340" s="26">
        <v>0.0</v>
      </c>
      <c r="P2340" s="30"/>
      <c r="Q2340" s="35">
        <v>458.0</v>
      </c>
      <c r="R2340" s="32">
        <v>45636.0</v>
      </c>
      <c r="S2340" s="32">
        <v>42478.0</v>
      </c>
      <c r="T2340" s="29"/>
      <c r="U2340" s="33"/>
      <c r="V2340" s="1"/>
    </row>
    <row r="2341" ht="24.0" customHeight="1">
      <c r="A2341" s="1"/>
      <c r="B2341" s="24" t="str">
        <f>HYPERLINK("https://www.compass.com/listing/534-hudson-street-unit-4a-manhattan-ny-10014/921074041011005217/view?agent_id=610d3f3370540700019b0833","534 Hudson Street, Unit 4A")</f>
        <v>534 Hudson Street, Unit 4A</v>
      </c>
      <c r="C2341" s="25" t="s">
        <v>364</v>
      </c>
      <c r="D2341" s="26" t="s">
        <v>23</v>
      </c>
      <c r="E2341" s="27" t="str">
        <f>HYPERLINK("https://www.compass.com/building/534-hudson-st-manhattan-ny-10014/281934508968690469/","534 Hudson St")</f>
        <v>534 Hudson St</v>
      </c>
      <c r="F2341" s="25" t="s">
        <v>26</v>
      </c>
      <c r="G2341" s="28">
        <v>4250000.0</v>
      </c>
      <c r="H2341" s="28">
        <v>2778.0</v>
      </c>
      <c r="I2341" s="28">
        <v>3456.0</v>
      </c>
      <c r="J2341" s="28">
        <v>22056.0</v>
      </c>
      <c r="K2341" s="25" t="s">
        <v>28</v>
      </c>
      <c r="L2341" s="26">
        <v>4.0</v>
      </c>
      <c r="M2341" s="26">
        <v>2.0</v>
      </c>
      <c r="N2341" s="26">
        <v>0.0</v>
      </c>
      <c r="O2341" s="26">
        <v>0.0</v>
      </c>
      <c r="P2341" s="34">
        <v>1530.0</v>
      </c>
      <c r="Q2341" s="35">
        <v>2043.0</v>
      </c>
      <c r="R2341" s="32">
        <v>45636.0</v>
      </c>
      <c r="S2341" s="32">
        <v>42537.0</v>
      </c>
      <c r="T2341" s="29"/>
      <c r="U2341" s="33"/>
      <c r="V2341" s="1"/>
    </row>
    <row r="2342" ht="24.0" customHeight="1">
      <c r="A2342" s="1"/>
      <c r="B2342" s="24" t="str">
        <f>HYPERLINK("https://www.compass.com/listing/14-prince-street-unit-5c-manhattan-ny-10012/1327993070774631937/view?agent_id=610d3f3370540700019b0833","14 Prince Street, Unit 5C")</f>
        <v>14 Prince Street, Unit 5C</v>
      </c>
      <c r="C2342" s="25" t="s">
        <v>364</v>
      </c>
      <c r="D2342" s="26" t="s">
        <v>23</v>
      </c>
      <c r="E2342" s="27" t="str">
        <f>HYPERLINK("https://www.compass.com/building/14-prince-st-manhattan-ny-10012/281913001785715317/","14 Prince St")</f>
        <v>14 Prince St</v>
      </c>
      <c r="F2342" s="25" t="s">
        <v>101</v>
      </c>
      <c r="G2342" s="28">
        <v>1895000.0</v>
      </c>
      <c r="H2342" s="29"/>
      <c r="I2342" s="28">
        <v>1945.0</v>
      </c>
      <c r="J2342" s="28">
        <v>8556.0</v>
      </c>
      <c r="K2342" s="25" t="s">
        <v>28</v>
      </c>
      <c r="L2342" s="26">
        <v>4.0</v>
      </c>
      <c r="M2342" s="26">
        <v>2.0</v>
      </c>
      <c r="N2342" s="26">
        <v>1.0</v>
      </c>
      <c r="O2342" s="30"/>
      <c r="P2342" s="30"/>
      <c r="Q2342" s="35">
        <v>118.0</v>
      </c>
      <c r="R2342" s="32">
        <v>45202.0</v>
      </c>
      <c r="S2342" s="32">
        <v>45084.0</v>
      </c>
      <c r="T2342" s="29"/>
      <c r="U2342" s="33"/>
      <c r="V2342" s="1"/>
    </row>
    <row r="2343" ht="24.0" customHeight="1">
      <c r="A2343" s="1"/>
      <c r="B2343" s="24" t="str">
        <f>HYPERLINK("https://www.compass.com/listing/347-east-5th-street-unit-6a-manhattan-ny-10003/29510297538610305/view?agent_id=610d3f3370540700019b0833","347 East 5th Street, Unit 6A")</f>
        <v>347 East 5th Street, Unit 6A</v>
      </c>
      <c r="C2343" s="25" t="s">
        <v>364</v>
      </c>
      <c r="D2343" s="26" t="s">
        <v>23</v>
      </c>
      <c r="E2343" s="27" t="str">
        <f>HYPERLINK("https://www.compass.com/building/83-first-avenue-manhattan-ny/282058563243770853/","83 First Avenue")</f>
        <v>83 First Avenue</v>
      </c>
      <c r="F2343" s="25" t="s">
        <v>24</v>
      </c>
      <c r="G2343" s="28">
        <v>487500.0</v>
      </c>
      <c r="H2343" s="29"/>
      <c r="I2343" s="28">
        <v>1115.0</v>
      </c>
      <c r="J2343" s="29"/>
      <c r="K2343" s="25" t="s">
        <v>25</v>
      </c>
      <c r="L2343" s="26">
        <v>4.0</v>
      </c>
      <c r="M2343" s="26">
        <v>2.0</v>
      </c>
      <c r="N2343" s="26">
        <v>0.0</v>
      </c>
      <c r="O2343" s="26">
        <v>0.0</v>
      </c>
      <c r="P2343" s="30"/>
      <c r="Q2343" s="35">
        <v>75.0</v>
      </c>
      <c r="R2343" s="32">
        <v>44581.0</v>
      </c>
      <c r="S2343" s="32">
        <v>42958.0</v>
      </c>
      <c r="T2343" s="29"/>
      <c r="U2343" s="33"/>
      <c r="V2343" s="1"/>
    </row>
    <row r="2344" ht="24.0" customHeight="1">
      <c r="A2344" s="1"/>
      <c r="B2344" s="24" t="str">
        <f>HYPERLINK("https://www.compass.com/listing/321-west-78th-street-unit-1e-manhattan-ny-10024/920815729086954633/view?agent_id=610d3f3370540700019b0833","321 West 78th Street, Unit 1E")</f>
        <v>321 West 78th Street, Unit 1E</v>
      </c>
      <c r="C2344" s="25" t="s">
        <v>364</v>
      </c>
      <c r="D2344" s="26" t="s">
        <v>23</v>
      </c>
      <c r="E2344" s="27" t="str">
        <f>HYPERLINK("https://www.compass.com/building/321-w-78th-st-manhattan-ny-10024/281965414110542549/","321 W 78th St")</f>
        <v>321 W 78th St</v>
      </c>
      <c r="F2344" s="25" t="s">
        <v>29</v>
      </c>
      <c r="G2344" s="28">
        <v>1195000.0</v>
      </c>
      <c r="H2344" s="29"/>
      <c r="I2344" s="28">
        <v>2298.0</v>
      </c>
      <c r="J2344" s="29"/>
      <c r="K2344" s="25" t="s">
        <v>25</v>
      </c>
      <c r="L2344" s="26">
        <v>5.0</v>
      </c>
      <c r="M2344" s="26">
        <v>2.0</v>
      </c>
      <c r="N2344" s="26">
        <v>0.0</v>
      </c>
      <c r="O2344" s="26">
        <v>0.0</v>
      </c>
      <c r="P2344" s="30"/>
      <c r="Q2344" s="35">
        <v>57.0</v>
      </c>
      <c r="R2344" s="32">
        <v>45636.0</v>
      </c>
      <c r="S2344" s="32">
        <v>43222.0</v>
      </c>
      <c r="T2344" s="29"/>
      <c r="U2344" s="33"/>
      <c r="V2344" s="1"/>
    </row>
    <row r="2345" ht="24.0" customHeight="1">
      <c r="A2345" s="1"/>
      <c r="B2345" s="24" t="str">
        <f>HYPERLINK("https://www.compass.com/listing/236-east-6th-street-unit-1e-manhattan-ny-10003/29645992601145057/view?agent_id=610d3f3370540700019b0833","236 East 6th Street, Unit 1E")</f>
        <v>236 East 6th Street, Unit 1E</v>
      </c>
      <c r="C2345" s="25" t="s">
        <v>364</v>
      </c>
      <c r="D2345" s="26" t="s">
        <v>23</v>
      </c>
      <c r="E2345" s="27" t="str">
        <f>HYPERLINK("https://www.compass.com/building/236-e-6th-st-manhattan-ny-10003/281891503125566101/","236 E 6th St")</f>
        <v>236 E 6th St</v>
      </c>
      <c r="F2345" s="25" t="s">
        <v>24</v>
      </c>
      <c r="G2345" s="28">
        <v>2200000.0</v>
      </c>
      <c r="H2345" s="28">
        <v>1544.0</v>
      </c>
      <c r="I2345" s="28">
        <v>1187.0</v>
      </c>
      <c r="J2345" s="28">
        <v>3144.0</v>
      </c>
      <c r="K2345" s="25" t="s">
        <v>28</v>
      </c>
      <c r="L2345" s="26">
        <v>7.0</v>
      </c>
      <c r="M2345" s="26">
        <v>2.0</v>
      </c>
      <c r="N2345" s="26">
        <v>1.0</v>
      </c>
      <c r="O2345" s="26">
        <v>0.0</v>
      </c>
      <c r="P2345" s="34">
        <v>1425.0</v>
      </c>
      <c r="Q2345" s="35">
        <v>286.0</v>
      </c>
      <c r="R2345" s="32">
        <v>45636.0</v>
      </c>
      <c r="S2345" s="32">
        <v>43262.0</v>
      </c>
      <c r="T2345" s="29"/>
      <c r="U2345" s="33"/>
      <c r="V2345" s="1"/>
    </row>
    <row r="2346" ht="24.0" customHeight="1">
      <c r="A2346" s="1"/>
      <c r="B2346" s="24" t="str">
        <f>HYPERLINK("https://www.compass.com/listing/302-west-79th-street-unit-4e-manhattan-ny-10024/30303526794101921/view?agent_id=610d3f3370540700019b0833","302 West 79th Street, Unit 4E")</f>
        <v>302 West 79th Street, Unit 4E</v>
      </c>
      <c r="C2346" s="25" t="s">
        <v>364</v>
      </c>
      <c r="D2346" s="26" t="s">
        <v>23</v>
      </c>
      <c r="E2346" s="27" t="str">
        <f>HYPERLINK("https://www.compass.com/building/the-orienta-manhattan-ny/281924863428434277/","The Orienta")</f>
        <v>The Orienta</v>
      </c>
      <c r="F2346" s="25" t="s">
        <v>29</v>
      </c>
      <c r="G2346" s="28">
        <v>1195000.0</v>
      </c>
      <c r="H2346" s="29"/>
      <c r="I2346" s="28">
        <v>1714.0</v>
      </c>
      <c r="J2346" s="29"/>
      <c r="K2346" s="25" t="s">
        <v>25</v>
      </c>
      <c r="L2346" s="26">
        <v>5.0</v>
      </c>
      <c r="M2346" s="26">
        <v>2.0</v>
      </c>
      <c r="N2346" s="26">
        <v>1.0</v>
      </c>
      <c r="O2346" s="26">
        <v>0.0</v>
      </c>
      <c r="P2346" s="30"/>
      <c r="Q2346" s="35">
        <v>0.0</v>
      </c>
      <c r="R2346" s="32">
        <v>45636.0</v>
      </c>
      <c r="S2346" s="32">
        <v>43293.0</v>
      </c>
      <c r="T2346" s="29"/>
      <c r="U2346" s="33"/>
      <c r="V2346" s="1"/>
    </row>
    <row r="2347" ht="24.0" customHeight="1">
      <c r="A2347" s="1"/>
      <c r="B2347" s="24" t="str">
        <f>HYPERLINK("https://www.compass.com/listing/45-east-22nd-street-unit-31b-manhattan-ny-10010/459374390021478809/view?agent_id=610d3f3370540700019b0833","45 East 22nd Street, Unit 31B")</f>
        <v>45 East 22nd Street, Unit 31B</v>
      </c>
      <c r="C2347" s="25" t="s">
        <v>365</v>
      </c>
      <c r="D2347" s="26" t="s">
        <v>23</v>
      </c>
      <c r="E2347" s="27" t="str">
        <f>HYPERLINK("https://www.compass.com/building/madison-square-park-tower-manhattan-ny/281903584482705973/","Madison Square Park Tower")</f>
        <v>Madison Square Park Tower</v>
      </c>
      <c r="F2347" s="25" t="s">
        <v>115</v>
      </c>
      <c r="G2347" s="28">
        <v>5350000.0</v>
      </c>
      <c r="H2347" s="28">
        <v>3545.0</v>
      </c>
      <c r="I2347" s="28">
        <v>4423.0</v>
      </c>
      <c r="J2347" s="28">
        <v>32016.0</v>
      </c>
      <c r="K2347" s="25" t="s">
        <v>28</v>
      </c>
      <c r="L2347" s="26">
        <v>2.0</v>
      </c>
      <c r="M2347" s="26">
        <v>2.0</v>
      </c>
      <c r="N2347" s="30"/>
      <c r="O2347" s="30"/>
      <c r="P2347" s="34">
        <v>1509.0</v>
      </c>
      <c r="Q2347" s="31"/>
      <c r="R2347" s="32">
        <v>43885.0</v>
      </c>
      <c r="S2347" s="33"/>
      <c r="T2347" s="29"/>
      <c r="U2347" s="33"/>
      <c r="V2347" s="1"/>
    </row>
    <row r="2348" ht="24.0" customHeight="1">
      <c r="A2348" s="1"/>
      <c r="B2348" s="24" t="str">
        <f>HYPERLINK("https://www.compass.com/listing/114-clinton-street-unit-5b-brooklyn-ny-11201/543296565514024241/view?agent_id=610d3f3370540700019b0833","114 Clinton Street, Unit 5B")</f>
        <v>114 Clinton Street, Unit 5B</v>
      </c>
      <c r="C2348" s="25" t="s">
        <v>364</v>
      </c>
      <c r="D2348" s="26" t="s">
        <v>23</v>
      </c>
      <c r="E2348" s="27" t="str">
        <f>HYPERLINK("https://www.compass.com/building/114-clinton-st-brooklyn-ny-11201/282504194227783941/","114 Clinton St")</f>
        <v>114 Clinton St</v>
      </c>
      <c r="F2348" s="25" t="s">
        <v>52</v>
      </c>
      <c r="G2348" s="28">
        <v>1175000.0</v>
      </c>
      <c r="H2348" s="28">
        <v>1093.0</v>
      </c>
      <c r="I2348" s="28">
        <v>1480.0</v>
      </c>
      <c r="J2348" s="29"/>
      <c r="K2348" s="25" t="s">
        <v>25</v>
      </c>
      <c r="L2348" s="26">
        <v>4.0</v>
      </c>
      <c r="M2348" s="26">
        <v>2.0</v>
      </c>
      <c r="N2348" s="26">
        <v>1.0</v>
      </c>
      <c r="O2348" s="26">
        <v>0.0</v>
      </c>
      <c r="P2348" s="34">
        <v>1075.0</v>
      </c>
      <c r="Q2348" s="35">
        <v>203.0</v>
      </c>
      <c r="R2348" s="32">
        <v>45636.0</v>
      </c>
      <c r="S2348" s="32">
        <v>43985.0</v>
      </c>
      <c r="T2348" s="29"/>
      <c r="U2348" s="33"/>
      <c r="V2348" s="1"/>
    </row>
    <row r="2349" ht="24.0" customHeight="1">
      <c r="A2349" s="1"/>
      <c r="B2349" s="24" t="str">
        <f>HYPERLINK("https://www.compass.com/listing/311-east-11th-street-unit-6d-manhattan-ny-10003/1078146032688293769/view?agent_id=610d3f3370540700019b0833","311 East 11th Street, Unit 6D")</f>
        <v>311 East 11th Street, Unit 6D</v>
      </c>
      <c r="C2349" s="25" t="s">
        <v>364</v>
      </c>
      <c r="D2349" s="26" t="s">
        <v>23</v>
      </c>
      <c r="E2349" s="27" t="str">
        <f>HYPERLINK("https://www.compass.com/building/the-village-green-manhattan-ny/281892209547025333/","The Village Green")</f>
        <v>The Village Green</v>
      </c>
      <c r="F2349" s="25" t="s">
        <v>24</v>
      </c>
      <c r="G2349" s="28">
        <v>1699000.0</v>
      </c>
      <c r="H2349" s="28">
        <v>1896.0</v>
      </c>
      <c r="I2349" s="28">
        <v>2790.0</v>
      </c>
      <c r="J2349" s="28">
        <v>15936.0</v>
      </c>
      <c r="K2349" s="25" t="s">
        <v>28</v>
      </c>
      <c r="L2349" s="26">
        <v>3.0</v>
      </c>
      <c r="M2349" s="26">
        <v>2.0</v>
      </c>
      <c r="N2349" s="26">
        <v>1.0</v>
      </c>
      <c r="O2349" s="30"/>
      <c r="P2349" s="26">
        <v>896.0</v>
      </c>
      <c r="Q2349" s="35">
        <v>38.0</v>
      </c>
      <c r="R2349" s="32">
        <v>44778.0</v>
      </c>
      <c r="S2349" s="32">
        <v>44739.0</v>
      </c>
      <c r="T2349" s="29"/>
      <c r="U2349" s="33"/>
      <c r="V2349" s="1"/>
    </row>
    <row r="2350" ht="24.0" customHeight="1">
      <c r="A2350" s="1"/>
      <c r="B2350" s="24" t="str">
        <f>HYPERLINK("https://www.compass.com/listing/210-clinton-avenue-unit-11a-brooklyn-ny-11205/1800828222730961441/view?agent_id=610d3f3370540700019b0833","210 Clinton Avenue, Unit 11A")</f>
        <v>210 Clinton Avenue, Unit 11A</v>
      </c>
      <c r="C2350" s="25" t="s">
        <v>365</v>
      </c>
      <c r="D2350" s="26" t="s">
        <v>23</v>
      </c>
      <c r="E2350" s="27" t="str">
        <f>HYPERLINK("https://www.compass.com/building/clinton-hill-coops-north-campus-brooklyn-ny/282504402349145973/","Clinton Hill Coops - North Campus")</f>
        <v>Clinton Hill Coops - North Campus</v>
      </c>
      <c r="F2350" s="25" t="s">
        <v>30</v>
      </c>
      <c r="G2350" s="28">
        <v>895000.0</v>
      </c>
      <c r="H2350" s="28">
        <v>1119.0</v>
      </c>
      <c r="I2350" s="28">
        <v>1125.0</v>
      </c>
      <c r="J2350" s="28">
        <v>0.0</v>
      </c>
      <c r="K2350" s="25" t="s">
        <v>25</v>
      </c>
      <c r="L2350" s="26">
        <v>4.0</v>
      </c>
      <c r="M2350" s="26">
        <v>2.0</v>
      </c>
      <c r="N2350" s="26">
        <v>1.0</v>
      </c>
      <c r="O2350" s="30"/>
      <c r="P2350" s="26">
        <v>800.0</v>
      </c>
      <c r="Q2350" s="35">
        <v>33.0</v>
      </c>
      <c r="R2350" s="32">
        <v>45791.0</v>
      </c>
      <c r="S2350" s="32">
        <v>45757.0</v>
      </c>
      <c r="T2350" s="29"/>
      <c r="U2350" s="33"/>
      <c r="V2350" s="1"/>
    </row>
    <row r="2351" ht="24.0" customHeight="1">
      <c r="A2351" s="1"/>
      <c r="B2351" s="24" t="str">
        <f>HYPERLINK("https://www.compass.com/listing/52-east-4th-street-unit-12-manhattan-ny-10003/70923727210124833/view?agent_id=610d3f3370540700019b0833","52 East 4th Street, Unit 12")</f>
        <v>52 East 4th Street, Unit 12</v>
      </c>
      <c r="C2351" s="25" t="s">
        <v>370</v>
      </c>
      <c r="D2351" s="26" t="s">
        <v>23</v>
      </c>
      <c r="E2351" s="27" t="str">
        <f>HYPERLINK("https://www.compass.com/building/52-e-4th-st-manhattan-ny-10003/281893924404992885/","52 E 4th St")</f>
        <v>52 E 4th St</v>
      </c>
      <c r="F2351" s="25" t="s">
        <v>24</v>
      </c>
      <c r="G2351" s="28">
        <v>3500000.0</v>
      </c>
      <c r="H2351" s="28">
        <v>2575.0</v>
      </c>
      <c r="I2351" s="28">
        <v>2245.0</v>
      </c>
      <c r="J2351" s="28">
        <v>6696.0</v>
      </c>
      <c r="K2351" s="25" t="s">
        <v>28</v>
      </c>
      <c r="L2351" s="26">
        <v>4.0</v>
      </c>
      <c r="M2351" s="26">
        <v>2.0</v>
      </c>
      <c r="N2351" s="26">
        <v>0.0</v>
      </c>
      <c r="O2351" s="26">
        <v>0.0</v>
      </c>
      <c r="P2351" s="34">
        <v>1359.0</v>
      </c>
      <c r="Q2351" s="35">
        <v>20.0</v>
      </c>
      <c r="R2351" s="32">
        <v>44581.0</v>
      </c>
      <c r="S2351" s="32">
        <v>41605.0</v>
      </c>
      <c r="T2351" s="29"/>
      <c r="U2351" s="33"/>
      <c r="V2351" s="1"/>
    </row>
    <row r="2352" ht="24.0" customHeight="1">
      <c r="A2352" s="1"/>
      <c r="B2352" s="24" t="str">
        <f>HYPERLINK("https://www.compass.com/listing/262-mott-street-unit-310-324-manhattan-ny-10012/466739025187986337/view?agent_id=610d3f3370540700019b0833","262 Mott Street, Unit 310/324")</f>
        <v>262 Mott Street, Unit 310/324</v>
      </c>
      <c r="C2352" s="25" t="s">
        <v>370</v>
      </c>
      <c r="D2352" s="26" t="s">
        <v>23</v>
      </c>
      <c r="E2352" s="27" t="str">
        <f>HYPERLINK("https://www.compass.com/building/262-mott-st-manhattan-ny-10012/281914623077150581/","262 Mott St")</f>
        <v>262 Mott St</v>
      </c>
      <c r="F2352" s="25" t="s">
        <v>101</v>
      </c>
      <c r="G2352" s="28">
        <v>3000000.0</v>
      </c>
      <c r="H2352" s="28">
        <v>1579.0</v>
      </c>
      <c r="I2352" s="28">
        <v>2458.0</v>
      </c>
      <c r="J2352" s="28">
        <v>20268.0</v>
      </c>
      <c r="K2352" s="25" t="s">
        <v>28</v>
      </c>
      <c r="L2352" s="26">
        <v>4.0</v>
      </c>
      <c r="M2352" s="26">
        <v>2.0</v>
      </c>
      <c r="N2352" s="26">
        <v>1.0</v>
      </c>
      <c r="O2352" s="26">
        <v>0.0</v>
      </c>
      <c r="P2352" s="34">
        <v>1900.0</v>
      </c>
      <c r="Q2352" s="35">
        <v>131.0</v>
      </c>
      <c r="R2352" s="32">
        <v>44270.0</v>
      </c>
      <c r="S2352" s="32">
        <v>44011.0</v>
      </c>
      <c r="T2352" s="29"/>
      <c r="U2352" s="33"/>
      <c r="V2352" s="1"/>
    </row>
    <row r="2353" ht="24.0" customHeight="1">
      <c r="A2353" s="1"/>
      <c r="B2353" s="24" t="str">
        <f>HYPERLINK("https://www.compass.com/listing/490-2nd-street-unit-3-brooklyn-ny-11215/1049915041382652545/view?agent_id=610d3f3370540700019b0833","490 2nd Street, Unit 3")</f>
        <v>490 2nd Street, Unit 3</v>
      </c>
      <c r="C2353" s="25" t="s">
        <v>365</v>
      </c>
      <c r="D2353" s="26" t="s">
        <v>23</v>
      </c>
      <c r="E2353" s="27" t="str">
        <f>HYPERLINK("https://www.compass.com/building/490-2nd-st-brooklyn-ny-11215/282500098640916037/","490 2nd St")</f>
        <v>490 2nd St</v>
      </c>
      <c r="F2353" s="25" t="s">
        <v>40</v>
      </c>
      <c r="G2353" s="28">
        <v>1250000.0</v>
      </c>
      <c r="H2353" s="29"/>
      <c r="I2353" s="28">
        <v>706.0</v>
      </c>
      <c r="J2353" s="28">
        <v>0.0</v>
      </c>
      <c r="K2353" s="25" t="s">
        <v>25</v>
      </c>
      <c r="L2353" s="26">
        <v>3.0</v>
      </c>
      <c r="M2353" s="26">
        <v>2.0</v>
      </c>
      <c r="N2353" s="26">
        <v>1.0</v>
      </c>
      <c r="O2353" s="26">
        <v>0.0</v>
      </c>
      <c r="P2353" s="30"/>
      <c r="Q2353" s="35">
        <v>26.0</v>
      </c>
      <c r="R2353" s="32">
        <v>44726.0</v>
      </c>
      <c r="S2353" s="32">
        <v>44700.0</v>
      </c>
      <c r="T2353" s="29"/>
      <c r="U2353" s="33"/>
      <c r="V2353" s="1"/>
    </row>
    <row r="2354" ht="24.0" customHeight="1">
      <c r="A2354" s="1"/>
      <c r="B2354" s="24" t="str">
        <f>HYPERLINK("https://www.compass.com/listing/230-central-park-west-unit-16-bc-manhattan-ny-10024/1838888215621175681/view?agent_id=610d3f3370540700019b0833","230 Central Park West, Unit 16/BC")</f>
        <v>230 Central Park West, Unit 16/BC</v>
      </c>
      <c r="C2354" s="25" t="s">
        <v>364</v>
      </c>
      <c r="D2354" s="26" t="s">
        <v>23</v>
      </c>
      <c r="E2354" s="27" t="str">
        <f t="shared" ref="E2354:E2355" si="47">HYPERLINK("https://www.compass.com/building/the-bolivar-manhattan-ny/281964218071201045/","The Bolivar")</f>
        <v>The Bolivar</v>
      </c>
      <c r="F2354" s="25" t="s">
        <v>29</v>
      </c>
      <c r="G2354" s="28">
        <v>2900000.0</v>
      </c>
      <c r="H2354" s="29"/>
      <c r="I2354" s="28">
        <v>3068.0</v>
      </c>
      <c r="J2354" s="29"/>
      <c r="K2354" s="25" t="s">
        <v>25</v>
      </c>
      <c r="L2354" s="26">
        <v>4.0</v>
      </c>
      <c r="M2354" s="26">
        <v>2.0</v>
      </c>
      <c r="N2354" s="26">
        <v>0.0</v>
      </c>
      <c r="O2354" s="26">
        <v>0.0</v>
      </c>
      <c r="P2354" s="30"/>
      <c r="Q2354" s="35">
        <v>175.0</v>
      </c>
      <c r="R2354" s="32">
        <v>45636.0</v>
      </c>
      <c r="S2354" s="32">
        <v>41757.0</v>
      </c>
      <c r="T2354" s="29"/>
      <c r="U2354" s="33"/>
      <c r="V2354" s="1"/>
    </row>
    <row r="2355" ht="24.0" customHeight="1">
      <c r="A2355" s="1"/>
      <c r="B2355" s="24" t="str">
        <f>HYPERLINK("https://www.compass.com/listing/230-central-park-west-unit-16b-manhattan-ny-10024/1838962544585678865/view?agent_id=610d3f3370540700019b0833","230 Central Park West, Unit 16B")</f>
        <v>230 Central Park West, Unit 16B</v>
      </c>
      <c r="C2355" s="25" t="s">
        <v>364</v>
      </c>
      <c r="D2355" s="26" t="s">
        <v>23</v>
      </c>
      <c r="E2355" s="27" t="str">
        <f t="shared" si="47"/>
        <v>The Bolivar</v>
      </c>
      <c r="F2355" s="25" t="s">
        <v>29</v>
      </c>
      <c r="G2355" s="28">
        <v>2799000.0</v>
      </c>
      <c r="H2355" s="29"/>
      <c r="I2355" s="28">
        <v>3068.0</v>
      </c>
      <c r="J2355" s="29"/>
      <c r="K2355" s="25" t="s">
        <v>110</v>
      </c>
      <c r="L2355" s="26">
        <v>4.0</v>
      </c>
      <c r="M2355" s="26">
        <v>2.0</v>
      </c>
      <c r="N2355" s="26">
        <v>0.0</v>
      </c>
      <c r="O2355" s="26">
        <v>0.0</v>
      </c>
      <c r="P2355" s="30"/>
      <c r="Q2355" s="35">
        <v>208.0</v>
      </c>
      <c r="R2355" s="32">
        <v>45636.0</v>
      </c>
      <c r="S2355" s="32">
        <v>41934.0</v>
      </c>
      <c r="T2355" s="29"/>
      <c r="U2355" s="33"/>
      <c r="V2355" s="1"/>
    </row>
    <row r="2356" ht="24.0" customHeight="1">
      <c r="A2356" s="1"/>
      <c r="B2356" s="24" t="str">
        <f>HYPERLINK("https://www.compass.com/listing/333-tompkins-avenue-brooklyn-ny-11216/920689253826345177/view?agent_id=610d3f3370540700019b0833","333 Tompkins Avenue")</f>
        <v>333 Tompkins Avenue</v>
      </c>
      <c r="C2356" s="25" t="s">
        <v>364</v>
      </c>
      <c r="D2356" s="26" t="s">
        <v>23</v>
      </c>
      <c r="E2356" s="27" t="str">
        <f>HYPERLINK("https://www.compass.com/building/333-tompkins-ave-brooklyn-ny-11216/293530627142077541/","333 Tompkins Ave")</f>
        <v>333 Tompkins Ave</v>
      </c>
      <c r="F2356" s="25" t="s">
        <v>51</v>
      </c>
      <c r="G2356" s="28">
        <v>749000.0</v>
      </c>
      <c r="H2356" s="28">
        <v>457.0</v>
      </c>
      <c r="I2356" s="28">
        <v>0.0</v>
      </c>
      <c r="J2356" s="29"/>
      <c r="K2356" s="25" t="s">
        <v>374</v>
      </c>
      <c r="L2356" s="26">
        <v>8.0</v>
      </c>
      <c r="M2356" s="26">
        <v>2.0</v>
      </c>
      <c r="N2356" s="26">
        <v>0.0</v>
      </c>
      <c r="O2356" s="26">
        <v>0.0</v>
      </c>
      <c r="P2356" s="34">
        <v>1640.0</v>
      </c>
      <c r="Q2356" s="35">
        <v>59.0</v>
      </c>
      <c r="R2356" s="32">
        <v>45636.0</v>
      </c>
      <c r="S2356" s="32">
        <v>42061.0</v>
      </c>
      <c r="T2356" s="29"/>
      <c r="U2356" s="33"/>
      <c r="V2356" s="1"/>
    </row>
    <row r="2357" ht="24.0" customHeight="1">
      <c r="A2357" s="1"/>
      <c r="B2357" s="24" t="str">
        <f>HYPERLINK("https://www.compass.com/listing/134-west-82nd-street-unit-3b2-manhattan-ny-10024/1299504925938507409/view?agent_id=610d3f3370540700019b0833","134 West 82nd Street, Unit 3B2")</f>
        <v>134 West 82nd Street, Unit 3B2</v>
      </c>
      <c r="C2357" s="25" t="s">
        <v>370</v>
      </c>
      <c r="D2357" s="26" t="s">
        <v>23</v>
      </c>
      <c r="E2357" s="27" t="str">
        <f>HYPERLINK("https://www.compass.com/building/134-w-82nd-st-manhattan-ny-10024/281924611031997109/","134 W 82nd St")</f>
        <v>134 W 82nd St</v>
      </c>
      <c r="F2357" s="25" t="s">
        <v>29</v>
      </c>
      <c r="G2357" s="28">
        <v>599000.0</v>
      </c>
      <c r="H2357" s="29"/>
      <c r="I2357" s="28">
        <v>1322.0</v>
      </c>
      <c r="J2357" s="29"/>
      <c r="K2357" s="25" t="s">
        <v>25</v>
      </c>
      <c r="L2357" s="26">
        <v>3.0</v>
      </c>
      <c r="M2357" s="26">
        <v>2.0</v>
      </c>
      <c r="N2357" s="26">
        <v>1.0</v>
      </c>
      <c r="O2357" s="30"/>
      <c r="P2357" s="30"/>
      <c r="Q2357" s="35">
        <v>121.0</v>
      </c>
      <c r="R2357" s="32">
        <v>44707.0</v>
      </c>
      <c r="S2357" s="32">
        <v>44586.0</v>
      </c>
      <c r="T2357" s="29"/>
      <c r="U2357" s="33"/>
      <c r="V2357" s="1"/>
    </row>
    <row r="2358" ht="24.0" customHeight="1">
      <c r="A2358" s="1"/>
      <c r="B2358" s="24" t="str">
        <f>HYPERLINK("https://www.compass.com/listing/15-union-square-west-unit-6d-manhattan-ny-10003/1809626751840031833/view?agent_id=610d3f3370540700019b0833","15 Union Square West, Unit 6D")</f>
        <v>15 Union Square West, Unit 6D</v>
      </c>
      <c r="C2358" s="25" t="s">
        <v>364</v>
      </c>
      <c r="D2358" s="26" t="s">
        <v>23</v>
      </c>
      <c r="E2358" s="27" t="str">
        <f>HYPERLINK("https://www.compass.com/building/15-union-square-west-manhattan-ny/281889842835491205/","15 Union Square West")</f>
        <v>15 Union Square West</v>
      </c>
      <c r="F2358" s="25" t="s">
        <v>115</v>
      </c>
      <c r="G2358" s="28">
        <v>6000000.0</v>
      </c>
      <c r="H2358" s="28">
        <v>2629.0</v>
      </c>
      <c r="I2358" s="28">
        <v>7245.0</v>
      </c>
      <c r="J2358" s="28">
        <v>38700.0</v>
      </c>
      <c r="K2358" s="25" t="s">
        <v>28</v>
      </c>
      <c r="L2358" s="26">
        <v>4.0</v>
      </c>
      <c r="M2358" s="26">
        <v>2.0</v>
      </c>
      <c r="N2358" s="26">
        <v>0.0</v>
      </c>
      <c r="O2358" s="26">
        <v>1.0</v>
      </c>
      <c r="P2358" s="34">
        <v>2282.0</v>
      </c>
      <c r="Q2358" s="31"/>
      <c r="R2358" s="32">
        <v>44581.0</v>
      </c>
      <c r="S2358" s="33"/>
      <c r="T2358" s="29"/>
      <c r="U2358" s="33"/>
      <c r="V2358" s="1"/>
    </row>
    <row r="2359" ht="24.0" customHeight="1">
      <c r="A2359" s="1"/>
      <c r="B2359" s="24" t="str">
        <f>HYPERLINK("https://www.compass.com/listing/128-willow-street-unit-5f-brooklyn-ny-11201/1838933563261885729/view?agent_id=610d3f3370540700019b0833","128 Willow Street, Unit 5F")</f>
        <v>128 Willow Street, Unit 5F</v>
      </c>
      <c r="C2359" s="25" t="s">
        <v>364</v>
      </c>
      <c r="D2359" s="26" t="s">
        <v>23</v>
      </c>
      <c r="E2359" s="27" t="str">
        <f>HYPERLINK("https://www.compass.com/building/128-willow-st-brooklyn-ny-11201/282503836738865141/","128 Willow St")</f>
        <v>128 Willow St</v>
      </c>
      <c r="F2359" s="25" t="s">
        <v>52</v>
      </c>
      <c r="G2359" s="28">
        <v>1250000.0</v>
      </c>
      <c r="H2359" s="29"/>
      <c r="I2359" s="28">
        <v>1754.0</v>
      </c>
      <c r="J2359" s="29"/>
      <c r="K2359" s="25" t="s">
        <v>25</v>
      </c>
      <c r="L2359" s="26">
        <v>4.0</v>
      </c>
      <c r="M2359" s="26">
        <v>2.0</v>
      </c>
      <c r="N2359" s="26">
        <v>1.0</v>
      </c>
      <c r="O2359" s="26">
        <v>0.0</v>
      </c>
      <c r="P2359" s="30"/>
      <c r="Q2359" s="35">
        <v>165.0</v>
      </c>
      <c r="R2359" s="32">
        <v>45636.0</v>
      </c>
      <c r="S2359" s="32">
        <v>44019.0</v>
      </c>
      <c r="T2359" s="29"/>
      <c r="U2359" s="33"/>
      <c r="V2359" s="1"/>
    </row>
    <row r="2360" ht="24.0" customHeight="1">
      <c r="A2360" s="1"/>
      <c r="B2360" s="24" t="str">
        <f>HYPERLINK("https://www.compass.com/listing/207-east-21st-street-unit-2b-manhattan-ny-10010/85273278192558785/view?agent_id=610d3f3370540700019b0833","207 East 21st Street, Unit 2B")</f>
        <v>207 East 21st Street, Unit 2B</v>
      </c>
      <c r="C2360" s="25" t="s">
        <v>370</v>
      </c>
      <c r="D2360" s="26" t="s">
        <v>23</v>
      </c>
      <c r="E2360" s="27" t="str">
        <f>HYPERLINK("https://www.compass.com/building/207-e-21st-st-manhattan-ny-10010/281902086705137061/","207 E 21st St")</f>
        <v>207 E 21st St</v>
      </c>
      <c r="F2360" s="25" t="s">
        <v>48</v>
      </c>
      <c r="G2360" s="28">
        <v>525000.0</v>
      </c>
      <c r="H2360" s="28">
        <v>875.0</v>
      </c>
      <c r="I2360" s="28">
        <v>1379.0</v>
      </c>
      <c r="J2360" s="29"/>
      <c r="K2360" s="25" t="s">
        <v>25</v>
      </c>
      <c r="L2360" s="26">
        <v>5.0</v>
      </c>
      <c r="M2360" s="26">
        <v>2.0</v>
      </c>
      <c r="N2360" s="26">
        <v>1.0</v>
      </c>
      <c r="O2360" s="26">
        <v>0.0</v>
      </c>
      <c r="P2360" s="26">
        <v>600.0</v>
      </c>
      <c r="Q2360" s="35">
        <v>48.0</v>
      </c>
      <c r="R2360" s="32">
        <v>45636.0</v>
      </c>
      <c r="S2360" s="32">
        <v>43369.0</v>
      </c>
      <c r="T2360" s="29"/>
      <c r="U2360" s="33"/>
      <c r="V2360" s="1"/>
    </row>
    <row r="2361" ht="24.0" customHeight="1">
      <c r="A2361" s="1"/>
      <c r="B2361" s="24" t="str">
        <f>HYPERLINK("https://www.compass.com/listing/245-henry-street-unit-1c-brooklyn-ny-11201/543514496935934233/view?agent_id=610d3f3370540700019b0833","245 Henry Street, Unit 1C")</f>
        <v>245 Henry Street, Unit 1C</v>
      </c>
      <c r="C2361" s="25" t="s">
        <v>365</v>
      </c>
      <c r="D2361" s="26" t="s">
        <v>23</v>
      </c>
      <c r="E2361" s="27" t="str">
        <f>HYPERLINK("https://www.compass.com/building/245-henry-st-brooklyn-ny-11201/282504259969304885/","245 Henry St")</f>
        <v>245 Henry St</v>
      </c>
      <c r="F2361" s="25" t="s">
        <v>52</v>
      </c>
      <c r="G2361" s="28">
        <v>949000.0</v>
      </c>
      <c r="H2361" s="29"/>
      <c r="I2361" s="28">
        <v>1157.0</v>
      </c>
      <c r="J2361" s="28">
        <v>0.0</v>
      </c>
      <c r="K2361" s="25" t="s">
        <v>25</v>
      </c>
      <c r="L2361" s="26">
        <v>4.0</v>
      </c>
      <c r="M2361" s="26">
        <v>2.0</v>
      </c>
      <c r="N2361" s="26">
        <v>1.0</v>
      </c>
      <c r="O2361" s="30"/>
      <c r="P2361" s="30"/>
      <c r="Q2361" s="35">
        <v>138.0</v>
      </c>
      <c r="R2361" s="32">
        <v>44405.0</v>
      </c>
      <c r="S2361" s="32">
        <v>44266.0</v>
      </c>
      <c r="T2361" s="29"/>
      <c r="U2361" s="33"/>
      <c r="V2361" s="1"/>
    </row>
    <row r="2362" ht="24.0" customHeight="1">
      <c r="A2362" s="1"/>
      <c r="B2362" s="24" t="str">
        <f>HYPERLINK("https://www.compass.com/listing/150-joralemon-street-unit-9c-brooklyn-ny-11201/665318728027026577/view?agent_id=610d3f3370540700019b0833","150 Joralemon Street, Unit 9C")</f>
        <v>150 Joralemon Street, Unit 9C</v>
      </c>
      <c r="C2362" s="25" t="s">
        <v>364</v>
      </c>
      <c r="D2362" s="26" t="s">
        <v>23</v>
      </c>
      <c r="E2362" s="27" t="str">
        <f>HYPERLINK("https://www.compass.com/building/150-joralemon-st-brooklyn-ny-11201/293400418732563797/","150 Joralemon St")</f>
        <v>150 Joralemon St</v>
      </c>
      <c r="F2362" s="25" t="s">
        <v>52</v>
      </c>
      <c r="G2362" s="28">
        <v>799000.0</v>
      </c>
      <c r="H2362" s="29"/>
      <c r="I2362" s="28">
        <v>1343.0</v>
      </c>
      <c r="J2362" s="29"/>
      <c r="K2362" s="25" t="s">
        <v>25</v>
      </c>
      <c r="L2362" s="26">
        <v>4.0</v>
      </c>
      <c r="M2362" s="26">
        <v>2.0</v>
      </c>
      <c r="N2362" s="26">
        <v>1.0</v>
      </c>
      <c r="O2362" s="26">
        <v>0.0</v>
      </c>
      <c r="P2362" s="30"/>
      <c r="Q2362" s="35">
        <v>48.0</v>
      </c>
      <c r="R2362" s="32">
        <v>45636.0</v>
      </c>
      <c r="S2362" s="32">
        <v>42466.0</v>
      </c>
      <c r="T2362" s="29"/>
      <c r="U2362" s="33"/>
      <c r="V2362" s="1"/>
    </row>
    <row r="2363" ht="24.0" customHeight="1">
      <c r="A2363" s="1"/>
      <c r="B2363" s="24" t="str">
        <f>HYPERLINK("https://www.compass.com/listing/111-hicks-street-unit-4l-brooklyn-ny-11201/848974573750932769/view?agent_id=610d3f3370540700019b0833","111 Hicks Street, Unit 4L")</f>
        <v>111 Hicks Street, Unit 4L</v>
      </c>
      <c r="C2363" s="25" t="s">
        <v>364</v>
      </c>
      <c r="D2363" s="26" t="s">
        <v>23</v>
      </c>
      <c r="E2363" s="27" t="str">
        <f>HYPERLINK("https://www.compass.com/building/111-hicks-st-brooklyn-ny-11201/293400287694118149/","111 Hicks St")</f>
        <v>111 Hicks St</v>
      </c>
      <c r="F2363" s="25" t="s">
        <v>52</v>
      </c>
      <c r="G2363" s="28">
        <v>1200000.0</v>
      </c>
      <c r="H2363" s="28">
        <v>817.0</v>
      </c>
      <c r="I2363" s="28">
        <v>2348.0</v>
      </c>
      <c r="J2363" s="29"/>
      <c r="K2363" s="25" t="s">
        <v>25</v>
      </c>
      <c r="L2363" s="26">
        <v>4.0</v>
      </c>
      <c r="M2363" s="26">
        <v>2.0</v>
      </c>
      <c r="N2363" s="26">
        <v>1.0</v>
      </c>
      <c r="O2363" s="26">
        <v>0.0</v>
      </c>
      <c r="P2363" s="34">
        <v>1468.0</v>
      </c>
      <c r="Q2363" s="35">
        <v>196.0</v>
      </c>
      <c r="R2363" s="32">
        <v>45636.0</v>
      </c>
      <c r="S2363" s="32">
        <v>42893.0</v>
      </c>
      <c r="T2363" s="29"/>
      <c r="U2363" s="33"/>
      <c r="V2363" s="1"/>
    </row>
    <row r="2364" ht="24.0" customHeight="1">
      <c r="A2364" s="1"/>
      <c r="B2364" s="24" t="str">
        <f>HYPERLINK("https://www.compass.com/listing/72-mercer-street-unit-3east-manhattan-ny-10012/4803854865891590881/view?agent_id=610d3f3370540700019b0833","72 Mercer Street, Unit 3EAST")</f>
        <v>72 Mercer Street, Unit 3EAST</v>
      </c>
      <c r="C2364" s="25" t="s">
        <v>370</v>
      </c>
      <c r="D2364" s="26" t="s">
        <v>23</v>
      </c>
      <c r="E2364" s="27" t="str">
        <f>HYPERLINK("https://www.compass.com/building/72-mercer-st-manhattan-ny-10012/281915944559738405/","72 Mercer St")</f>
        <v>72 Mercer St</v>
      </c>
      <c r="F2364" s="25" t="s">
        <v>53</v>
      </c>
      <c r="G2364" s="28">
        <v>4450000.0</v>
      </c>
      <c r="H2364" s="28">
        <v>2077.0</v>
      </c>
      <c r="I2364" s="28">
        <v>3885.0</v>
      </c>
      <c r="J2364" s="28">
        <v>20232.0</v>
      </c>
      <c r="K2364" s="25" t="s">
        <v>28</v>
      </c>
      <c r="L2364" s="26">
        <v>4.0</v>
      </c>
      <c r="M2364" s="26">
        <v>2.0</v>
      </c>
      <c r="N2364" s="26">
        <v>0.0</v>
      </c>
      <c r="O2364" s="26">
        <v>0.0</v>
      </c>
      <c r="P2364" s="34">
        <v>2142.0</v>
      </c>
      <c r="Q2364" s="35">
        <v>45.0</v>
      </c>
      <c r="R2364" s="32">
        <v>45636.0</v>
      </c>
      <c r="S2364" s="32">
        <v>41898.0</v>
      </c>
      <c r="T2364" s="29"/>
      <c r="U2364" s="33"/>
      <c r="V2364" s="1"/>
    </row>
    <row r="2365" ht="24.0" customHeight="1">
      <c r="A2365" s="1"/>
      <c r="B2365" s="24" t="str">
        <f>HYPERLINK("https://www.compass.com/listing/40-prospect-park-west-unit-2h-brooklyn-ny-11215/39667882677864049/view?agent_id=610d3f3370540700019b0833","40 Prospect Park West, Unit 2H")</f>
        <v>40 Prospect Park West, Unit 2H</v>
      </c>
      <c r="C2365" s="25" t="s">
        <v>364</v>
      </c>
      <c r="D2365" s="26" t="s">
        <v>23</v>
      </c>
      <c r="E2365" s="27" t="str">
        <f>HYPERLINK("https://www.compass.com/building/40-prospect-park-west-brooklyn-ny-11215/282504566438709733/","40 Prospect Park West")</f>
        <v>40 Prospect Park West</v>
      </c>
      <c r="F2365" s="25" t="s">
        <v>40</v>
      </c>
      <c r="G2365" s="28">
        <v>1075000.0</v>
      </c>
      <c r="H2365" s="29"/>
      <c r="I2365" s="28">
        <v>1207.0</v>
      </c>
      <c r="J2365" s="28">
        <v>0.0</v>
      </c>
      <c r="K2365" s="25" t="s">
        <v>25</v>
      </c>
      <c r="L2365" s="26">
        <v>5.0</v>
      </c>
      <c r="M2365" s="26">
        <v>2.0</v>
      </c>
      <c r="N2365" s="30"/>
      <c r="O2365" s="30"/>
      <c r="P2365" s="30"/>
      <c r="Q2365" s="35">
        <v>74.0</v>
      </c>
      <c r="R2365" s="32">
        <v>43380.0</v>
      </c>
      <c r="S2365" s="32">
        <v>43306.0</v>
      </c>
      <c r="T2365" s="29"/>
      <c r="U2365" s="33"/>
      <c r="V2365" s="1"/>
    </row>
    <row r="2366" ht="24.0" customHeight="1">
      <c r="A2366" s="1"/>
      <c r="B2366" s="24" t="str">
        <f>HYPERLINK("https://www.compass.com/listing/245-west-107th-street-unit-5e-manhattan-ny-10025/4852316235276233377/view?agent_id=610d3f3370540700019b0833","245 West 107th Street, Unit 5E")</f>
        <v>245 West 107th Street, Unit 5E</v>
      </c>
      <c r="C2366" s="25" t="s">
        <v>364</v>
      </c>
      <c r="D2366" s="26" t="s">
        <v>23</v>
      </c>
      <c r="E2366" s="27" t="str">
        <f>HYPERLINK("https://www.compass.com/building/245-w-107th-st-manhattan-ny-10025/281970405357473845/","245 W 107th St")</f>
        <v>245 W 107th St</v>
      </c>
      <c r="F2366" s="25" t="s">
        <v>29</v>
      </c>
      <c r="G2366" s="28">
        <v>999000.0</v>
      </c>
      <c r="H2366" s="29"/>
      <c r="I2366" s="28">
        <v>1599.0</v>
      </c>
      <c r="J2366" s="29"/>
      <c r="K2366" s="25" t="s">
        <v>25</v>
      </c>
      <c r="L2366" s="26">
        <v>4.0</v>
      </c>
      <c r="M2366" s="26">
        <v>2.0</v>
      </c>
      <c r="N2366" s="26">
        <v>0.0</v>
      </c>
      <c r="O2366" s="26">
        <v>0.0</v>
      </c>
      <c r="P2366" s="30"/>
      <c r="Q2366" s="35">
        <v>2.0</v>
      </c>
      <c r="R2366" s="32">
        <v>44581.0</v>
      </c>
      <c r="S2366" s="32">
        <v>41849.0</v>
      </c>
      <c r="T2366" s="29"/>
      <c r="U2366" s="33"/>
      <c r="V2366" s="1"/>
    </row>
    <row r="2367" ht="24.0" customHeight="1">
      <c r="A2367" s="1"/>
      <c r="B2367" s="24" t="str">
        <f>HYPERLINK("https://www.compass.com/listing/235-west-102nd-street-unit-6n-manhattan-ny-10025/4852311241412061681/view?agent_id=610d3f3370540700019b0833","235 West 102nd Street, Unit 6N")</f>
        <v>235 West 102nd Street, Unit 6N</v>
      </c>
      <c r="C2367" s="25" t="s">
        <v>364</v>
      </c>
      <c r="D2367" s="26" t="s">
        <v>23</v>
      </c>
      <c r="E2367" s="27" t="str">
        <f>HYPERLINK("https://www.compass.com/building/the-broadmoor-manhattan-ny/292877841798884117/","The Broadmoor")</f>
        <v>The Broadmoor</v>
      </c>
      <c r="F2367" s="25" t="s">
        <v>29</v>
      </c>
      <c r="G2367" s="28">
        <v>919000.0</v>
      </c>
      <c r="H2367" s="29"/>
      <c r="I2367" s="28">
        <v>1434.0</v>
      </c>
      <c r="J2367" s="29"/>
      <c r="K2367" s="25" t="s">
        <v>25</v>
      </c>
      <c r="L2367" s="26">
        <v>4.0</v>
      </c>
      <c r="M2367" s="26">
        <v>2.0</v>
      </c>
      <c r="N2367" s="26">
        <v>0.0</v>
      </c>
      <c r="O2367" s="26">
        <v>0.0</v>
      </c>
      <c r="P2367" s="30"/>
      <c r="Q2367" s="35">
        <v>33.0</v>
      </c>
      <c r="R2367" s="32">
        <v>45636.0</v>
      </c>
      <c r="S2367" s="32">
        <v>41298.0</v>
      </c>
      <c r="T2367" s="29"/>
      <c r="U2367" s="33"/>
      <c r="V2367" s="1"/>
    </row>
    <row r="2368" ht="24.0" customHeight="1">
      <c r="A2368" s="1"/>
      <c r="B2368" s="24" t="str">
        <f>HYPERLINK("https://www.compass.com/listing/72-mercer-street-unit-3east-manhattan-ny-10012/923058525248091233/view?agent_id=610d3f3370540700019b0833","72 Mercer Street, Unit 3EAST")</f>
        <v>72 Mercer Street, Unit 3EAST</v>
      </c>
      <c r="C2368" s="25" t="s">
        <v>370</v>
      </c>
      <c r="D2368" s="26" t="s">
        <v>23</v>
      </c>
      <c r="E2368" s="27" t="str">
        <f>HYPERLINK("https://www.compass.com/building/72-mercer-st-manhattan-ny-10012/281915944559738405/","72 Mercer St")</f>
        <v>72 Mercer St</v>
      </c>
      <c r="F2368" s="25" t="s">
        <v>53</v>
      </c>
      <c r="G2368" s="28">
        <v>4495000.0</v>
      </c>
      <c r="H2368" s="28">
        <v>2099.0</v>
      </c>
      <c r="I2368" s="28">
        <v>3885.0</v>
      </c>
      <c r="J2368" s="28">
        <v>20232.0</v>
      </c>
      <c r="K2368" s="25" t="s">
        <v>28</v>
      </c>
      <c r="L2368" s="26">
        <v>4.0</v>
      </c>
      <c r="M2368" s="26">
        <v>2.0</v>
      </c>
      <c r="N2368" s="26">
        <v>0.0</v>
      </c>
      <c r="O2368" s="26">
        <v>0.0</v>
      </c>
      <c r="P2368" s="34">
        <v>2142.0</v>
      </c>
      <c r="Q2368" s="35">
        <v>85.0</v>
      </c>
      <c r="R2368" s="32">
        <v>45636.0</v>
      </c>
      <c r="S2368" s="32">
        <v>41749.0</v>
      </c>
      <c r="T2368" s="29"/>
      <c r="U2368" s="33"/>
      <c r="V2368" s="1"/>
    </row>
    <row r="2369" ht="24.0" customHeight="1">
      <c r="A2369" s="1"/>
      <c r="B2369" s="24" t="str">
        <f>HYPERLINK("https://www.compass.com/listing/753a-union-street-unit-4-brooklyn-ny-11215/1484281618920975561/view?agent_id=610d3f3370540700019b0833","753A Union Street, Unit 4")</f>
        <v>753A Union Street, Unit 4</v>
      </c>
      <c r="C2369" s="25" t="s">
        <v>370</v>
      </c>
      <c r="D2369" s="26" t="s">
        <v>23</v>
      </c>
      <c r="E2369" s="27" t="str">
        <f>HYPERLINK("https://www.compass.com/building/753a-union-st-brooklyn-ny-11215/837050516286799893/","753a Union St")</f>
        <v>753a Union St</v>
      </c>
      <c r="F2369" s="25" t="s">
        <v>40</v>
      </c>
      <c r="G2369" s="28">
        <v>799000.0</v>
      </c>
      <c r="H2369" s="29"/>
      <c r="I2369" s="28">
        <v>705.0</v>
      </c>
      <c r="J2369" s="29"/>
      <c r="K2369" s="25" t="s">
        <v>25</v>
      </c>
      <c r="L2369" s="26">
        <v>4.0</v>
      </c>
      <c r="M2369" s="26">
        <v>2.0</v>
      </c>
      <c r="N2369" s="26">
        <v>1.0</v>
      </c>
      <c r="O2369" s="30"/>
      <c r="P2369" s="30"/>
      <c r="Q2369" s="35">
        <v>49.0</v>
      </c>
      <c r="R2369" s="32">
        <v>45539.0</v>
      </c>
      <c r="S2369" s="32">
        <v>44082.0</v>
      </c>
      <c r="T2369" s="29"/>
      <c r="U2369" s="33"/>
      <c r="V2369" s="1"/>
    </row>
    <row r="2370" ht="24.0" customHeight="1">
      <c r="A2370" s="1"/>
      <c r="B2370" s="24" t="str">
        <f>HYPERLINK("https://www.compass.com/listing/115-central-park-west-unit-8h-manhattan-ny-10023/1838922777071827993/view?agent_id=610d3f3370540700019b0833","115 Central Park West, Unit 8H")</f>
        <v>115 Central Park West, Unit 8H</v>
      </c>
      <c r="C2370" s="25" t="s">
        <v>364</v>
      </c>
      <c r="D2370" s="26" t="s">
        <v>23</v>
      </c>
      <c r="E2370" s="27" t="str">
        <f>HYPERLINK("https://www.compass.com/building/the-majestic-manhattan-ny/281956456897516277/","The Majestic")</f>
        <v>The Majestic</v>
      </c>
      <c r="F2370" s="25" t="s">
        <v>29</v>
      </c>
      <c r="G2370" s="28">
        <v>4150000.0</v>
      </c>
      <c r="H2370" s="29"/>
      <c r="I2370" s="28">
        <v>4397.0</v>
      </c>
      <c r="J2370" s="29"/>
      <c r="K2370" s="25" t="s">
        <v>25</v>
      </c>
      <c r="L2370" s="26">
        <v>6.0</v>
      </c>
      <c r="M2370" s="26">
        <v>2.0</v>
      </c>
      <c r="N2370" s="26">
        <v>0.0</v>
      </c>
      <c r="O2370" s="26">
        <v>0.0</v>
      </c>
      <c r="P2370" s="30"/>
      <c r="Q2370" s="35">
        <v>162.0</v>
      </c>
      <c r="R2370" s="32">
        <v>44581.0</v>
      </c>
      <c r="S2370" s="32">
        <v>42990.0</v>
      </c>
      <c r="T2370" s="29"/>
      <c r="U2370" s="33"/>
      <c r="V2370" s="1"/>
    </row>
    <row r="2371" ht="24.0" customHeight="1">
      <c r="A2371" s="1"/>
      <c r="B2371" s="24" t="str">
        <f>HYPERLINK("https://www.compass.com/listing/125-east-4th-street-unit-5-manhattan-ny-10003/70911206826800897/view?agent_id=610d3f3370540700019b0833","125 East 4th Street, Unit 5")</f>
        <v>125 East 4th Street, Unit 5</v>
      </c>
      <c r="C2371" s="25" t="s">
        <v>370</v>
      </c>
      <c r="D2371" s="26" t="s">
        <v>23</v>
      </c>
      <c r="E2371" s="27" t="str">
        <f>HYPERLINK("https://www.compass.com/building/125-e-4th-st-manhattan-ny-10003/281889312516083525/","125 E 4th St")</f>
        <v>125 E 4th St</v>
      </c>
      <c r="F2371" s="25" t="s">
        <v>24</v>
      </c>
      <c r="G2371" s="28">
        <v>539000.0</v>
      </c>
      <c r="H2371" s="28">
        <v>898.0</v>
      </c>
      <c r="I2371" s="28">
        <v>803.0</v>
      </c>
      <c r="J2371" s="29"/>
      <c r="K2371" s="25" t="s">
        <v>49</v>
      </c>
      <c r="L2371" s="26">
        <v>4.0</v>
      </c>
      <c r="M2371" s="26">
        <v>2.0</v>
      </c>
      <c r="N2371" s="26">
        <v>0.0</v>
      </c>
      <c r="O2371" s="26">
        <v>0.0</v>
      </c>
      <c r="P2371" s="26">
        <v>600.0</v>
      </c>
      <c r="Q2371" s="35">
        <v>0.0</v>
      </c>
      <c r="R2371" s="32">
        <v>44581.0</v>
      </c>
      <c r="S2371" s="32">
        <v>41538.0</v>
      </c>
      <c r="T2371" s="29"/>
      <c r="U2371" s="33"/>
      <c r="V2371" s="1"/>
    </row>
    <row r="2372" ht="24.0" customHeight="1">
      <c r="A2372" s="1"/>
      <c r="B2372" s="24" t="str">
        <f>HYPERLINK("https://www.compass.com/listing/304-west-89th-street-unit-8a-manhattan-ny-10024/576814541479192337/view?agent_id=610d3f3370540700019b0833","304 West 89th Street, Unit 8A")</f>
        <v>304 West 89th Street, Unit 8A</v>
      </c>
      <c r="C2372" s="25" t="s">
        <v>365</v>
      </c>
      <c r="D2372" s="26" t="s">
        <v>23</v>
      </c>
      <c r="E2372" s="27" t="str">
        <f>HYPERLINK("https://www.compass.com/building/304-w-89th-st-manhattan-ny-10024/281964855815126645/","304 W 89th St")</f>
        <v>304 W 89th St</v>
      </c>
      <c r="F2372" s="25" t="s">
        <v>29</v>
      </c>
      <c r="G2372" s="28">
        <v>1100000.0</v>
      </c>
      <c r="H2372" s="29"/>
      <c r="I2372" s="28">
        <v>1995.0</v>
      </c>
      <c r="J2372" s="28">
        <v>0.0</v>
      </c>
      <c r="K2372" s="25" t="s">
        <v>25</v>
      </c>
      <c r="L2372" s="26">
        <v>4.0</v>
      </c>
      <c r="M2372" s="26">
        <v>2.0</v>
      </c>
      <c r="N2372" s="26">
        <v>1.0</v>
      </c>
      <c r="O2372" s="30"/>
      <c r="P2372" s="30"/>
      <c r="Q2372" s="35">
        <v>184.0</v>
      </c>
      <c r="R2372" s="32">
        <v>44251.0</v>
      </c>
      <c r="S2372" s="32">
        <v>44049.0</v>
      </c>
      <c r="T2372" s="29"/>
      <c r="U2372" s="33"/>
      <c r="V2372" s="1"/>
    </row>
    <row r="2373" ht="24.0" customHeight="1">
      <c r="A2373" s="1"/>
      <c r="B2373" s="24" t="str">
        <f>HYPERLINK("https://www.compass.com/listing/101-west-87th-street-unit-415-manhattan-ny-10024/1838969367887497265/view?agent_id=610d3f3370540700019b0833","101 West 87th Street, Unit 415")</f>
        <v>101 West 87th Street, Unit 415</v>
      </c>
      <c r="C2373" s="25" t="s">
        <v>364</v>
      </c>
      <c r="D2373" s="26" t="s">
        <v>23</v>
      </c>
      <c r="E2373" s="27" t="str">
        <f>HYPERLINK("https://www.compass.com/building/101-west-87-manhattan-ny/281961498786473797/","101 West 87")</f>
        <v>101 West 87</v>
      </c>
      <c r="F2373" s="25" t="s">
        <v>29</v>
      </c>
      <c r="G2373" s="28">
        <v>2400000.0</v>
      </c>
      <c r="H2373" s="28">
        <v>1859.0</v>
      </c>
      <c r="I2373" s="28">
        <v>2549.0</v>
      </c>
      <c r="J2373" s="28">
        <v>13644.0</v>
      </c>
      <c r="K2373" s="25" t="s">
        <v>28</v>
      </c>
      <c r="L2373" s="26">
        <v>4.0</v>
      </c>
      <c r="M2373" s="26">
        <v>2.0</v>
      </c>
      <c r="N2373" s="26">
        <v>0.0</v>
      </c>
      <c r="O2373" s="26">
        <v>0.0</v>
      </c>
      <c r="P2373" s="34">
        <v>1291.0</v>
      </c>
      <c r="Q2373" s="35">
        <v>130.0</v>
      </c>
      <c r="R2373" s="32">
        <v>45636.0</v>
      </c>
      <c r="S2373" s="32">
        <v>42740.0</v>
      </c>
      <c r="T2373" s="29"/>
      <c r="U2373" s="33"/>
      <c r="V2373" s="1"/>
    </row>
    <row r="2374" ht="24.0" customHeight="1">
      <c r="A2374" s="1"/>
      <c r="B2374" s="24" t="str">
        <f>HYPERLINK("https://www.compass.com/listing/304-west-89th-street-unit-1a-manhattan-ny-10024/885450566849166641/view?agent_id=610d3f3370540700019b0833","304 West 89th Street, Unit 1A")</f>
        <v>304 West 89th Street, Unit 1A</v>
      </c>
      <c r="C2374" s="25" t="s">
        <v>364</v>
      </c>
      <c r="D2374" s="26" t="s">
        <v>23</v>
      </c>
      <c r="E2374" s="27" t="str">
        <f>HYPERLINK("https://www.compass.com/building/304-w-89th-st-manhattan-ny-10024/281964855815126645/","304 W 89th St")</f>
        <v>304 W 89th St</v>
      </c>
      <c r="F2374" s="25" t="s">
        <v>29</v>
      </c>
      <c r="G2374" s="28">
        <v>1050000.0</v>
      </c>
      <c r="H2374" s="29"/>
      <c r="I2374" s="28">
        <v>1773.0</v>
      </c>
      <c r="J2374" s="29"/>
      <c r="K2374" s="25" t="s">
        <v>25</v>
      </c>
      <c r="L2374" s="26">
        <v>4.0</v>
      </c>
      <c r="M2374" s="26">
        <v>2.0</v>
      </c>
      <c r="N2374" s="26">
        <v>1.0</v>
      </c>
      <c r="O2374" s="26">
        <v>0.0</v>
      </c>
      <c r="P2374" s="30"/>
      <c r="Q2374" s="35">
        <v>29.0</v>
      </c>
      <c r="R2374" s="32">
        <v>45636.0</v>
      </c>
      <c r="S2374" s="32">
        <v>44473.0</v>
      </c>
      <c r="T2374" s="29"/>
      <c r="U2374" s="33"/>
      <c r="V2374" s="1"/>
    </row>
    <row r="2375" ht="24.0" customHeight="1">
      <c r="A2375" s="1"/>
      <c r="B2375" s="24" t="str">
        <f>HYPERLINK("https://www.compass.com/listing/62-east-1st-street-unit-duplex1-manhattan-ny-10003/4852329801500863281/view?agent_id=610d3f3370540700019b0833","62 East 1st Street, Unit DUPLEX1")</f>
        <v>62 East 1st Street, Unit DUPLEX1</v>
      </c>
      <c r="C2375" s="25" t="s">
        <v>364</v>
      </c>
      <c r="D2375" s="26" t="s">
        <v>23</v>
      </c>
      <c r="E2375" s="27" t="str">
        <f>HYPERLINK("https://www.compass.com/building/62-e-1st-st-manhattan-ny-10003/281894307579831605/","62 E 1st St")</f>
        <v>62 E 1st St</v>
      </c>
      <c r="F2375" s="25" t="s">
        <v>24</v>
      </c>
      <c r="G2375" s="28">
        <v>2845000.0</v>
      </c>
      <c r="H2375" s="28">
        <v>1616.0</v>
      </c>
      <c r="I2375" s="28">
        <v>2123.0</v>
      </c>
      <c r="J2375" s="28">
        <v>3240.0</v>
      </c>
      <c r="K2375" s="25" t="s">
        <v>28</v>
      </c>
      <c r="L2375" s="26">
        <v>6.0</v>
      </c>
      <c r="M2375" s="26">
        <v>2.0</v>
      </c>
      <c r="N2375" s="26">
        <v>0.0</v>
      </c>
      <c r="O2375" s="26">
        <v>0.0</v>
      </c>
      <c r="P2375" s="34">
        <v>1760.0</v>
      </c>
      <c r="Q2375" s="35">
        <v>139.0</v>
      </c>
      <c r="R2375" s="32">
        <v>45636.0</v>
      </c>
      <c r="S2375" s="32">
        <v>41507.0</v>
      </c>
      <c r="T2375" s="29"/>
      <c r="U2375" s="33"/>
      <c r="V2375" s="1"/>
    </row>
    <row r="2376" ht="24.0" customHeight="1">
      <c r="A2376" s="1"/>
      <c r="B2376" s="24" t="str">
        <f>HYPERLINK("https://www.compass.com/listing/305-2nd-avenue-unit-534-manhattan-ny-10003/543402044441247449/view?agent_id=610d3f3370540700019b0833","305 2nd Avenue, Unit 534")</f>
        <v>305 2nd Avenue, Unit 534</v>
      </c>
      <c r="C2376" s="25" t="s">
        <v>365</v>
      </c>
      <c r="D2376" s="26" t="s">
        <v>23</v>
      </c>
      <c r="E2376" s="27" t="str">
        <f>HYPERLINK("https://www.compass.com/building/rutherford-place-manhattan-ny/281892043922346725/","Rutherford Place")</f>
        <v>Rutherford Place</v>
      </c>
      <c r="F2376" s="25" t="s">
        <v>48</v>
      </c>
      <c r="G2376" s="28">
        <v>1595000.0</v>
      </c>
      <c r="H2376" s="28">
        <v>1489.0</v>
      </c>
      <c r="I2376" s="28">
        <v>1712.0</v>
      </c>
      <c r="J2376" s="28">
        <v>13560.0</v>
      </c>
      <c r="K2376" s="25" t="s">
        <v>28</v>
      </c>
      <c r="L2376" s="26">
        <v>4.0</v>
      </c>
      <c r="M2376" s="26">
        <v>2.0</v>
      </c>
      <c r="N2376" s="26">
        <v>1.0</v>
      </c>
      <c r="O2376" s="30"/>
      <c r="P2376" s="34">
        <v>1071.0</v>
      </c>
      <c r="Q2376" s="31"/>
      <c r="R2376" s="32">
        <v>44056.0</v>
      </c>
      <c r="S2376" s="33"/>
      <c r="T2376" s="29"/>
      <c r="U2376" s="33"/>
      <c r="V2376" s="1"/>
    </row>
    <row r="2377" ht="24.0" customHeight="1">
      <c r="A2377" s="1"/>
      <c r="B2377" s="24" t="str">
        <f>HYPERLINK("https://www.compass.com/listing/90-8th-avenue-unit-6c-brooklyn-ny-11215/1084823275022090409/view?agent_id=610d3f3370540700019b0833","90 8th Avenue, Unit 6C")</f>
        <v>90 8th Avenue, Unit 6C</v>
      </c>
      <c r="C2377" s="25" t="s">
        <v>364</v>
      </c>
      <c r="D2377" s="26" t="s">
        <v>23</v>
      </c>
      <c r="E2377" s="27" t="str">
        <f>HYPERLINK("https://www.compass.com/building/90-8th-ave-brooklyn-ny-11215/282503761090395557/","90 8th Ave")</f>
        <v>90 8th Ave</v>
      </c>
      <c r="F2377" s="25" t="s">
        <v>40</v>
      </c>
      <c r="G2377" s="28">
        <v>950000.0</v>
      </c>
      <c r="H2377" s="29"/>
      <c r="I2377" s="28">
        <v>1700.0</v>
      </c>
      <c r="J2377" s="28">
        <v>0.0</v>
      </c>
      <c r="K2377" s="25" t="s">
        <v>25</v>
      </c>
      <c r="L2377" s="26">
        <v>4.0</v>
      </c>
      <c r="M2377" s="26">
        <v>2.0</v>
      </c>
      <c r="N2377" s="26">
        <v>1.0</v>
      </c>
      <c r="O2377" s="26">
        <v>0.0</v>
      </c>
      <c r="P2377" s="30"/>
      <c r="Q2377" s="35">
        <v>112.0</v>
      </c>
      <c r="R2377" s="32">
        <v>44867.0</v>
      </c>
      <c r="S2377" s="32">
        <v>44754.0</v>
      </c>
      <c r="T2377" s="29"/>
      <c r="U2377" s="33"/>
      <c r="V2377" s="1"/>
    </row>
    <row r="2378" ht="24.0" customHeight="1">
      <c r="A2378" s="1"/>
      <c r="B2378" s="24" t="str">
        <f>HYPERLINK("https://www.compass.com/listing/5-west-101st-street-unit-7c-manhattan-ny-10025/4852305677743307009/view?agent_id=610d3f3370540700019b0833","5 West 101st Street, Unit 7C")</f>
        <v>5 West 101st Street, Unit 7C</v>
      </c>
      <c r="C2378" s="25" t="s">
        <v>370</v>
      </c>
      <c r="D2378" s="26" t="s">
        <v>23</v>
      </c>
      <c r="E2378" s="27" t="str">
        <f>HYPERLINK("https://www.compass.com/building/5-w-101st-st-manhattan-ny-10025/281972125902919589/","5 W 101st St")</f>
        <v>5 W 101st St</v>
      </c>
      <c r="F2378" s="25" t="s">
        <v>29</v>
      </c>
      <c r="G2378" s="28">
        <v>405150.0</v>
      </c>
      <c r="H2378" s="28">
        <v>730.0</v>
      </c>
      <c r="I2378" s="28">
        <v>645.0</v>
      </c>
      <c r="J2378" s="28">
        <v>2076.0</v>
      </c>
      <c r="K2378" s="25" t="s">
        <v>28</v>
      </c>
      <c r="L2378" s="26">
        <v>4.0</v>
      </c>
      <c r="M2378" s="26">
        <v>2.0</v>
      </c>
      <c r="N2378" s="26">
        <v>0.0</v>
      </c>
      <c r="O2378" s="26">
        <v>0.0</v>
      </c>
      <c r="P2378" s="26">
        <v>555.0</v>
      </c>
      <c r="Q2378" s="35">
        <v>0.0</v>
      </c>
      <c r="R2378" s="32">
        <v>44581.0</v>
      </c>
      <c r="S2378" s="32">
        <v>41538.0</v>
      </c>
      <c r="T2378" s="29"/>
      <c r="U2378" s="33"/>
      <c r="V2378" s="1"/>
    </row>
    <row r="2379" ht="24.0" customHeight="1">
      <c r="A2379" s="1"/>
      <c r="B2379" s="24" t="str">
        <f>HYPERLINK("https://www.compass.com/listing/55-west-95th-street-unit-5-manhattan-ny-10025/89721818897716913/view?agent_id=610d3f3370540700019b0833","55 West 95th Street, Unit 5")</f>
        <v>55 West 95th Street, Unit 5</v>
      </c>
      <c r="C2379" s="25" t="s">
        <v>364</v>
      </c>
      <c r="D2379" s="26" t="s">
        <v>23</v>
      </c>
      <c r="E2379" s="27" t="str">
        <f>HYPERLINK("https://www.compass.com/building/55-w-95th-st-manhattan-ny-10025/281972516124187381/","55 W 95th St")</f>
        <v>55 W 95th St</v>
      </c>
      <c r="F2379" s="25" t="s">
        <v>29</v>
      </c>
      <c r="G2379" s="28">
        <v>609000.0</v>
      </c>
      <c r="H2379" s="29"/>
      <c r="I2379" s="28">
        <v>2012.0</v>
      </c>
      <c r="J2379" s="28">
        <v>0.0</v>
      </c>
      <c r="K2379" s="25" t="s">
        <v>25</v>
      </c>
      <c r="L2379" s="26">
        <v>4.0</v>
      </c>
      <c r="M2379" s="26">
        <v>2.0</v>
      </c>
      <c r="N2379" s="26">
        <v>1.0</v>
      </c>
      <c r="O2379" s="26">
        <v>0.0</v>
      </c>
      <c r="P2379" s="30"/>
      <c r="Q2379" s="35">
        <v>280.0</v>
      </c>
      <c r="R2379" s="32">
        <v>43657.0</v>
      </c>
      <c r="S2379" s="32">
        <v>43377.0</v>
      </c>
      <c r="T2379" s="29"/>
      <c r="U2379" s="33"/>
      <c r="V2379" s="1"/>
    </row>
    <row r="2380" ht="24.0" customHeight="1">
      <c r="A2380" s="1"/>
      <c r="B2380" s="24" t="str">
        <f>HYPERLINK("https://www.compass.com/listing/200-bowery-unit-ph8b-manhattan-ny-10012/33292730717224673/view?agent_id=610d3f3370540700019b0833","200 Bowery, Unit PH8B")</f>
        <v>200 Bowery, Unit PH8B</v>
      </c>
      <c r="C2380" s="25" t="s">
        <v>364</v>
      </c>
      <c r="D2380" s="26" t="s">
        <v>23</v>
      </c>
      <c r="E2380" s="27" t="str">
        <f>HYPERLINK("https://www.compass.com/building/200-bowery-manhattan-ny-10012/282058169130187269/","200 Bowery")</f>
        <v>200 Bowery</v>
      </c>
      <c r="F2380" s="25" t="s">
        <v>101</v>
      </c>
      <c r="G2380" s="28">
        <v>1050000.0</v>
      </c>
      <c r="H2380" s="29"/>
      <c r="I2380" s="28">
        <v>1092.0</v>
      </c>
      <c r="J2380" s="28">
        <v>7308.0</v>
      </c>
      <c r="K2380" s="25" t="s">
        <v>28</v>
      </c>
      <c r="L2380" s="26">
        <v>4.0</v>
      </c>
      <c r="M2380" s="26">
        <v>2.0</v>
      </c>
      <c r="N2380" s="26">
        <v>0.0</v>
      </c>
      <c r="O2380" s="26">
        <v>0.0</v>
      </c>
      <c r="P2380" s="30"/>
      <c r="Q2380" s="35">
        <v>93.0</v>
      </c>
      <c r="R2380" s="32">
        <v>45636.0</v>
      </c>
      <c r="S2380" s="32">
        <v>43297.0</v>
      </c>
      <c r="T2380" s="29"/>
      <c r="U2380" s="33"/>
      <c r="V2380" s="1"/>
    </row>
    <row r="2381" ht="24.0" customHeight="1">
      <c r="A2381" s="1"/>
      <c r="B2381" s="24" t="str">
        <f>HYPERLINK("https://www.compass.com/listing/305-2nd-avenue-unit-344-manhattan-ny-10003/1106376523363671873/view?agent_id=610d3f3370540700019b0833","305 2nd Avenue, Unit 344")</f>
        <v>305 2nd Avenue, Unit 344</v>
      </c>
      <c r="C2381" s="25" t="s">
        <v>365</v>
      </c>
      <c r="D2381" s="26" t="s">
        <v>23</v>
      </c>
      <c r="E2381" s="27" t="str">
        <f>HYPERLINK("https://www.compass.com/building/rutherford-place-manhattan-ny/281892043922346725/","Rutherford Place")</f>
        <v>Rutherford Place</v>
      </c>
      <c r="F2381" s="25" t="s">
        <v>48</v>
      </c>
      <c r="G2381" s="28">
        <v>2000000.0</v>
      </c>
      <c r="H2381" s="28">
        <v>1803.0</v>
      </c>
      <c r="I2381" s="28">
        <v>3728.0</v>
      </c>
      <c r="J2381" s="28">
        <v>33000.0</v>
      </c>
      <c r="K2381" s="25" t="s">
        <v>28</v>
      </c>
      <c r="L2381" s="26">
        <v>4.0</v>
      </c>
      <c r="M2381" s="26">
        <v>2.0</v>
      </c>
      <c r="N2381" s="26">
        <v>1.0</v>
      </c>
      <c r="O2381" s="26">
        <v>0.0</v>
      </c>
      <c r="P2381" s="34">
        <v>1109.0</v>
      </c>
      <c r="Q2381" s="35">
        <v>160.0</v>
      </c>
      <c r="R2381" s="32">
        <v>44938.0</v>
      </c>
      <c r="S2381" s="32">
        <v>44778.0</v>
      </c>
      <c r="T2381" s="29"/>
      <c r="U2381" s="33"/>
      <c r="V2381" s="1"/>
    </row>
    <row r="2382" ht="24.0" customHeight="1">
      <c r="A2382" s="1"/>
      <c r="B2382" s="24" t="str">
        <f>HYPERLINK("https://www.compass.com/listing/215-west-91st-street-unit-31-manhattan-ny-10024/1573393552669220329/view?agent_id=610d3f3370540700019b0833","215 West 91st Street, Unit 31")</f>
        <v>215 West 91st Street, Unit 31</v>
      </c>
      <c r="C2382" s="25" t="s">
        <v>370</v>
      </c>
      <c r="D2382" s="26" t="s">
        <v>23</v>
      </c>
      <c r="E2382" s="27" t="str">
        <f>HYPERLINK("https://www.compass.com/building/215-w-91st-st-manhattan-ny-10024/294842607616022101/","215 W 91st St")</f>
        <v>215 W 91st St</v>
      </c>
      <c r="F2382" s="25" t="s">
        <v>29</v>
      </c>
      <c r="G2382" s="28">
        <v>1495000.0</v>
      </c>
      <c r="H2382" s="29"/>
      <c r="I2382" s="28">
        <v>2801.0</v>
      </c>
      <c r="J2382" s="28">
        <v>0.0</v>
      </c>
      <c r="K2382" s="25" t="s">
        <v>25</v>
      </c>
      <c r="L2382" s="26">
        <v>5.0</v>
      </c>
      <c r="M2382" s="26">
        <v>2.0</v>
      </c>
      <c r="N2382" s="26">
        <v>1.0</v>
      </c>
      <c r="O2382" s="30"/>
      <c r="P2382" s="30"/>
      <c r="Q2382" s="35">
        <v>184.0</v>
      </c>
      <c r="R2382" s="32">
        <v>45607.0</v>
      </c>
      <c r="S2382" s="32">
        <v>45422.0</v>
      </c>
      <c r="T2382" s="29"/>
      <c r="U2382" s="33"/>
      <c r="V2382" s="1"/>
    </row>
    <row r="2383" ht="24.0" customHeight="1">
      <c r="A2383" s="1"/>
      <c r="B2383" s="24" t="str">
        <f>HYPERLINK("https://www.compass.com/listing/305-2nd-avenue-unit-517-manhattan-ny-10003/1017442092849058689/view?agent_id=610d3f3370540700019b0833","305 2nd Avenue, Unit 517")</f>
        <v>305 2nd Avenue, Unit 517</v>
      </c>
      <c r="C2383" s="25" t="s">
        <v>364</v>
      </c>
      <c r="D2383" s="26" t="s">
        <v>23</v>
      </c>
      <c r="E2383" s="27" t="str">
        <f>HYPERLINK("https://www.compass.com/building/rutherford-place-manhattan-ny/281892043922346725/","Rutherford Place")</f>
        <v>Rutherford Place</v>
      </c>
      <c r="F2383" s="25" t="s">
        <v>48</v>
      </c>
      <c r="G2383" s="28">
        <v>1700000.0</v>
      </c>
      <c r="H2383" s="28">
        <v>1587.0</v>
      </c>
      <c r="I2383" s="28">
        <v>2080.0</v>
      </c>
      <c r="J2383" s="28">
        <v>16368.0</v>
      </c>
      <c r="K2383" s="25" t="s">
        <v>28</v>
      </c>
      <c r="L2383" s="26">
        <v>5.0</v>
      </c>
      <c r="M2383" s="26">
        <v>2.0</v>
      </c>
      <c r="N2383" s="26">
        <v>1.0</v>
      </c>
      <c r="O2383" s="26">
        <v>0.0</v>
      </c>
      <c r="P2383" s="34">
        <v>1071.0</v>
      </c>
      <c r="Q2383" s="35">
        <v>170.0</v>
      </c>
      <c r="R2383" s="32">
        <v>44826.0</v>
      </c>
      <c r="S2383" s="32">
        <v>44656.0</v>
      </c>
      <c r="T2383" s="29"/>
      <c r="U2383" s="33"/>
      <c r="V2383" s="1"/>
    </row>
    <row r="2384" ht="24.0" customHeight="1">
      <c r="A2384" s="1"/>
      <c r="B2384" s="24" t="str">
        <f>HYPERLINK("https://www.compass.com/listing/514-west-end-avenue-unit-1b-manhattan-ny-10024/1779797177453994585/view?agent_id=610d3f3370540700019b0833","514 West End Avenue, Unit 1B")</f>
        <v>514 West End Avenue, Unit 1B</v>
      </c>
      <c r="C2384" s="25" t="s">
        <v>364</v>
      </c>
      <c r="D2384" s="26" t="s">
        <v>23</v>
      </c>
      <c r="E2384" s="27" t="str">
        <f>HYPERLINK("https://www.compass.com/building/514-west-end-ave-manhattan-ny-10024/292874092627975397/","514 West End Ave")</f>
        <v>514 West End Ave</v>
      </c>
      <c r="F2384" s="25" t="s">
        <v>29</v>
      </c>
      <c r="G2384" s="28">
        <v>950000.0</v>
      </c>
      <c r="H2384" s="29"/>
      <c r="I2384" s="28">
        <v>1993.0</v>
      </c>
      <c r="J2384" s="28">
        <v>0.0</v>
      </c>
      <c r="K2384" s="25" t="s">
        <v>25</v>
      </c>
      <c r="L2384" s="26">
        <v>4.0</v>
      </c>
      <c r="M2384" s="26">
        <v>2.0</v>
      </c>
      <c r="N2384" s="26">
        <v>1.0</v>
      </c>
      <c r="O2384" s="30"/>
      <c r="P2384" s="30"/>
      <c r="Q2384" s="35">
        <v>52.0</v>
      </c>
      <c r="R2384" s="32">
        <v>45761.0</v>
      </c>
      <c r="S2384" s="32">
        <v>45708.0</v>
      </c>
      <c r="T2384" s="29"/>
      <c r="U2384" s="33"/>
      <c r="V2384" s="1"/>
    </row>
    <row r="2385" ht="24.0" customHeight="1">
      <c r="A2385" s="1"/>
      <c r="B2385" s="24" t="str">
        <f>HYPERLINK("https://www.compass.com/listing/18-mercer-street-unit-1a-manhattan-ny-10013/1409561127633261841/view?agent_id=610d3f3370540700019b0833","18 Mercer Street, Unit 1A")</f>
        <v>18 Mercer Street, Unit 1A</v>
      </c>
      <c r="C2385" s="25" t="s">
        <v>370</v>
      </c>
      <c r="D2385" s="26" t="s">
        <v>23</v>
      </c>
      <c r="E2385" s="27" t="str">
        <f>HYPERLINK("https://www.compass.com/building/18-mercer-st-manhattan-ny-10013/281917774056424917/","18 Mercer St")</f>
        <v>18 Mercer St</v>
      </c>
      <c r="F2385" s="25" t="s">
        <v>53</v>
      </c>
      <c r="G2385" s="28">
        <v>1450000.0</v>
      </c>
      <c r="H2385" s="28">
        <v>537.0</v>
      </c>
      <c r="I2385" s="28">
        <v>5336.0</v>
      </c>
      <c r="J2385" s="28">
        <v>0.0</v>
      </c>
      <c r="K2385" s="25" t="s">
        <v>25</v>
      </c>
      <c r="L2385" s="26">
        <v>3.0</v>
      </c>
      <c r="M2385" s="26">
        <v>2.0</v>
      </c>
      <c r="N2385" s="26">
        <v>1.0</v>
      </c>
      <c r="O2385" s="30"/>
      <c r="P2385" s="34">
        <v>2700.0</v>
      </c>
      <c r="Q2385" s="35">
        <v>369.0</v>
      </c>
      <c r="R2385" s="32">
        <v>45566.0</v>
      </c>
      <c r="S2385" s="32">
        <v>45196.0</v>
      </c>
      <c r="T2385" s="29"/>
      <c r="U2385" s="33"/>
      <c r="V2385" s="1"/>
    </row>
    <row r="2386" ht="24.0" customHeight="1">
      <c r="A2386" s="1"/>
      <c r="B2386" s="24" t="str">
        <f>HYPERLINK("https://www.compass.com/listing/514-west-end-avenue-unit-1b-manhattan-ny-10024/982651202631055625/view?agent_id=610d3f3370540700019b0833","514 West End Avenue, Unit 1B")</f>
        <v>514 West End Avenue, Unit 1B</v>
      </c>
      <c r="C2386" s="25" t="s">
        <v>364</v>
      </c>
      <c r="D2386" s="26" t="s">
        <v>23</v>
      </c>
      <c r="E2386" s="27" t="str">
        <f>HYPERLINK("https://www.compass.com/building/514-west-end-ave-manhattan-ny-10024/292874092627975397/","514 West End Ave")</f>
        <v>514 West End Ave</v>
      </c>
      <c r="F2386" s="25" t="s">
        <v>29</v>
      </c>
      <c r="G2386" s="28">
        <v>950000.0</v>
      </c>
      <c r="H2386" s="29"/>
      <c r="I2386" s="28">
        <v>1860.0</v>
      </c>
      <c r="J2386" s="28">
        <v>0.0</v>
      </c>
      <c r="K2386" s="25" t="s">
        <v>25</v>
      </c>
      <c r="L2386" s="26">
        <v>4.0</v>
      </c>
      <c r="M2386" s="26">
        <v>2.0</v>
      </c>
      <c r="N2386" s="26">
        <v>1.0</v>
      </c>
      <c r="O2386" s="26">
        <v>0.0</v>
      </c>
      <c r="P2386" s="30"/>
      <c r="Q2386" s="35">
        <v>278.0</v>
      </c>
      <c r="R2386" s="32">
        <v>44885.0</v>
      </c>
      <c r="S2386" s="32">
        <v>44607.0</v>
      </c>
      <c r="T2386" s="29"/>
      <c r="U2386" s="33"/>
      <c r="V2386" s="1"/>
    </row>
    <row r="2387" ht="24.0" customHeight="1">
      <c r="A2387" s="1"/>
      <c r="B2387" s="24" t="str">
        <f>HYPERLINK("https://www.compass.com/listing/372-central-park-west-unit-16r-manhattan-ny-10025/1809604308316097385/view?agent_id=610d3f3370540700019b0833","372 Central Park West, Unit 16R")</f>
        <v>372 Central Park West, Unit 16R</v>
      </c>
      <c r="C2387" s="25" t="s">
        <v>364</v>
      </c>
      <c r="D2387" s="26" t="s">
        <v>23</v>
      </c>
      <c r="E2387" s="27" t="str">
        <f>HYPERLINK("https://www.compass.com/building/the-vaux-manhattan-ny/281971584409886197/","THE VAUX")</f>
        <v>THE VAUX</v>
      </c>
      <c r="F2387" s="25" t="s">
        <v>29</v>
      </c>
      <c r="G2387" s="28">
        <v>1295000.0</v>
      </c>
      <c r="H2387" s="28">
        <v>1079.0</v>
      </c>
      <c r="I2387" s="28">
        <v>979.0</v>
      </c>
      <c r="J2387" s="28">
        <v>3480.0</v>
      </c>
      <c r="K2387" s="25" t="s">
        <v>28</v>
      </c>
      <c r="L2387" s="26">
        <v>4.0</v>
      </c>
      <c r="M2387" s="26">
        <v>2.0</v>
      </c>
      <c r="N2387" s="26">
        <v>0.0</v>
      </c>
      <c r="O2387" s="26">
        <v>0.0</v>
      </c>
      <c r="P2387" s="34">
        <v>1200.0</v>
      </c>
      <c r="Q2387" s="35">
        <v>1758.0</v>
      </c>
      <c r="R2387" s="32">
        <v>44581.0</v>
      </c>
      <c r="S2387" s="32">
        <v>41178.0</v>
      </c>
      <c r="T2387" s="29"/>
      <c r="U2387" s="33"/>
      <c r="V2387" s="1"/>
    </row>
    <row r="2388" ht="24.0" customHeight="1">
      <c r="A2388" s="1"/>
      <c r="B2388" s="24" t="str">
        <f>HYPERLINK("https://www.compass.com/listing/317-west-93rd-street-unit-3c-manhattan-ny-10025/556437717784041833/view?agent_id=610d3f3370540700019b0833","317 West 93rd Street, Unit 3C")</f>
        <v>317 West 93rd Street, Unit 3C</v>
      </c>
      <c r="C2388" s="25" t="s">
        <v>364</v>
      </c>
      <c r="D2388" s="26" t="s">
        <v>23</v>
      </c>
      <c r="E2388" s="27" t="str">
        <f>HYPERLINK("https://www.compass.com/building/317-w-93rd-st-manhattan-ny-10025/281925891813055973/","317 W 93rd St")</f>
        <v>317 W 93rd St</v>
      </c>
      <c r="F2388" s="25" t="s">
        <v>29</v>
      </c>
      <c r="G2388" s="28">
        <v>645000.0</v>
      </c>
      <c r="H2388" s="29"/>
      <c r="I2388" s="28">
        <v>1187.0</v>
      </c>
      <c r="J2388" s="28">
        <v>0.0</v>
      </c>
      <c r="K2388" s="25" t="s">
        <v>25</v>
      </c>
      <c r="L2388" s="26">
        <v>4.0</v>
      </c>
      <c r="M2388" s="26">
        <v>2.0</v>
      </c>
      <c r="N2388" s="26">
        <v>1.0</v>
      </c>
      <c r="O2388" s="26">
        <v>0.0</v>
      </c>
      <c r="P2388" s="30"/>
      <c r="Q2388" s="35">
        <v>74.0</v>
      </c>
      <c r="R2388" s="32">
        <v>44094.0</v>
      </c>
      <c r="S2388" s="32">
        <v>44019.0</v>
      </c>
      <c r="T2388" s="29"/>
      <c r="U2388" s="33"/>
      <c r="V2388" s="1"/>
    </row>
    <row r="2389" ht="24.0" customHeight="1">
      <c r="A2389" s="1"/>
      <c r="B2389" s="24" t="str">
        <f>HYPERLINK("https://www.compass.com/listing/681-union-street-unit-d-brooklyn-ny-11215/1586356904770766417/view?agent_id=610d3f3370540700019b0833","681 Union Street, Unit D")</f>
        <v>681 Union Street, Unit D</v>
      </c>
      <c r="C2389" s="25" t="s">
        <v>370</v>
      </c>
      <c r="D2389" s="26" t="s">
        <v>23</v>
      </c>
      <c r="E2389" s="27" t="str">
        <f>HYPERLINK("https://www.compass.com/building/681-union-st-brooklyn-ny-11215/455669666590274709/","681 Union St")</f>
        <v>681 Union St</v>
      </c>
      <c r="F2389" s="25" t="s">
        <v>40</v>
      </c>
      <c r="G2389" s="28">
        <v>950000.0</v>
      </c>
      <c r="H2389" s="29"/>
      <c r="I2389" s="28">
        <v>833.0</v>
      </c>
      <c r="J2389" s="28">
        <v>0.0</v>
      </c>
      <c r="K2389" s="25" t="s">
        <v>25</v>
      </c>
      <c r="L2389" s="26">
        <v>5.0</v>
      </c>
      <c r="M2389" s="26">
        <v>2.0</v>
      </c>
      <c r="N2389" s="26">
        <v>1.0</v>
      </c>
      <c r="O2389" s="26">
        <v>0.0</v>
      </c>
      <c r="P2389" s="30"/>
      <c r="Q2389" s="35">
        <v>185.0</v>
      </c>
      <c r="R2389" s="32">
        <v>45625.0</v>
      </c>
      <c r="S2389" s="32">
        <v>45440.0</v>
      </c>
      <c r="T2389" s="29"/>
      <c r="U2389" s="33"/>
      <c r="V2389" s="1"/>
    </row>
    <row r="2390" ht="24.0" customHeight="1">
      <c r="A2390" s="1"/>
      <c r="B2390" s="24" t="str">
        <f>HYPERLINK("https://www.compass.com/listing/325-east-9th-street-unit-1-manhattan-ny-10003/4852317734966404257/view?agent_id=610d3f3370540700019b0833","325 East 9th Street, Unit 1")</f>
        <v>325 East 9th Street, Unit 1</v>
      </c>
      <c r="C2390" s="25" t="s">
        <v>370</v>
      </c>
      <c r="D2390" s="26" t="s">
        <v>23</v>
      </c>
      <c r="E2390" s="27" t="str">
        <f>HYPERLINK("https://www.compass.com/building/325-e-9th-st-manhattan-ny-10003/281892586866612069/","325 E 9th St")</f>
        <v>325 E 9th St</v>
      </c>
      <c r="F2390" s="25" t="s">
        <v>24</v>
      </c>
      <c r="G2390" s="28">
        <v>1850000.0</v>
      </c>
      <c r="H2390" s="28">
        <v>1321.0</v>
      </c>
      <c r="I2390" s="28">
        <v>1402.0</v>
      </c>
      <c r="J2390" s="28">
        <v>12.0</v>
      </c>
      <c r="K2390" s="25" t="s">
        <v>28</v>
      </c>
      <c r="L2390" s="26">
        <v>5.0</v>
      </c>
      <c r="M2390" s="26">
        <v>2.0</v>
      </c>
      <c r="N2390" s="26">
        <v>0.0</v>
      </c>
      <c r="O2390" s="26">
        <v>0.0</v>
      </c>
      <c r="P2390" s="34">
        <v>1400.0</v>
      </c>
      <c r="Q2390" s="35">
        <v>0.0</v>
      </c>
      <c r="R2390" s="32">
        <v>44581.0</v>
      </c>
      <c r="S2390" s="32">
        <v>41512.0</v>
      </c>
      <c r="T2390" s="29"/>
      <c r="U2390" s="33"/>
      <c r="V2390" s="1"/>
    </row>
    <row r="2391" ht="24.0" customHeight="1">
      <c r="A2391" s="1"/>
      <c r="B2391" s="24" t="str">
        <f>HYPERLINK("https://www.compass.com/listing/418-central-park-west-unit-22-manhattan-ny-10025/29429687948252497/view?agent_id=610d3f3370540700019b0833","418 Central Park West, Unit 22")</f>
        <v>418 Central Park West, Unit 22</v>
      </c>
      <c r="C2391" s="25" t="s">
        <v>364</v>
      </c>
      <c r="D2391" s="26" t="s">
        <v>23</v>
      </c>
      <c r="E2391" s="27" t="str">
        <f>HYPERLINK("https://www.compass.com/building/418-central-park-west-manhattan-ny-10025/281925923337444885/","418 Central Park West")</f>
        <v>418 Central Park West</v>
      </c>
      <c r="F2391" s="25" t="s">
        <v>29</v>
      </c>
      <c r="G2391" s="28">
        <v>1125000.0</v>
      </c>
      <c r="H2391" s="29"/>
      <c r="I2391" s="28">
        <v>1078.0</v>
      </c>
      <c r="J2391" s="28">
        <v>5352.0</v>
      </c>
      <c r="K2391" s="25" t="s">
        <v>28</v>
      </c>
      <c r="L2391" s="26">
        <v>4.0</v>
      </c>
      <c r="M2391" s="26">
        <v>2.0</v>
      </c>
      <c r="N2391" s="26">
        <v>1.0</v>
      </c>
      <c r="O2391" s="30"/>
      <c r="P2391" s="30"/>
      <c r="Q2391" s="35">
        <v>156.0</v>
      </c>
      <c r="R2391" s="32">
        <v>44581.0</v>
      </c>
      <c r="S2391" s="32">
        <v>41241.0</v>
      </c>
      <c r="T2391" s="29"/>
      <c r="U2391" s="33"/>
      <c r="V2391" s="1"/>
    </row>
    <row r="2392" ht="24.0" customHeight="1">
      <c r="A2392" s="1"/>
      <c r="B2392" s="24" t="str">
        <f>HYPERLINK("https://www.compass.com/listing/22-west-96th-street-unit-3-manhattan-ny-10025/50852109553319265/view?agent_id=610d3f3370540700019b0833","22 West 96th Street, Unit 3")</f>
        <v>22 West 96th Street, Unit 3</v>
      </c>
      <c r="C2392" s="25" t="s">
        <v>370</v>
      </c>
      <c r="D2392" s="26" t="s">
        <v>23</v>
      </c>
      <c r="E2392" s="27" t="str">
        <f>HYPERLINK("https://www.compass.com/building/22-w-96th-st-manhattan-ny-10025/281969506904003765/","22 W 96th St")</f>
        <v>22 W 96th St</v>
      </c>
      <c r="F2392" s="25" t="s">
        <v>29</v>
      </c>
      <c r="G2392" s="28">
        <v>699000.0</v>
      </c>
      <c r="H2392" s="28">
        <v>635.0</v>
      </c>
      <c r="I2392" s="28">
        <v>1140.0</v>
      </c>
      <c r="J2392" s="29"/>
      <c r="K2392" s="25" t="s">
        <v>25</v>
      </c>
      <c r="L2392" s="26">
        <v>4.0</v>
      </c>
      <c r="M2392" s="26">
        <v>2.0</v>
      </c>
      <c r="N2392" s="26">
        <v>0.0</v>
      </c>
      <c r="O2392" s="26">
        <v>0.0</v>
      </c>
      <c r="P2392" s="34">
        <v>1100.0</v>
      </c>
      <c r="Q2392" s="31"/>
      <c r="R2392" s="32">
        <v>44581.0</v>
      </c>
      <c r="S2392" s="33"/>
      <c r="T2392" s="29"/>
      <c r="U2392" s="33"/>
      <c r="V2392" s="1"/>
    </row>
    <row r="2393" ht="24.0" customHeight="1">
      <c r="A2393" s="1"/>
      <c r="B2393" s="24" t="str">
        <f>HYPERLINK("https://www.compass.com/listing/224-riverside-drive-unit-7b-manhattan-ny-10025/4852266554542272417/view?agent_id=610d3f3370540700019b0833","224 Riverside Drive, Unit 7B")</f>
        <v>224 Riverside Drive, Unit 7B</v>
      </c>
      <c r="C2393" s="25" t="s">
        <v>370</v>
      </c>
      <c r="D2393" s="26" t="s">
        <v>23</v>
      </c>
      <c r="E2393" s="27" t="str">
        <f>HYPERLINK("https://www.compass.com/building/224-riverside-dr-manhattan-ny-10025/281969585320709669/","224 Riverside Dr")</f>
        <v>224 Riverside Dr</v>
      </c>
      <c r="F2393" s="25" t="s">
        <v>29</v>
      </c>
      <c r="G2393" s="28">
        <v>835000.0</v>
      </c>
      <c r="H2393" s="28">
        <v>795.0</v>
      </c>
      <c r="I2393" s="28">
        <v>1373.0</v>
      </c>
      <c r="J2393" s="29"/>
      <c r="K2393" s="25" t="s">
        <v>25</v>
      </c>
      <c r="L2393" s="26">
        <v>4.0</v>
      </c>
      <c r="M2393" s="26">
        <v>2.0</v>
      </c>
      <c r="N2393" s="26">
        <v>0.0</v>
      </c>
      <c r="O2393" s="26">
        <v>0.0</v>
      </c>
      <c r="P2393" s="34">
        <v>1050.0</v>
      </c>
      <c r="Q2393" s="35">
        <v>144.0</v>
      </c>
      <c r="R2393" s="32">
        <v>45636.0</v>
      </c>
      <c r="S2393" s="32">
        <v>41536.0</v>
      </c>
      <c r="T2393" s="29"/>
      <c r="U2393" s="33"/>
      <c r="V2393" s="1"/>
    </row>
    <row r="2394" ht="24.0" customHeight="1">
      <c r="A2394" s="1"/>
      <c r="B2394" s="24" t="str">
        <f>HYPERLINK("https://www.compass.com/listing/21-east-22nd-street-unit-10b-manhattan-ny-10010/29375675873910689/view?agent_id=610d3f3370540700019b0833","21 East 22nd Street, Unit 10B")</f>
        <v>21 East 22nd Street, Unit 10B</v>
      </c>
      <c r="C2394" s="25" t="s">
        <v>364</v>
      </c>
      <c r="D2394" s="26" t="s">
        <v>23</v>
      </c>
      <c r="E2394" s="27" t="str">
        <f>HYPERLINK("https://www.compass.com/building/21-e-22nd-st-manhattan-ny-10010/281902113280245685/","21 E 22nd St")</f>
        <v>21 E 22nd St</v>
      </c>
      <c r="F2394" s="25" t="s">
        <v>115</v>
      </c>
      <c r="G2394" s="28">
        <v>1600000.0</v>
      </c>
      <c r="H2394" s="29"/>
      <c r="I2394" s="28">
        <v>133.0</v>
      </c>
      <c r="J2394" s="29"/>
      <c r="K2394" s="25" t="s">
        <v>25</v>
      </c>
      <c r="L2394" s="26">
        <v>4.0</v>
      </c>
      <c r="M2394" s="26">
        <v>2.0</v>
      </c>
      <c r="N2394" s="26">
        <v>0.0</v>
      </c>
      <c r="O2394" s="26">
        <v>0.0</v>
      </c>
      <c r="P2394" s="30"/>
      <c r="Q2394" s="35">
        <v>3.0</v>
      </c>
      <c r="R2394" s="32">
        <v>44581.0</v>
      </c>
      <c r="S2394" s="32">
        <v>41538.0</v>
      </c>
      <c r="T2394" s="29"/>
      <c r="U2394" s="33"/>
      <c r="V2394" s="1"/>
    </row>
    <row r="2395" ht="24.0" customHeight="1">
      <c r="A2395" s="1"/>
      <c r="B2395" s="24" t="str">
        <f>HYPERLINK("https://www.compass.com/listing/328-west-86th-street-unit-6a-manhattan-ny-10024/597009023856183473/view?agent_id=610d3f3370540700019b0833","328 West 86th Street, Unit 6A")</f>
        <v>328 West 86th Street, Unit 6A</v>
      </c>
      <c r="C2395" s="25" t="s">
        <v>365</v>
      </c>
      <c r="D2395" s="26" t="s">
        <v>23</v>
      </c>
      <c r="E2395" s="27" t="str">
        <f>HYPERLINK("https://www.compass.com/building/328-w-86th-st-manhattan-ny-10024/281925057071061989/","328 W 86th St")</f>
        <v>328 W 86th St</v>
      </c>
      <c r="F2395" s="25" t="s">
        <v>29</v>
      </c>
      <c r="G2395" s="28">
        <v>1095000.0</v>
      </c>
      <c r="H2395" s="29"/>
      <c r="I2395" s="28">
        <v>1663.0</v>
      </c>
      <c r="J2395" s="28">
        <v>0.0</v>
      </c>
      <c r="K2395" s="25" t="s">
        <v>25</v>
      </c>
      <c r="L2395" s="26">
        <v>5.0</v>
      </c>
      <c r="M2395" s="26">
        <v>2.0</v>
      </c>
      <c r="N2395" s="26">
        <v>1.0</v>
      </c>
      <c r="O2395" s="26">
        <v>0.0</v>
      </c>
      <c r="P2395" s="30"/>
      <c r="Q2395" s="35">
        <v>36.0</v>
      </c>
      <c r="R2395" s="32">
        <v>44111.0</v>
      </c>
      <c r="S2395" s="32">
        <v>44075.0</v>
      </c>
      <c r="T2395" s="29"/>
      <c r="U2395" s="33"/>
      <c r="V2395" s="1"/>
    </row>
    <row r="2396" ht="24.0" customHeight="1">
      <c r="A2396" s="1"/>
      <c r="B2396" s="24" t="str">
        <f>HYPERLINK("https://www.compass.com/listing/151-west-106th-street-unit-4a-manhattan-ny-10025/1425315651917204065/view?agent_id=610d3f3370540700019b0833","151 West 106th Street, Unit 4A")</f>
        <v>151 West 106th Street, Unit 4A</v>
      </c>
      <c r="C2396" s="25" t="s">
        <v>364</v>
      </c>
      <c r="D2396" s="26" t="s">
        <v>23</v>
      </c>
      <c r="E2396" s="27" t="str">
        <f>HYPERLINK("https://www.compass.com/building/151-w-106th-st-manhattan-ny-10025/281968896104286997/","151 W 106th St")</f>
        <v>151 W 106th St</v>
      </c>
      <c r="F2396" s="25" t="s">
        <v>29</v>
      </c>
      <c r="G2396" s="28">
        <v>435000.0</v>
      </c>
      <c r="H2396" s="29"/>
      <c r="I2396" s="28">
        <v>732.0</v>
      </c>
      <c r="J2396" s="28">
        <v>0.0</v>
      </c>
      <c r="K2396" s="25" t="s">
        <v>25</v>
      </c>
      <c r="L2396" s="26">
        <v>4.0</v>
      </c>
      <c r="M2396" s="26">
        <v>2.0</v>
      </c>
      <c r="N2396" s="26">
        <v>1.0</v>
      </c>
      <c r="O2396" s="30"/>
      <c r="P2396" s="30"/>
      <c r="Q2396" s="35">
        <v>142.0</v>
      </c>
      <c r="R2396" s="32">
        <v>45482.0</v>
      </c>
      <c r="S2396" s="32">
        <v>45218.0</v>
      </c>
      <c r="T2396" s="29"/>
      <c r="U2396" s="33"/>
      <c r="V2396" s="1"/>
    </row>
    <row r="2397" ht="24.0" customHeight="1">
      <c r="A2397" s="1"/>
      <c r="B2397" s="24" t="str">
        <f>HYPERLINK("https://www.compass.com/listing/35-clark-street-unit-c5-brooklyn-ny-11201/548547883505771681/view?agent_id=610d3f3370540700019b0833","35 Clark Street, Unit C5")</f>
        <v>35 Clark Street, Unit C5</v>
      </c>
      <c r="C2397" s="25" t="s">
        <v>364</v>
      </c>
      <c r="D2397" s="26" t="s">
        <v>23</v>
      </c>
      <c r="E2397" s="27" t="str">
        <f>HYPERLINK("https://www.compass.com/building/35-clark-st-brooklyn-ny-11201/282504044474351189/","35 Clark St")</f>
        <v>35 Clark St</v>
      </c>
      <c r="F2397" s="25" t="s">
        <v>52</v>
      </c>
      <c r="G2397" s="28">
        <v>1149000.0</v>
      </c>
      <c r="H2397" s="29"/>
      <c r="I2397" s="28">
        <v>1186.0</v>
      </c>
      <c r="J2397" s="29"/>
      <c r="K2397" s="25" t="s">
        <v>25</v>
      </c>
      <c r="L2397" s="26">
        <v>5.0</v>
      </c>
      <c r="M2397" s="26">
        <v>2.0</v>
      </c>
      <c r="N2397" s="26">
        <v>0.0</v>
      </c>
      <c r="O2397" s="26">
        <v>0.0</v>
      </c>
      <c r="P2397" s="30"/>
      <c r="Q2397" s="35">
        <v>278.0</v>
      </c>
      <c r="R2397" s="32">
        <v>45636.0</v>
      </c>
      <c r="S2397" s="32">
        <v>42677.0</v>
      </c>
      <c r="T2397" s="29"/>
      <c r="U2397" s="33"/>
      <c r="V2397" s="1"/>
    </row>
    <row r="2398" ht="24.0" customHeight="1">
      <c r="A2398" s="1"/>
      <c r="B2398" s="24" t="str">
        <f>HYPERLINK("https://www.compass.com/listing/334-west-87th-street-unit-2a-manhattan-ny-10024/1248692613288941737/view?agent_id=610d3f3370540700019b0833","334 West 87th Street, Unit 2A")</f>
        <v>334 West 87th Street, Unit 2A</v>
      </c>
      <c r="C2398" s="25" t="s">
        <v>364</v>
      </c>
      <c r="D2398" s="26" t="s">
        <v>23</v>
      </c>
      <c r="E2398" s="27" t="str">
        <f>HYPERLINK("https://www.compass.com/building/334-w-87th-st-manhattan-ny-10024/281965897386638501/","334 W 87th St")</f>
        <v>334 W 87th St</v>
      </c>
      <c r="F2398" s="25" t="s">
        <v>29</v>
      </c>
      <c r="G2398" s="28">
        <v>1250000.0</v>
      </c>
      <c r="H2398" s="29"/>
      <c r="I2398" s="28">
        <v>1974.0</v>
      </c>
      <c r="J2398" s="28">
        <v>0.0</v>
      </c>
      <c r="K2398" s="25" t="s">
        <v>25</v>
      </c>
      <c r="L2398" s="26">
        <v>5.0</v>
      </c>
      <c r="M2398" s="26">
        <v>2.0</v>
      </c>
      <c r="N2398" s="26">
        <v>1.0</v>
      </c>
      <c r="O2398" s="30"/>
      <c r="P2398" s="30"/>
      <c r="Q2398" s="35">
        <v>86.0</v>
      </c>
      <c r="R2398" s="32">
        <v>45064.0</v>
      </c>
      <c r="S2398" s="32">
        <v>44978.0</v>
      </c>
      <c r="T2398" s="29"/>
      <c r="U2398" s="33"/>
      <c r="V2398" s="1"/>
    </row>
    <row r="2399" ht="24.0" customHeight="1">
      <c r="A2399" s="1"/>
      <c r="B2399" s="24" t="str">
        <f>HYPERLINK("https://www.compass.com/listing/515-west-end-avenue-unit-11a-manhattan-ny-10024/1790120058308795777/view?agent_id=610d3f3370540700019b0833","515 West End Avenue, Unit 11A")</f>
        <v>515 West End Avenue, Unit 11A</v>
      </c>
      <c r="C2399" s="25" t="s">
        <v>364</v>
      </c>
      <c r="D2399" s="26" t="s">
        <v>23</v>
      </c>
      <c r="E2399" s="27" t="str">
        <f>HYPERLINK("https://www.compass.com/building/515-west-end-ave-manhattan-ny-10024/292874090631487221/","515 West End Ave")</f>
        <v>515 West End Ave</v>
      </c>
      <c r="F2399" s="25" t="s">
        <v>29</v>
      </c>
      <c r="G2399" s="28">
        <v>1500000.0</v>
      </c>
      <c r="H2399" s="29"/>
      <c r="I2399" s="28">
        <v>2097.0</v>
      </c>
      <c r="J2399" s="29"/>
      <c r="K2399" s="25" t="s">
        <v>25</v>
      </c>
      <c r="L2399" s="26">
        <v>4.0</v>
      </c>
      <c r="M2399" s="26">
        <v>2.0</v>
      </c>
      <c r="N2399" s="26">
        <v>0.0</v>
      </c>
      <c r="O2399" s="26">
        <v>0.0</v>
      </c>
      <c r="P2399" s="30"/>
      <c r="Q2399" s="35">
        <v>0.0</v>
      </c>
      <c r="R2399" s="32">
        <v>44581.0</v>
      </c>
      <c r="S2399" s="32">
        <v>43217.0</v>
      </c>
      <c r="T2399" s="29"/>
      <c r="U2399" s="33"/>
      <c r="V2399" s="1"/>
    </row>
    <row r="2400" ht="24.0" customHeight="1">
      <c r="A2400" s="1"/>
      <c r="B2400" s="24" t="str">
        <f>HYPERLINK("https://www.compass.com/listing/176-west-87th-street-unit-5d-manhattan-ny-10024/582857556379533433/view?agent_id=610d3f3370540700019b0833","176 West 87th Street, Unit 5D")</f>
        <v>176 West 87th Street, Unit 5D</v>
      </c>
      <c r="C2400" s="25" t="s">
        <v>365</v>
      </c>
      <c r="D2400" s="26" t="s">
        <v>23</v>
      </c>
      <c r="E2400" s="27" t="str">
        <f>HYPERLINK("https://www.compass.com/building/176-w-87th-st-manhattan-ny-10024/292874378016808853/","176 W 87th St")</f>
        <v>176 W 87th St</v>
      </c>
      <c r="F2400" s="25" t="s">
        <v>29</v>
      </c>
      <c r="G2400" s="28">
        <v>1295000.0</v>
      </c>
      <c r="H2400" s="29"/>
      <c r="I2400" s="28">
        <v>1590.0</v>
      </c>
      <c r="J2400" s="28">
        <v>0.0</v>
      </c>
      <c r="K2400" s="25" t="s">
        <v>25</v>
      </c>
      <c r="L2400" s="26">
        <v>5.0</v>
      </c>
      <c r="M2400" s="26">
        <v>2.0</v>
      </c>
      <c r="N2400" s="26">
        <v>1.0</v>
      </c>
      <c r="O2400" s="30"/>
      <c r="P2400" s="30"/>
      <c r="Q2400" s="35">
        <v>129.0</v>
      </c>
      <c r="R2400" s="32">
        <v>44188.0</v>
      </c>
      <c r="S2400" s="32">
        <v>44058.0</v>
      </c>
      <c r="T2400" s="29"/>
      <c r="U2400" s="33"/>
      <c r="V2400" s="1"/>
    </row>
    <row r="2401" ht="24.0" customHeight="1">
      <c r="A2401" s="1"/>
      <c r="B2401" s="24" t="str">
        <f>HYPERLINK("https://www.compass.com/listing/345-west-88th-street-unit-4f-manhattan-ny-10024/1125494789779027217/view?agent_id=610d3f3370540700019b0833","345 West 88th Street, Unit 4F")</f>
        <v>345 West 88th Street, Unit 4F</v>
      </c>
      <c r="C2401" s="25" t="s">
        <v>364</v>
      </c>
      <c r="D2401" s="26" t="s">
        <v>23</v>
      </c>
      <c r="E2401" s="27" t="str">
        <f>HYPERLINK("https://www.compass.com/building/345-w-88th-st-manhattan-ny-10024/281966129189045301/","345 W 88th St")</f>
        <v>345 W 88th St</v>
      </c>
      <c r="F2401" s="25" t="s">
        <v>29</v>
      </c>
      <c r="G2401" s="28">
        <v>1045000.0</v>
      </c>
      <c r="H2401" s="29"/>
      <c r="I2401" s="28">
        <v>1664.0</v>
      </c>
      <c r="J2401" s="28">
        <v>0.0</v>
      </c>
      <c r="K2401" s="25" t="s">
        <v>25</v>
      </c>
      <c r="L2401" s="26">
        <v>4.0</v>
      </c>
      <c r="M2401" s="26">
        <v>2.0</v>
      </c>
      <c r="N2401" s="26">
        <v>1.0</v>
      </c>
      <c r="O2401" s="30"/>
      <c r="P2401" s="30"/>
      <c r="Q2401" s="35">
        <v>64.0</v>
      </c>
      <c r="R2401" s="32">
        <v>44868.0</v>
      </c>
      <c r="S2401" s="32">
        <v>44804.0</v>
      </c>
      <c r="T2401" s="29"/>
      <c r="U2401" s="33"/>
      <c r="V2401" s="1"/>
    </row>
    <row r="2402" ht="24.0" customHeight="1">
      <c r="A2402" s="1"/>
      <c r="B2402" s="24" t="str">
        <f>HYPERLINK("https://www.compass.com/listing/205-mulberry-street-unit-5east-manhattan-ny-10012/192565384287691633/view?agent_id=610d3f3370540700019b0833","205 Mulberry Street, Unit 5EAST")</f>
        <v>205 Mulberry Street, Unit 5EAST</v>
      </c>
      <c r="C2402" s="25" t="s">
        <v>364</v>
      </c>
      <c r="D2402" s="26" t="s">
        <v>23</v>
      </c>
      <c r="E2402" s="27" t="str">
        <f t="shared" ref="E2402:E2403" si="48">HYPERLINK("https://www.compass.com/building/205-mulberry-st-manhattan-ny-10012/292810326976530869/","205 Mulberry St")</f>
        <v>205 Mulberry St</v>
      </c>
      <c r="F2402" s="25" t="s">
        <v>101</v>
      </c>
      <c r="G2402" s="28">
        <v>2450000.0</v>
      </c>
      <c r="H2402" s="29"/>
      <c r="I2402" s="28">
        <v>2106.0</v>
      </c>
      <c r="J2402" s="28">
        <v>11040.0</v>
      </c>
      <c r="K2402" s="25" t="s">
        <v>28</v>
      </c>
      <c r="L2402" s="26">
        <v>99.0</v>
      </c>
      <c r="M2402" s="26">
        <v>2.0</v>
      </c>
      <c r="N2402" s="26">
        <v>0.0</v>
      </c>
      <c r="O2402" s="26">
        <v>0.0</v>
      </c>
      <c r="P2402" s="30"/>
      <c r="Q2402" s="35">
        <v>3378.0</v>
      </c>
      <c r="R2402" s="32">
        <v>44581.0</v>
      </c>
      <c r="S2402" s="32">
        <v>41202.0</v>
      </c>
      <c r="T2402" s="29"/>
      <c r="U2402" s="33"/>
      <c r="V2402" s="1"/>
    </row>
    <row r="2403" ht="24.0" customHeight="1">
      <c r="A2403" s="1"/>
      <c r="B2403" s="24" t="str">
        <f>HYPERLINK("https://www.compass.com/listing/205-mulberry-street-unit-5west-manhattan-ny-10012/192565468123489649/view?agent_id=610d3f3370540700019b0833","205 Mulberry Street, Unit 5WEST")</f>
        <v>205 Mulberry Street, Unit 5WEST</v>
      </c>
      <c r="C2403" s="25" t="s">
        <v>364</v>
      </c>
      <c r="D2403" s="26" t="s">
        <v>23</v>
      </c>
      <c r="E2403" s="27" t="str">
        <f t="shared" si="48"/>
        <v>205 Mulberry St</v>
      </c>
      <c r="F2403" s="25" t="s">
        <v>101</v>
      </c>
      <c r="G2403" s="28">
        <v>1749000.0</v>
      </c>
      <c r="H2403" s="29"/>
      <c r="I2403" s="28">
        <v>1497.0</v>
      </c>
      <c r="J2403" s="28">
        <v>7848.0</v>
      </c>
      <c r="K2403" s="25" t="s">
        <v>28</v>
      </c>
      <c r="L2403" s="26">
        <v>99.0</v>
      </c>
      <c r="M2403" s="26">
        <v>2.0</v>
      </c>
      <c r="N2403" s="26">
        <v>0.0</v>
      </c>
      <c r="O2403" s="26">
        <v>0.0</v>
      </c>
      <c r="P2403" s="30"/>
      <c r="Q2403" s="35">
        <v>3378.0</v>
      </c>
      <c r="R2403" s="32">
        <v>44581.0</v>
      </c>
      <c r="S2403" s="32">
        <v>41202.0</v>
      </c>
      <c r="T2403" s="29"/>
      <c r="U2403" s="33"/>
      <c r="V2403" s="1"/>
    </row>
    <row r="2404" ht="24.0" customHeight="1">
      <c r="A2404" s="1"/>
      <c r="B2404" s="24" t="str">
        <f>HYPERLINK("https://www.compass.com/listing/341-west-87th-street-unit-1r-manhattan-ny-10024/4852350577423679489/view?agent_id=610d3f3370540700019b0833","341 W 87th St, Unit 1R")</f>
        <v>341 W 87th St, Unit 1R</v>
      </c>
      <c r="C2404" s="25" t="s">
        <v>364</v>
      </c>
      <c r="D2404" s="26" t="s">
        <v>23</v>
      </c>
      <c r="E2404" s="27" t="str">
        <f>HYPERLINK("https://www.compass.com/building/341-w-87th-st-manhattan-ny-10024/281925117586480133/","341 W 87th St")</f>
        <v>341 W 87th St</v>
      </c>
      <c r="F2404" s="25" t="s">
        <v>29</v>
      </c>
      <c r="G2404" s="28">
        <v>949000.0</v>
      </c>
      <c r="H2404" s="29"/>
      <c r="I2404" s="28">
        <v>1799.0</v>
      </c>
      <c r="J2404" s="28">
        <v>0.0</v>
      </c>
      <c r="K2404" s="25" t="s">
        <v>25</v>
      </c>
      <c r="L2404" s="26">
        <v>4.0</v>
      </c>
      <c r="M2404" s="26">
        <v>2.0</v>
      </c>
      <c r="N2404" s="30"/>
      <c r="O2404" s="30"/>
      <c r="P2404" s="30"/>
      <c r="Q2404" s="35">
        <v>92.0</v>
      </c>
      <c r="R2404" s="32">
        <v>43698.0</v>
      </c>
      <c r="S2404" s="32">
        <v>42086.0</v>
      </c>
      <c r="T2404" s="29"/>
      <c r="U2404" s="33"/>
      <c r="V2404" s="1"/>
    </row>
    <row r="2405" ht="24.0" customHeight="1">
      <c r="A2405" s="1"/>
      <c r="B2405" s="24" t="str">
        <f>HYPERLINK("https://www.compass.com/listing/44-prospect-park-west-unit-b7-brooklyn-ny-11215/1231301614002499409/view?agent_id=610d3f3370540700019b0833","44 Prospect Park West, Unit B7")</f>
        <v>44 Prospect Park West, Unit B7</v>
      </c>
      <c r="C2405" s="25" t="s">
        <v>365</v>
      </c>
      <c r="D2405" s="26" t="s">
        <v>23</v>
      </c>
      <c r="E2405" s="27" t="str">
        <f>HYPERLINK("https://www.compass.com/building/44-prospect-park-west-brooklyn-ny-11215/282504550911393733/","44 Prospect Park West")</f>
        <v>44 Prospect Park West</v>
      </c>
      <c r="F2405" s="25" t="s">
        <v>40</v>
      </c>
      <c r="G2405" s="28">
        <v>1150000.0</v>
      </c>
      <c r="H2405" s="29"/>
      <c r="I2405" s="28">
        <v>1753.0</v>
      </c>
      <c r="J2405" s="28">
        <v>0.0</v>
      </c>
      <c r="K2405" s="25" t="s">
        <v>25</v>
      </c>
      <c r="L2405" s="26">
        <v>5.0</v>
      </c>
      <c r="M2405" s="26">
        <v>2.0</v>
      </c>
      <c r="N2405" s="26">
        <v>1.0</v>
      </c>
      <c r="O2405" s="30"/>
      <c r="P2405" s="30"/>
      <c r="Q2405" s="35">
        <v>38.0</v>
      </c>
      <c r="R2405" s="32">
        <v>44989.0</v>
      </c>
      <c r="S2405" s="32">
        <v>44950.0</v>
      </c>
      <c r="T2405" s="29"/>
      <c r="U2405" s="33"/>
      <c r="V2405" s="1"/>
    </row>
    <row r="2406" ht="24.0" customHeight="1">
      <c r="A2406" s="1"/>
      <c r="B2406" s="24" t="str">
        <f>HYPERLINK("https://www.compass.com/listing/330-west-72nd-street-unit-8d-manhattan-ny-10023/1592375257307948193/view?agent_id=610d3f3370540700019b0833","330 West 72nd Street, Unit 8D")</f>
        <v>330 West 72nd Street, Unit 8D</v>
      </c>
      <c r="C2406" s="25" t="s">
        <v>365</v>
      </c>
      <c r="D2406" s="26" t="s">
        <v>23</v>
      </c>
      <c r="E2406" s="27" t="str">
        <f>HYPERLINK("https://www.compass.com/building/33072-owners-corp-manhattan-ny/281960031258224933/","33072 Owners Corp")</f>
        <v>33072 Owners Corp</v>
      </c>
      <c r="F2406" s="25" t="s">
        <v>29</v>
      </c>
      <c r="G2406" s="28">
        <v>975000.0</v>
      </c>
      <c r="H2406" s="29"/>
      <c r="I2406" s="28">
        <v>2236.0</v>
      </c>
      <c r="J2406" s="28">
        <v>0.0</v>
      </c>
      <c r="K2406" s="25" t="s">
        <v>25</v>
      </c>
      <c r="L2406" s="26">
        <v>4.0</v>
      </c>
      <c r="M2406" s="26">
        <v>2.0</v>
      </c>
      <c r="N2406" s="26">
        <v>1.0</v>
      </c>
      <c r="O2406" s="26">
        <v>0.0</v>
      </c>
      <c r="P2406" s="30"/>
      <c r="Q2406" s="35">
        <v>132.0</v>
      </c>
      <c r="R2406" s="32">
        <v>45597.0</v>
      </c>
      <c r="S2406" s="32">
        <v>45462.0</v>
      </c>
      <c r="T2406" s="29"/>
      <c r="U2406" s="33"/>
      <c r="V2406" s="1"/>
    </row>
    <row r="2407" ht="24.0" customHeight="1">
      <c r="A2407" s="1"/>
      <c r="B2407" s="24" t="str">
        <f>HYPERLINK("https://www.compass.com/listing/15-union-square-west-unit-6d-manhattan-ny-10003/399123996858649361/view?agent_id=610d3f3370540700019b0833","15 Union Square West, Unit 6D")</f>
        <v>15 Union Square West, Unit 6D</v>
      </c>
      <c r="C2407" s="25" t="s">
        <v>364</v>
      </c>
      <c r="D2407" s="26" t="s">
        <v>23</v>
      </c>
      <c r="E2407" s="27" t="str">
        <f>HYPERLINK("https://www.compass.com/building/15-union-square-west-manhattan-ny/281889842835491205/","15 Union Square West")</f>
        <v>15 Union Square West</v>
      </c>
      <c r="F2407" s="25" t="s">
        <v>115</v>
      </c>
      <c r="G2407" s="28">
        <v>6000000.0</v>
      </c>
      <c r="H2407" s="28">
        <v>2629.0</v>
      </c>
      <c r="I2407" s="28">
        <v>7245.0</v>
      </c>
      <c r="J2407" s="28">
        <v>38700.0</v>
      </c>
      <c r="K2407" s="25" t="s">
        <v>28</v>
      </c>
      <c r="L2407" s="26">
        <v>4.0</v>
      </c>
      <c r="M2407" s="26">
        <v>2.0</v>
      </c>
      <c r="N2407" s="26">
        <v>0.0</v>
      </c>
      <c r="O2407" s="26">
        <v>0.0</v>
      </c>
      <c r="P2407" s="34">
        <v>2282.0</v>
      </c>
      <c r="Q2407" s="35">
        <v>147.0</v>
      </c>
      <c r="R2407" s="32">
        <v>45636.0</v>
      </c>
      <c r="S2407" s="32">
        <v>42233.0</v>
      </c>
      <c r="T2407" s="29"/>
      <c r="U2407" s="33"/>
      <c r="V2407" s="1"/>
    </row>
    <row r="2408" ht="24.0" customHeight="1">
      <c r="A2408" s="1"/>
      <c r="B2408" s="24" t="str">
        <f>HYPERLINK("https://www.compass.com/listing/29-west-82nd-street-unit-d-manhattan-ny-10024/390014691811990481/view?agent_id=610d3f3370540700019b0833","29 West 82nd Street, Unit D")</f>
        <v>29 West 82nd Street, Unit D</v>
      </c>
      <c r="C2408" s="25" t="s">
        <v>364</v>
      </c>
      <c r="D2408" s="26" t="s">
        <v>23</v>
      </c>
      <c r="E2408" s="27" t="str">
        <f>HYPERLINK("https://www.compass.com/building/29-w-82nd-st-manhattan-ny-10024/281964757081208661/","29 W 82nd St")</f>
        <v>29 W 82nd St</v>
      </c>
      <c r="F2408" s="25" t="s">
        <v>29</v>
      </c>
      <c r="G2408" s="28">
        <v>1595000.0</v>
      </c>
      <c r="H2408" s="29"/>
      <c r="I2408" s="28">
        <v>2474.0</v>
      </c>
      <c r="J2408" s="28">
        <v>16264.0</v>
      </c>
      <c r="K2408" s="25" t="s">
        <v>28</v>
      </c>
      <c r="L2408" s="26">
        <v>4.0</v>
      </c>
      <c r="M2408" s="26">
        <v>2.0</v>
      </c>
      <c r="N2408" s="26">
        <v>1.0</v>
      </c>
      <c r="O2408" s="26">
        <v>0.0</v>
      </c>
      <c r="P2408" s="30"/>
      <c r="Q2408" s="35">
        <v>0.0</v>
      </c>
      <c r="R2408" s="32">
        <v>43851.0</v>
      </c>
      <c r="S2408" s="32">
        <v>43803.0</v>
      </c>
      <c r="T2408" s="29"/>
      <c r="U2408" s="33"/>
      <c r="V2408" s="1"/>
    </row>
    <row r="2409" ht="24.0" customHeight="1">
      <c r="A2409" s="1"/>
      <c r="B2409" s="24" t="str">
        <f>HYPERLINK("https://www.compass.com/listing/345-west-70th-street-unit-5c-manhattan-ny-10023/4852311951767781201/view?agent_id=610d3f3370540700019b0833","345 West 70th Street, Unit 5C")</f>
        <v>345 West 70th Street, Unit 5C</v>
      </c>
      <c r="C2409" s="25" t="s">
        <v>364</v>
      </c>
      <c r="D2409" s="26" t="s">
        <v>23</v>
      </c>
      <c r="E2409" s="27" t="str">
        <f>HYPERLINK("https://www.compass.com/building/345-w-70th-st-manhattan-ny-10023/281960274032929269/","345 W 70th St")</f>
        <v>345 W 70th St</v>
      </c>
      <c r="F2409" s="25" t="s">
        <v>29</v>
      </c>
      <c r="G2409" s="28">
        <v>1200000.0</v>
      </c>
      <c r="H2409" s="28">
        <v>1091.0</v>
      </c>
      <c r="I2409" s="28">
        <v>1546.0</v>
      </c>
      <c r="J2409" s="29"/>
      <c r="K2409" s="25" t="s">
        <v>25</v>
      </c>
      <c r="L2409" s="26">
        <v>5.0</v>
      </c>
      <c r="M2409" s="26">
        <v>2.0</v>
      </c>
      <c r="N2409" s="26">
        <v>0.0</v>
      </c>
      <c r="O2409" s="26">
        <v>0.0</v>
      </c>
      <c r="P2409" s="34">
        <v>1100.0</v>
      </c>
      <c r="Q2409" s="35">
        <v>286.0</v>
      </c>
      <c r="R2409" s="32">
        <v>44581.0</v>
      </c>
      <c r="S2409" s="32">
        <v>41185.0</v>
      </c>
      <c r="T2409" s="29"/>
      <c r="U2409" s="33"/>
      <c r="V2409" s="1"/>
    </row>
    <row r="2410" ht="24.0" customHeight="1">
      <c r="A2410" s="1"/>
      <c r="B2410" s="24" t="str">
        <f>HYPERLINK("https://www.compass.com/listing/211-elizabeth-street-unit-ph-manhattan-ny-10012/1838893681135058121/view?agent_id=610d3f3370540700019b0833","211 Elizabeth Street, Unit PH")</f>
        <v>211 Elizabeth Street, Unit PH</v>
      </c>
      <c r="C2410" s="25" t="s">
        <v>364</v>
      </c>
      <c r="D2410" s="26" t="s">
        <v>23</v>
      </c>
      <c r="E2410" s="27" t="str">
        <f>HYPERLINK("https://www.compass.com/building/211-elizabeth-st-manhattan-ny-10012/281914079881229701/","211 Elizabeth St")</f>
        <v>211 Elizabeth St</v>
      </c>
      <c r="F2410" s="25" t="s">
        <v>101</v>
      </c>
      <c r="G2410" s="28">
        <v>1.025E7</v>
      </c>
      <c r="H2410" s="28">
        <v>4830.0</v>
      </c>
      <c r="I2410" s="28">
        <v>7456.0</v>
      </c>
      <c r="J2410" s="28">
        <v>28104.0</v>
      </c>
      <c r="K2410" s="25" t="s">
        <v>28</v>
      </c>
      <c r="L2410" s="26">
        <v>5.0</v>
      </c>
      <c r="M2410" s="26">
        <v>2.0</v>
      </c>
      <c r="N2410" s="26">
        <v>0.0</v>
      </c>
      <c r="O2410" s="26">
        <v>0.0</v>
      </c>
      <c r="P2410" s="34">
        <v>2122.0</v>
      </c>
      <c r="Q2410" s="35">
        <v>119.0</v>
      </c>
      <c r="R2410" s="32">
        <v>44581.0</v>
      </c>
      <c r="S2410" s="32">
        <v>43052.0</v>
      </c>
      <c r="T2410" s="29"/>
      <c r="U2410" s="33"/>
      <c r="V2410" s="1"/>
    </row>
    <row r="2411" ht="24.0" customHeight="1">
      <c r="A2411" s="1"/>
      <c r="B2411" s="24" t="str">
        <f>HYPERLINK("https://www.compass.com/listing/306-2nd-st-unit-5b-brooklyn-ny-11215/167199215741584129/view?agent_id=610d3f3370540700019b0833","306 2nd St, Unit 5B")</f>
        <v>306 2nd St, Unit 5B</v>
      </c>
      <c r="C2411" s="25" t="s">
        <v>364</v>
      </c>
      <c r="D2411" s="26" t="s">
        <v>23</v>
      </c>
      <c r="E2411" s="27" t="str">
        <f>HYPERLINK("https://www.compass.com/building/306-2nd-st-brooklyn-ny-11215/294840524489823733/","306 2nd St")</f>
        <v>306 2nd St</v>
      </c>
      <c r="F2411" s="25" t="s">
        <v>40</v>
      </c>
      <c r="G2411" s="28">
        <v>1285000.0</v>
      </c>
      <c r="H2411" s="28">
        <v>1297.0</v>
      </c>
      <c r="I2411" s="28">
        <v>563.0</v>
      </c>
      <c r="J2411" s="28">
        <v>780.0</v>
      </c>
      <c r="K2411" s="25" t="s">
        <v>28</v>
      </c>
      <c r="L2411" s="26">
        <v>3.0</v>
      </c>
      <c r="M2411" s="26">
        <v>2.0</v>
      </c>
      <c r="N2411" s="26">
        <v>1.0</v>
      </c>
      <c r="O2411" s="30"/>
      <c r="P2411" s="26">
        <v>991.0</v>
      </c>
      <c r="Q2411" s="35">
        <v>29.0</v>
      </c>
      <c r="R2411" s="32">
        <v>43515.0</v>
      </c>
      <c r="S2411" s="32">
        <v>43486.0</v>
      </c>
      <c r="T2411" s="29"/>
      <c r="U2411" s="33"/>
      <c r="V2411" s="1"/>
    </row>
    <row r="2412" ht="24.0" customHeight="1">
      <c r="A2412" s="1"/>
      <c r="B2412" s="24" t="str">
        <f>HYPERLINK("https://www.compass.com/listing/39-west-87th-street-unit-5-manhattan-ny-10024/50952227245908961/view?agent_id=610d3f3370540700019b0833","39 West 87th Street, Unit 5")</f>
        <v>39 West 87th Street, Unit 5</v>
      </c>
      <c r="C2412" s="25" t="s">
        <v>370</v>
      </c>
      <c r="D2412" s="26" t="s">
        <v>23</v>
      </c>
      <c r="E2412" s="27" t="str">
        <f>HYPERLINK("https://www.compass.com/building/39-w-87th-st-manhattan-ny-10024/281966415257353637/","39 W 87th St")</f>
        <v>39 W 87th St</v>
      </c>
      <c r="F2412" s="25" t="s">
        <v>29</v>
      </c>
      <c r="G2412" s="28">
        <v>1195000.0</v>
      </c>
      <c r="H2412" s="28">
        <v>996.0</v>
      </c>
      <c r="I2412" s="28">
        <v>1733.0</v>
      </c>
      <c r="J2412" s="29"/>
      <c r="K2412" s="25" t="s">
        <v>25</v>
      </c>
      <c r="L2412" s="26">
        <v>4.0</v>
      </c>
      <c r="M2412" s="26">
        <v>2.0</v>
      </c>
      <c r="N2412" s="26">
        <v>0.0</v>
      </c>
      <c r="O2412" s="26">
        <v>0.0</v>
      </c>
      <c r="P2412" s="34">
        <v>1200.0</v>
      </c>
      <c r="Q2412" s="35">
        <v>104.0</v>
      </c>
      <c r="R2412" s="32">
        <v>45636.0</v>
      </c>
      <c r="S2412" s="32">
        <v>42983.0</v>
      </c>
      <c r="T2412" s="29"/>
      <c r="U2412" s="33"/>
      <c r="V2412" s="1"/>
    </row>
    <row r="2413" ht="24.0" customHeight="1">
      <c r="A2413" s="1"/>
      <c r="B2413" s="24" t="str">
        <f>HYPERLINK("https://www.compass.com/listing/412-7th-avenue-unit-2f-brooklyn-ny-11215/866118074746727529/view?agent_id=610d3f3370540700019b0833","412 7th Avenue, Unit 2F")</f>
        <v>412 7th Avenue, Unit 2F</v>
      </c>
      <c r="C2413" s="25" t="s">
        <v>365</v>
      </c>
      <c r="D2413" s="26" t="s">
        <v>23</v>
      </c>
      <c r="E2413" s="27" t="str">
        <f>HYPERLINK("https://www.compass.com/building/412-7th-ave-brooklyn-ny-11215/282511895607468805/","412 7th Ave")</f>
        <v>412 7th Ave</v>
      </c>
      <c r="F2413" s="25" t="s">
        <v>40</v>
      </c>
      <c r="G2413" s="28">
        <v>799000.0</v>
      </c>
      <c r="H2413" s="29"/>
      <c r="I2413" s="28">
        <v>792.0</v>
      </c>
      <c r="J2413" s="28">
        <v>0.0</v>
      </c>
      <c r="K2413" s="25" t="s">
        <v>25</v>
      </c>
      <c r="L2413" s="26">
        <v>4.0</v>
      </c>
      <c r="M2413" s="26">
        <v>2.0</v>
      </c>
      <c r="N2413" s="26">
        <v>1.0</v>
      </c>
      <c r="O2413" s="26">
        <v>0.0</v>
      </c>
      <c r="P2413" s="30"/>
      <c r="Q2413" s="35">
        <v>39.0</v>
      </c>
      <c r="R2413" s="32">
        <v>44486.0</v>
      </c>
      <c r="S2413" s="32">
        <v>44447.0</v>
      </c>
      <c r="T2413" s="29"/>
      <c r="U2413" s="33"/>
      <c r="V2413" s="1"/>
    </row>
    <row r="2414" ht="24.0" customHeight="1">
      <c r="A2414" s="1"/>
      <c r="B2414" s="24" t="str">
        <f>HYPERLINK("https://www.compass.com/listing/221-west-82nd-street-unit-15a-manhattan-ny-10024/29400527544607457/view?agent_id=610d3f3370540700019b0833","221 West 82nd Street, Unit 15A")</f>
        <v>221 West 82nd Street, Unit 15A</v>
      </c>
      <c r="C2414" s="25" t="s">
        <v>364</v>
      </c>
      <c r="D2414" s="26" t="s">
        <v>23</v>
      </c>
      <c r="E2414" s="27" t="str">
        <f>HYPERLINK("https://www.compass.com/building/221-w-82nd-st-manhattan-ny-10024/292869560539893077/","221 W 82nd St")</f>
        <v>221 W 82nd St</v>
      </c>
      <c r="F2414" s="25" t="s">
        <v>29</v>
      </c>
      <c r="G2414" s="28">
        <v>1345000.0</v>
      </c>
      <c r="H2414" s="29"/>
      <c r="I2414" s="28">
        <v>1834.0</v>
      </c>
      <c r="J2414" s="29"/>
      <c r="K2414" s="25" t="s">
        <v>110</v>
      </c>
      <c r="L2414" s="26">
        <v>4.0</v>
      </c>
      <c r="M2414" s="26">
        <v>2.0</v>
      </c>
      <c r="N2414" s="26">
        <v>0.0</v>
      </c>
      <c r="O2414" s="26">
        <v>0.0</v>
      </c>
      <c r="P2414" s="30"/>
      <c r="Q2414" s="35">
        <v>74.0</v>
      </c>
      <c r="R2414" s="32">
        <v>45636.0</v>
      </c>
      <c r="S2414" s="32">
        <v>42271.0</v>
      </c>
      <c r="T2414" s="29"/>
      <c r="U2414" s="33"/>
      <c r="V2414" s="1"/>
    </row>
    <row r="2415" ht="24.0" customHeight="1">
      <c r="A2415" s="1"/>
      <c r="B2415" s="24" t="str">
        <f>HYPERLINK("https://www.compass.com/listing/269-clinton-avenue-unit-2c-3c-brooklyn-ny-11205/1182641810525622137/view?agent_id=610d3f3370540700019b0833","269 Clinton Avenue, Unit 2C/3C")</f>
        <v>269 Clinton Avenue, Unit 2C/3C</v>
      </c>
      <c r="C2415" s="25" t="s">
        <v>365</v>
      </c>
      <c r="D2415" s="26" t="s">
        <v>23</v>
      </c>
      <c r="E2415" s="27" t="str">
        <f>HYPERLINK("https://www.compass.com/building/269-clinton-ave-brooklyn-ny-11205/282499308056556245/","269 Clinton Ave")</f>
        <v>269 Clinton Ave</v>
      </c>
      <c r="F2415" s="25" t="s">
        <v>30</v>
      </c>
      <c r="G2415" s="28">
        <v>1350000.0</v>
      </c>
      <c r="H2415" s="29"/>
      <c r="I2415" s="28">
        <v>1477.0</v>
      </c>
      <c r="J2415" s="28">
        <v>0.0</v>
      </c>
      <c r="K2415" s="25" t="s">
        <v>25</v>
      </c>
      <c r="L2415" s="26">
        <v>1.0</v>
      </c>
      <c r="M2415" s="26">
        <v>2.0</v>
      </c>
      <c r="N2415" s="26">
        <v>1.0</v>
      </c>
      <c r="O2415" s="26">
        <v>0.0</v>
      </c>
      <c r="P2415" s="30"/>
      <c r="Q2415" s="35">
        <v>19.0</v>
      </c>
      <c r="R2415" s="32">
        <v>44991.0</v>
      </c>
      <c r="S2415" s="32">
        <v>44883.0</v>
      </c>
      <c r="T2415" s="29"/>
      <c r="U2415" s="33"/>
      <c r="V2415" s="1"/>
    </row>
    <row r="2416" ht="24.0" customHeight="1">
      <c r="A2416" s="1"/>
      <c r="B2416" s="24" t="str">
        <f>HYPERLINK("https://www.compass.com/listing/90-prince-street-unit-2s-manhattan-ny-10012/4852287943638793601/view?agent_id=610d3f3370540700019b0833","90 Prince Street, Unit 2S")</f>
        <v>90 Prince Street, Unit 2S</v>
      </c>
      <c r="C2416" s="25" t="s">
        <v>364</v>
      </c>
      <c r="D2416" s="26" t="s">
        <v>23</v>
      </c>
      <c r="E2416" s="27" t="str">
        <f>HYPERLINK("https://www.compass.com/building/90-prince-st-manhattan-ny-10012/281916169902913765/","90 Prince St")</f>
        <v>90 Prince St</v>
      </c>
      <c r="F2416" s="25" t="s">
        <v>53</v>
      </c>
      <c r="G2416" s="28">
        <v>1755000.0</v>
      </c>
      <c r="H2416" s="28">
        <v>1254.0</v>
      </c>
      <c r="I2416" s="28">
        <v>1366.0</v>
      </c>
      <c r="J2416" s="28">
        <v>8640.0</v>
      </c>
      <c r="K2416" s="25" t="s">
        <v>28</v>
      </c>
      <c r="L2416" s="26">
        <v>5.0</v>
      </c>
      <c r="M2416" s="26">
        <v>2.0</v>
      </c>
      <c r="N2416" s="26">
        <v>0.0</v>
      </c>
      <c r="O2416" s="26">
        <v>0.0</v>
      </c>
      <c r="P2416" s="34">
        <v>1400.0</v>
      </c>
      <c r="Q2416" s="35">
        <v>57.0</v>
      </c>
      <c r="R2416" s="32">
        <v>45636.0</v>
      </c>
      <c r="S2416" s="32">
        <v>41591.0</v>
      </c>
      <c r="T2416" s="29"/>
      <c r="U2416" s="33"/>
      <c r="V2416" s="1"/>
    </row>
    <row r="2417" ht="24.0" customHeight="1">
      <c r="A2417" s="1"/>
      <c r="B2417" s="24" t="str">
        <f>HYPERLINK("https://www.compass.com/listing/328-west-96th-street-unit-5d-manhattan-ny-10025/304932222004020353/view?agent_id=610d3f3370540700019b0833","328 West 96th Street, Unit 5D")</f>
        <v>328 West 96th Street, Unit 5D</v>
      </c>
      <c r="C2417" s="25" t="s">
        <v>370</v>
      </c>
      <c r="D2417" s="26" t="s">
        <v>23</v>
      </c>
      <c r="E2417" s="27" t="str">
        <f>HYPERLINK("https://www.compass.com/building/328-w-96th-st-manhattan-ny-10025/281971370575879445/","328 W 96th St")</f>
        <v>328 W 96th St</v>
      </c>
      <c r="F2417" s="25" t="s">
        <v>29</v>
      </c>
      <c r="G2417" s="28">
        <v>599999.0</v>
      </c>
      <c r="H2417" s="29"/>
      <c r="I2417" s="28">
        <v>1154.0</v>
      </c>
      <c r="J2417" s="28">
        <v>0.0</v>
      </c>
      <c r="K2417" s="25" t="s">
        <v>25</v>
      </c>
      <c r="L2417" s="26">
        <v>4.0</v>
      </c>
      <c r="M2417" s="26">
        <v>2.0</v>
      </c>
      <c r="N2417" s="26">
        <v>1.0</v>
      </c>
      <c r="O2417" s="30"/>
      <c r="P2417" s="30"/>
      <c r="Q2417" s="35">
        <v>183.0</v>
      </c>
      <c r="R2417" s="32">
        <v>43952.0</v>
      </c>
      <c r="S2417" s="32">
        <v>43677.0</v>
      </c>
      <c r="T2417" s="29"/>
      <c r="U2417" s="33"/>
      <c r="V2417" s="1"/>
    </row>
    <row r="2418" ht="24.0" customHeight="1">
      <c r="A2418" s="1"/>
      <c r="B2418" s="24" t="str">
        <f>HYPERLINK("https://www.compass.com/listing/1676-8th-avenue-brooklyn-ny-11215/1838972436784534905/view?agent_id=610d3f3370540700019b0833","1676 8th Avenue")</f>
        <v>1676 8th Avenue</v>
      </c>
      <c r="C2418" s="25" t="s">
        <v>364</v>
      </c>
      <c r="D2418" s="26" t="s">
        <v>23</v>
      </c>
      <c r="E2418" s="27" t="str">
        <f>HYPERLINK("https://www.compass.com/building/1676-8th-ave-brooklyn-ny-11215/282440834937386197/","1676 8th Ave")</f>
        <v>1676 8th Ave</v>
      </c>
      <c r="F2418" s="25" t="s">
        <v>40</v>
      </c>
      <c r="G2418" s="28">
        <v>1250000.0</v>
      </c>
      <c r="H2418" s="29"/>
      <c r="I2418" s="28">
        <v>0.0</v>
      </c>
      <c r="J2418" s="29"/>
      <c r="K2418" s="25" t="s">
        <v>159</v>
      </c>
      <c r="L2418" s="26">
        <v>6.0</v>
      </c>
      <c r="M2418" s="26">
        <v>2.0</v>
      </c>
      <c r="N2418" s="26">
        <v>0.0</v>
      </c>
      <c r="O2418" s="26">
        <v>0.0</v>
      </c>
      <c r="P2418" s="30"/>
      <c r="Q2418" s="35">
        <v>66.0</v>
      </c>
      <c r="R2418" s="32">
        <v>45636.0</v>
      </c>
      <c r="S2418" s="32">
        <v>42901.0</v>
      </c>
      <c r="T2418" s="29"/>
      <c r="U2418" s="33"/>
      <c r="V2418" s="1"/>
    </row>
    <row r="2419" ht="24.0" customHeight="1">
      <c r="A2419" s="1"/>
      <c r="B2419" s="24" t="str">
        <f>HYPERLINK("https://www.compass.com/listing/18-mercer-street-unit-2-manhattan-ny-10013/722507506547112913/view?agent_id=610d3f3370540700019b0833","18 Mercer Street, Unit 2")</f>
        <v>18 Mercer Street, Unit 2</v>
      </c>
      <c r="C2419" s="25" t="s">
        <v>364</v>
      </c>
      <c r="D2419" s="26" t="s">
        <v>23</v>
      </c>
      <c r="E2419" s="27" t="str">
        <f>HYPERLINK("https://www.compass.com/building/18-mercer-st-manhattan-ny-10013/281917774056424917/","18 Mercer St")</f>
        <v>18 Mercer St</v>
      </c>
      <c r="F2419" s="25" t="s">
        <v>53</v>
      </c>
      <c r="G2419" s="28">
        <v>2500000.0</v>
      </c>
      <c r="H2419" s="29"/>
      <c r="I2419" s="28">
        <v>2908.0</v>
      </c>
      <c r="J2419" s="28">
        <v>0.0</v>
      </c>
      <c r="K2419" s="25" t="s">
        <v>25</v>
      </c>
      <c r="L2419" s="26">
        <v>5.0</v>
      </c>
      <c r="M2419" s="26">
        <v>2.0</v>
      </c>
      <c r="N2419" s="26">
        <v>1.0</v>
      </c>
      <c r="O2419" s="26">
        <v>0.0</v>
      </c>
      <c r="P2419" s="30"/>
      <c r="Q2419" s="35">
        <v>183.0</v>
      </c>
      <c r="R2419" s="32">
        <v>44433.0</v>
      </c>
      <c r="S2419" s="32">
        <v>44249.0</v>
      </c>
      <c r="T2419" s="29"/>
      <c r="U2419" s="33"/>
      <c r="V2419" s="1"/>
    </row>
    <row r="2420" ht="24.0" customHeight="1">
      <c r="A2420" s="1"/>
      <c r="B2420" s="24" t="str">
        <f>HYPERLINK("https://www.compass.com/listing/304-west-89th-street-unit-8a-manhattan-ny-10024/789142192545190753/view?agent_id=610d3f3370540700019b0833","304 West 89th Street, Unit 8A")</f>
        <v>304 West 89th Street, Unit 8A</v>
      </c>
      <c r="C2420" s="25" t="s">
        <v>365</v>
      </c>
      <c r="D2420" s="26" t="s">
        <v>23</v>
      </c>
      <c r="E2420" s="27" t="str">
        <f>HYPERLINK("https://www.compass.com/building/304-w-89th-st-manhattan-ny-10024/281964855815126645/","304 W 89th St")</f>
        <v>304 W 89th St</v>
      </c>
      <c r="F2420" s="25" t="s">
        <v>29</v>
      </c>
      <c r="G2420" s="28">
        <v>1125000.0</v>
      </c>
      <c r="H2420" s="29"/>
      <c r="I2420" s="28">
        <v>1995.0</v>
      </c>
      <c r="J2420" s="28">
        <v>0.0</v>
      </c>
      <c r="K2420" s="25" t="s">
        <v>25</v>
      </c>
      <c r="L2420" s="26">
        <v>5.0</v>
      </c>
      <c r="M2420" s="26">
        <v>2.0</v>
      </c>
      <c r="N2420" s="26">
        <v>1.0</v>
      </c>
      <c r="O2420" s="30"/>
      <c r="P2420" s="30"/>
      <c r="Q2420" s="35">
        <v>27.0</v>
      </c>
      <c r="R2420" s="32">
        <v>44368.0</v>
      </c>
      <c r="S2420" s="32">
        <v>44340.0</v>
      </c>
      <c r="T2420" s="29"/>
      <c r="U2420" s="33"/>
      <c r="V2420" s="1"/>
    </row>
    <row r="2421" ht="24.0" customHeight="1">
      <c r="A2421" s="1"/>
      <c r="B2421" s="24" t="str">
        <f>HYPERLINK("https://www.compass.com/listing/327-central-park-west-unit-3c4c-manhattan-ny-10025/1809620612092267009/view?agent_id=610d3f3370540700019b0833","327 Central Park West, Unit 3C4C")</f>
        <v>327 Central Park West, Unit 3C4C</v>
      </c>
      <c r="C2421" s="25" t="s">
        <v>370</v>
      </c>
      <c r="D2421" s="26" t="s">
        <v>23</v>
      </c>
      <c r="E2421" s="27" t="str">
        <f>HYPERLINK("https://www.compass.com/building/327-central-park-w-manhattan-ny-10025/281925913027845637/","327 Central Park W")</f>
        <v>327 Central Park W</v>
      </c>
      <c r="F2421" s="25" t="s">
        <v>29</v>
      </c>
      <c r="G2421" s="28">
        <v>2050000.0</v>
      </c>
      <c r="H2421" s="29"/>
      <c r="I2421" s="28">
        <v>1840.0</v>
      </c>
      <c r="J2421" s="28">
        <v>5040.0</v>
      </c>
      <c r="K2421" s="25" t="s">
        <v>28</v>
      </c>
      <c r="L2421" s="26">
        <v>5.0</v>
      </c>
      <c r="M2421" s="26">
        <v>2.0</v>
      </c>
      <c r="N2421" s="26">
        <v>0.0</v>
      </c>
      <c r="O2421" s="26">
        <v>0.0</v>
      </c>
      <c r="P2421" s="30"/>
      <c r="Q2421" s="35">
        <v>0.0</v>
      </c>
      <c r="R2421" s="32">
        <v>44581.0</v>
      </c>
      <c r="S2421" s="32">
        <v>41538.0</v>
      </c>
      <c r="T2421" s="29"/>
      <c r="U2421" s="33"/>
      <c r="V2421" s="1"/>
    </row>
    <row r="2422" ht="24.0" customHeight="1">
      <c r="A2422" s="1"/>
      <c r="B2422" s="24" t="str">
        <f>HYPERLINK("https://www.compass.com/listing/135-clinton-avenue-unit-2-brooklyn-ny-11205/75133568271109937/view?agent_id=610d3f3370540700019b0833","135 Clinton Avenue, Unit 2")</f>
        <v>135 Clinton Avenue, Unit 2</v>
      </c>
      <c r="C2422" s="25" t="s">
        <v>364</v>
      </c>
      <c r="D2422" s="26" t="s">
        <v>23</v>
      </c>
      <c r="E2422" s="27" t="str">
        <f>HYPERLINK("https://www.compass.com/building/135-clinton-ave-brooklyn-ny-11205/282501818573993061/","135 Clinton Ave")</f>
        <v>135 Clinton Ave</v>
      </c>
      <c r="F2422" s="25" t="s">
        <v>30</v>
      </c>
      <c r="G2422" s="28">
        <v>1400000.0</v>
      </c>
      <c r="H2422" s="29"/>
      <c r="I2422" s="28">
        <v>1067.0</v>
      </c>
      <c r="J2422" s="29"/>
      <c r="K2422" s="25" t="s">
        <v>25</v>
      </c>
      <c r="L2422" s="26">
        <v>5.0</v>
      </c>
      <c r="M2422" s="26">
        <v>2.0</v>
      </c>
      <c r="N2422" s="26">
        <v>0.0</v>
      </c>
      <c r="O2422" s="26">
        <v>0.0</v>
      </c>
      <c r="P2422" s="30"/>
      <c r="Q2422" s="35">
        <v>133.0</v>
      </c>
      <c r="R2422" s="32">
        <v>44581.0</v>
      </c>
      <c r="S2422" s="32">
        <v>41212.0</v>
      </c>
      <c r="T2422" s="29"/>
      <c r="U2422" s="33"/>
      <c r="V2422" s="1"/>
    </row>
    <row r="2423" ht="24.0" customHeight="1">
      <c r="A2423" s="1"/>
      <c r="B2423" s="24" t="str">
        <f>HYPERLINK("https://www.compass.com/listing/570-7th-street-unit-4d-brooklyn-ny-11215/841512003113621769/view?agent_id=610d3f3370540700019b0833","570 7th Street, Unit 4D")</f>
        <v>570 7th Street, Unit 4D</v>
      </c>
      <c r="C2423" s="25" t="s">
        <v>364</v>
      </c>
      <c r="D2423" s="26" t="s">
        <v>23</v>
      </c>
      <c r="E2423" s="27" t="str">
        <f>HYPERLINK("https://www.compass.com/building/570-7th-st-brooklyn-ny-11215/282507507031690917/","570 7th St")</f>
        <v>570 7th St</v>
      </c>
      <c r="F2423" s="25" t="s">
        <v>40</v>
      </c>
      <c r="G2423" s="28">
        <v>995000.0</v>
      </c>
      <c r="H2423" s="29"/>
      <c r="I2423" s="28">
        <v>853.0</v>
      </c>
      <c r="J2423" s="28">
        <v>5934.0</v>
      </c>
      <c r="K2423" s="25" t="s">
        <v>28</v>
      </c>
      <c r="L2423" s="26">
        <v>4.0</v>
      </c>
      <c r="M2423" s="26">
        <v>2.0</v>
      </c>
      <c r="N2423" s="26">
        <v>1.0</v>
      </c>
      <c r="O2423" s="26">
        <v>0.0</v>
      </c>
      <c r="P2423" s="30"/>
      <c r="Q2423" s="35">
        <v>21.0</v>
      </c>
      <c r="R2423" s="32">
        <v>45636.0</v>
      </c>
      <c r="S2423" s="32">
        <v>43411.0</v>
      </c>
      <c r="T2423" s="29"/>
      <c r="U2423" s="33"/>
      <c r="V2423" s="1"/>
    </row>
    <row r="2424" ht="24.0" customHeight="1">
      <c r="A2424" s="1"/>
      <c r="B2424" s="24" t="str">
        <f>HYPERLINK("https://www.compass.com/listing/328-west-96th-street-unit-5c-manhattan-ny-10025/304923191600399393/view?agent_id=610d3f3370540700019b0833","328 West 96th Street, Unit 5C")</f>
        <v>328 West 96th Street, Unit 5C</v>
      </c>
      <c r="C2424" s="25" t="s">
        <v>370</v>
      </c>
      <c r="D2424" s="26" t="s">
        <v>23</v>
      </c>
      <c r="E2424" s="27" t="str">
        <f>HYPERLINK("https://www.compass.com/building/328-w-96th-st-manhattan-ny-10025/281971370575879445/","328 W 96th St")</f>
        <v>328 W 96th St</v>
      </c>
      <c r="F2424" s="25" t="s">
        <v>29</v>
      </c>
      <c r="G2424" s="28">
        <v>599999.0</v>
      </c>
      <c r="H2424" s="29"/>
      <c r="I2424" s="28">
        <v>1190.0</v>
      </c>
      <c r="J2424" s="28">
        <v>0.0</v>
      </c>
      <c r="K2424" s="25" t="s">
        <v>25</v>
      </c>
      <c r="L2424" s="26">
        <v>4.0</v>
      </c>
      <c r="M2424" s="26">
        <v>2.0</v>
      </c>
      <c r="N2424" s="26">
        <v>1.0</v>
      </c>
      <c r="O2424" s="30"/>
      <c r="P2424" s="30"/>
      <c r="Q2424" s="35">
        <v>232.0</v>
      </c>
      <c r="R2424" s="32">
        <v>43915.0</v>
      </c>
      <c r="S2424" s="32">
        <v>43677.0</v>
      </c>
      <c r="T2424" s="29"/>
      <c r="U2424" s="33"/>
      <c r="V2424" s="1"/>
    </row>
    <row r="2425" ht="24.0" customHeight="1">
      <c r="A2425" s="1"/>
      <c r="B2425" s="24" t="str">
        <f>HYPERLINK("https://www.compass.com/listing/301-west-89th-street-unit-1213-manhattan-ny-10024/29402349399181025/view?agent_id=610d3f3370540700019b0833","301 West 89th Street, Unit 1213")</f>
        <v>301 West 89th Street, Unit 1213</v>
      </c>
      <c r="C2425" s="25" t="s">
        <v>364</v>
      </c>
      <c r="D2425" s="26" t="s">
        <v>23</v>
      </c>
      <c r="E2425" s="27" t="str">
        <f>HYPERLINK("https://www.compass.com/building/301-w-89th-st-manhattan-ny-10024/281964818804585989/","301 W 89th St")</f>
        <v>301 W 89th St</v>
      </c>
      <c r="F2425" s="25" t="s">
        <v>29</v>
      </c>
      <c r="G2425" s="28">
        <v>1099000.0</v>
      </c>
      <c r="H2425" s="28">
        <v>1099.0</v>
      </c>
      <c r="I2425" s="28">
        <v>1468.0</v>
      </c>
      <c r="J2425" s="29"/>
      <c r="K2425" s="25" t="s">
        <v>25</v>
      </c>
      <c r="L2425" s="26">
        <v>5.0</v>
      </c>
      <c r="M2425" s="26">
        <v>2.0</v>
      </c>
      <c r="N2425" s="26">
        <v>0.0</v>
      </c>
      <c r="O2425" s="26">
        <v>0.0</v>
      </c>
      <c r="P2425" s="34">
        <v>1000.0</v>
      </c>
      <c r="Q2425" s="35">
        <v>435.0</v>
      </c>
      <c r="R2425" s="32">
        <v>45636.0</v>
      </c>
      <c r="S2425" s="32">
        <v>42443.0</v>
      </c>
      <c r="T2425" s="29"/>
      <c r="U2425" s="33"/>
      <c r="V2425" s="1"/>
    </row>
    <row r="2426" ht="24.0" customHeight="1">
      <c r="A2426" s="1"/>
      <c r="B2426" s="24" t="str">
        <f>HYPERLINK("https://www.compass.com/listing/153-clinton-avenue-unit-3d-brooklyn-ny-11205/988341757118399937/view?agent_id=610d3f3370540700019b0833","153 Clinton Avenue, Unit 3D")</f>
        <v>153 Clinton Avenue, Unit 3D</v>
      </c>
      <c r="C2426" s="25" t="s">
        <v>364</v>
      </c>
      <c r="D2426" s="26" t="s">
        <v>23</v>
      </c>
      <c r="E2426" s="27" t="str">
        <f>HYPERLINK("https://www.compass.com/building/153-clinton-ave-brooklyn-ny-11205/282501724747415013/","153 Clinton Ave")</f>
        <v>153 Clinton Ave</v>
      </c>
      <c r="F2426" s="25" t="s">
        <v>30</v>
      </c>
      <c r="G2426" s="28">
        <v>649000.0</v>
      </c>
      <c r="H2426" s="29"/>
      <c r="I2426" s="28">
        <v>780.0</v>
      </c>
      <c r="J2426" s="28">
        <v>0.0</v>
      </c>
      <c r="K2426" s="25" t="s">
        <v>25</v>
      </c>
      <c r="L2426" s="26">
        <v>4.0</v>
      </c>
      <c r="M2426" s="26">
        <v>2.0</v>
      </c>
      <c r="N2426" s="26">
        <v>1.0</v>
      </c>
      <c r="O2426" s="26">
        <v>0.0</v>
      </c>
      <c r="P2426" s="30"/>
      <c r="Q2426" s="35">
        <v>100.0</v>
      </c>
      <c r="R2426" s="32">
        <v>44776.0</v>
      </c>
      <c r="S2426" s="32">
        <v>44615.0</v>
      </c>
      <c r="T2426" s="29"/>
      <c r="U2426" s="33"/>
      <c r="V2426" s="1"/>
    </row>
    <row r="2427" ht="24.0" customHeight="1">
      <c r="A2427" s="1"/>
      <c r="B2427" s="24" t="str">
        <f>HYPERLINK("https://www.compass.com/listing/157-prospect-park-west-unit-1-brooklyn-ny-11215/1838954440494054985/view?agent_id=610d3f3370540700019b0833","157 Prospect Park West, Unit 1")</f>
        <v>157 Prospect Park West, Unit 1</v>
      </c>
      <c r="C2427" s="25" t="s">
        <v>364</v>
      </c>
      <c r="D2427" s="26" t="s">
        <v>23</v>
      </c>
      <c r="E2427" s="27" t="str">
        <f>HYPERLINK("https://www.compass.com/building/157-prospect-park-w-brooklyn-ny-11215/282498945408643365/","157 Prospect Park W")</f>
        <v>157 Prospect Park W</v>
      </c>
      <c r="F2427" s="25" t="s">
        <v>40</v>
      </c>
      <c r="G2427" s="28">
        <v>1200000.0</v>
      </c>
      <c r="H2427" s="29"/>
      <c r="I2427" s="28">
        <v>884.0</v>
      </c>
      <c r="J2427" s="29"/>
      <c r="K2427" s="25" t="s">
        <v>25</v>
      </c>
      <c r="L2427" s="26">
        <v>6.0</v>
      </c>
      <c r="M2427" s="26">
        <v>2.0</v>
      </c>
      <c r="N2427" s="26">
        <v>0.0</v>
      </c>
      <c r="O2427" s="26">
        <v>0.0</v>
      </c>
      <c r="P2427" s="30"/>
      <c r="Q2427" s="35">
        <v>972.0</v>
      </c>
      <c r="R2427" s="32">
        <v>45636.0</v>
      </c>
      <c r="S2427" s="32">
        <v>41906.0</v>
      </c>
      <c r="T2427" s="29"/>
      <c r="U2427" s="33"/>
      <c r="V2427" s="1"/>
    </row>
    <row r="2428" ht="24.0" customHeight="1">
      <c r="A2428" s="1"/>
      <c r="B2428" s="24" t="str">
        <f>HYPERLINK("https://www.compass.com/listing/418-central-park-west-unit-22-manhattan-ny-10025/1838949959148693409/view?agent_id=610d3f3370540700019b0833","418 Central Park West, Unit 22")</f>
        <v>418 Central Park West, Unit 22</v>
      </c>
      <c r="C2428" s="25" t="s">
        <v>364</v>
      </c>
      <c r="D2428" s="26" t="s">
        <v>23</v>
      </c>
      <c r="E2428" s="27" t="str">
        <f t="shared" ref="E2428:E2429" si="49">HYPERLINK("https://www.compass.com/building/418-central-park-w-manhattan-ny-10025/281925923337444885/","418 Central Park W")</f>
        <v>418 Central Park W</v>
      </c>
      <c r="F2428" s="25" t="s">
        <v>29</v>
      </c>
      <c r="G2428" s="28">
        <v>1150000.0</v>
      </c>
      <c r="H2428" s="29"/>
      <c r="I2428" s="28">
        <v>1080.0</v>
      </c>
      <c r="J2428" s="28">
        <v>5376.0</v>
      </c>
      <c r="K2428" s="25" t="s">
        <v>28</v>
      </c>
      <c r="L2428" s="26">
        <v>4.0</v>
      </c>
      <c r="M2428" s="26">
        <v>2.0</v>
      </c>
      <c r="N2428" s="26">
        <v>1.0</v>
      </c>
      <c r="O2428" s="26">
        <v>0.0</v>
      </c>
      <c r="P2428" s="30"/>
      <c r="Q2428" s="35">
        <v>1032.0</v>
      </c>
      <c r="R2428" s="32">
        <v>44581.0</v>
      </c>
      <c r="S2428" s="32">
        <v>41780.0</v>
      </c>
      <c r="T2428" s="29"/>
      <c r="U2428" s="33"/>
      <c r="V2428" s="1"/>
    </row>
    <row r="2429" ht="24.0" customHeight="1">
      <c r="A2429" s="1"/>
      <c r="B2429" s="24" t="str">
        <f>HYPERLINK("https://www.compass.com/listing/418-central-park-west-unit-22-manhattan-ny-10025/1838961631191702673/view?agent_id=610d3f3370540700019b0833","418 Central Park West, Unit 22")</f>
        <v>418 Central Park West, Unit 22</v>
      </c>
      <c r="C2429" s="25" t="s">
        <v>364</v>
      </c>
      <c r="D2429" s="26" t="s">
        <v>23</v>
      </c>
      <c r="E2429" s="27" t="str">
        <f t="shared" si="49"/>
        <v>418 Central Park W</v>
      </c>
      <c r="F2429" s="25" t="s">
        <v>29</v>
      </c>
      <c r="G2429" s="28">
        <v>1125000.0</v>
      </c>
      <c r="H2429" s="29"/>
      <c r="I2429" s="28">
        <v>1078.0</v>
      </c>
      <c r="J2429" s="28">
        <v>5352.0</v>
      </c>
      <c r="K2429" s="25" t="s">
        <v>28</v>
      </c>
      <c r="L2429" s="26">
        <v>4.0</v>
      </c>
      <c r="M2429" s="26">
        <v>2.0</v>
      </c>
      <c r="N2429" s="26">
        <v>1.0</v>
      </c>
      <c r="O2429" s="26">
        <v>0.0</v>
      </c>
      <c r="P2429" s="30"/>
      <c r="Q2429" s="35">
        <v>154.0</v>
      </c>
      <c r="R2429" s="32">
        <v>44581.0</v>
      </c>
      <c r="S2429" s="32">
        <v>41243.0</v>
      </c>
      <c r="T2429" s="29"/>
      <c r="U2429" s="33"/>
      <c r="V2429" s="1"/>
    </row>
    <row r="2430" ht="24.0" customHeight="1">
      <c r="A2430" s="1"/>
      <c r="B2430" s="24" t="str">
        <f>HYPERLINK("https://www.compass.com/listing/173-175-riverside-drive-unit-12l-manhattan-ny-10024/15258525026517105/view?agent_id=610d3f3370540700019b0833","173-175 Riverside Drive, Unit 12L")</f>
        <v>173-175 Riverside Drive, Unit 12L</v>
      </c>
      <c r="C2430" s="25" t="s">
        <v>364</v>
      </c>
      <c r="D2430" s="26" t="s">
        <v>23</v>
      </c>
      <c r="E2430" s="27" t="str">
        <f>HYPERLINK("https://www.compass.com/building/173-175-riverside-dr-manhattan-ny-10024/405234226019361557/","173-175 Riverside Dr")</f>
        <v>173-175 Riverside Dr</v>
      </c>
      <c r="F2430" s="25" t="s">
        <v>29</v>
      </c>
      <c r="G2430" s="28">
        <v>1145000.0</v>
      </c>
      <c r="H2430" s="29"/>
      <c r="I2430" s="28">
        <v>2349.0</v>
      </c>
      <c r="J2430" s="29"/>
      <c r="K2430" s="25" t="s">
        <v>25</v>
      </c>
      <c r="L2430" s="26">
        <v>4.0</v>
      </c>
      <c r="M2430" s="26">
        <v>2.0</v>
      </c>
      <c r="N2430" s="26">
        <v>1.0</v>
      </c>
      <c r="O2430" s="26">
        <v>0.0</v>
      </c>
      <c r="P2430" s="30"/>
      <c r="Q2430" s="35">
        <v>469.0</v>
      </c>
      <c r="R2430" s="32">
        <v>45636.0</v>
      </c>
      <c r="S2430" s="32">
        <v>43192.0</v>
      </c>
      <c r="T2430" s="29"/>
      <c r="U2430" s="33"/>
      <c r="V2430" s="1"/>
    </row>
    <row r="2431" ht="24.0" customHeight="1">
      <c r="A2431" s="1"/>
      <c r="B2431" s="24" t="str">
        <f>HYPERLINK("https://www.compass.com/listing/454-nostrand-avenue-unit-4-brooklyn-ny-11216/197139187109998865/view?agent_id=610d3f3370540700019b0833","454 Nostrand Avenue, Unit 4")</f>
        <v>454 Nostrand Avenue, Unit 4</v>
      </c>
      <c r="C2431" s="25" t="s">
        <v>364</v>
      </c>
      <c r="D2431" s="26" t="s">
        <v>23</v>
      </c>
      <c r="E2431" s="27" t="str">
        <f>HYPERLINK("https://www.compass.com/building/454-nostrand-ave-brooklyn-ny-11216/293423277949390021/","454 Nostrand Ave")</f>
        <v>454 Nostrand Ave</v>
      </c>
      <c r="F2431" s="25" t="s">
        <v>51</v>
      </c>
      <c r="G2431" s="28">
        <v>719000.0</v>
      </c>
      <c r="H2431" s="28">
        <v>799.0</v>
      </c>
      <c r="I2431" s="28">
        <v>578.0</v>
      </c>
      <c r="J2431" s="28">
        <v>2268.0</v>
      </c>
      <c r="K2431" s="25" t="s">
        <v>28</v>
      </c>
      <c r="L2431" s="26">
        <v>4.0</v>
      </c>
      <c r="M2431" s="26">
        <v>2.0</v>
      </c>
      <c r="N2431" s="26">
        <v>1.0</v>
      </c>
      <c r="O2431" s="26">
        <v>0.0</v>
      </c>
      <c r="P2431" s="26">
        <v>900.0</v>
      </c>
      <c r="Q2431" s="35">
        <v>290.0</v>
      </c>
      <c r="R2431" s="32">
        <v>43814.0</v>
      </c>
      <c r="S2431" s="32">
        <v>43523.0</v>
      </c>
      <c r="T2431" s="29"/>
      <c r="U2431" s="33"/>
      <c r="V2431" s="1"/>
    </row>
    <row r="2432" ht="24.0" customHeight="1">
      <c r="A2432" s="1"/>
      <c r="B2432" s="24" t="str">
        <f>HYPERLINK("https://www.compass.com/listing/108-prospect-park-west-unit-4-brooklyn-ny-11215/1537177213472665129/view?agent_id=610d3f3370540700019b0833","108 Prospect Park West, Unit 4")</f>
        <v>108 Prospect Park West, Unit 4</v>
      </c>
      <c r="C2432" s="25" t="s">
        <v>370</v>
      </c>
      <c r="D2432" s="26" t="s">
        <v>23</v>
      </c>
      <c r="E2432" s="27" t="str">
        <f>HYPERLINK("https://www.compass.com/building/108-prospect-park-west-brooklyn-ny-11215/282511109469067093/","108 Prospect Park West")</f>
        <v>108 Prospect Park West</v>
      </c>
      <c r="F2432" s="25" t="s">
        <v>40</v>
      </c>
      <c r="G2432" s="28">
        <v>1650000.0</v>
      </c>
      <c r="H2432" s="28">
        <v>1955.0</v>
      </c>
      <c r="I2432" s="28">
        <v>1188.0</v>
      </c>
      <c r="J2432" s="28">
        <v>8607.0</v>
      </c>
      <c r="K2432" s="25" t="s">
        <v>28</v>
      </c>
      <c r="L2432" s="26">
        <v>4.0</v>
      </c>
      <c r="M2432" s="26">
        <v>2.0</v>
      </c>
      <c r="N2432" s="26">
        <v>1.0</v>
      </c>
      <c r="O2432" s="30"/>
      <c r="P2432" s="26">
        <v>844.0</v>
      </c>
      <c r="Q2432" s="35">
        <v>137.0</v>
      </c>
      <c r="R2432" s="32">
        <v>45527.0</v>
      </c>
      <c r="S2432" s="32">
        <v>45372.0</v>
      </c>
      <c r="T2432" s="29"/>
      <c r="U2432" s="33"/>
      <c r="V2432" s="1"/>
    </row>
    <row r="2433" ht="24.0" customHeight="1">
      <c r="A2433" s="1"/>
      <c r="B2433" s="24" t="str">
        <f>HYPERLINK("https://www.compass.com/listing/440-west-end-avenue-unit-7d-manhattan-ny-10024/1838977714652952465/view?agent_id=610d3f3370540700019b0833","440 West End Avenue, Unit 7D")</f>
        <v>440 West End Avenue, Unit 7D</v>
      </c>
      <c r="C2433" s="25" t="s">
        <v>364</v>
      </c>
      <c r="D2433" s="26" t="s">
        <v>23</v>
      </c>
      <c r="E2433" s="27" t="str">
        <f>HYPERLINK("https://www.compass.com/building/440-west-end-ave-manhattan-ny-10024/281966661941149429/","440 West End Ave")</f>
        <v>440 West End Ave</v>
      </c>
      <c r="F2433" s="25" t="s">
        <v>29</v>
      </c>
      <c r="G2433" s="28">
        <v>1395000.0</v>
      </c>
      <c r="H2433" s="29"/>
      <c r="I2433" s="28">
        <v>1770.0</v>
      </c>
      <c r="J2433" s="29"/>
      <c r="K2433" s="25" t="s">
        <v>25</v>
      </c>
      <c r="L2433" s="26">
        <v>4.0</v>
      </c>
      <c r="M2433" s="26">
        <v>2.0</v>
      </c>
      <c r="N2433" s="26">
        <v>0.0</v>
      </c>
      <c r="O2433" s="26">
        <v>0.0</v>
      </c>
      <c r="P2433" s="30"/>
      <c r="Q2433" s="35">
        <v>56.0</v>
      </c>
      <c r="R2433" s="32">
        <v>45636.0</v>
      </c>
      <c r="S2433" s="32">
        <v>41754.0</v>
      </c>
      <c r="T2433" s="29"/>
      <c r="U2433" s="33"/>
      <c r="V2433" s="1"/>
    </row>
    <row r="2434" ht="24.0" customHeight="1">
      <c r="A2434" s="1"/>
      <c r="B2434" s="24" t="str">
        <f>HYPERLINK("https://www.compass.com/listing/211-central-park-west-unit-10b-manhattan-ny-10024/192573703505165137/view?agent_id=610d3f3370540700019b0833","211 Central Park West, Unit 10B")</f>
        <v>211 Central Park West, Unit 10B</v>
      </c>
      <c r="C2434" s="25" t="s">
        <v>370</v>
      </c>
      <c r="D2434" s="26" t="s">
        <v>23</v>
      </c>
      <c r="E2434" s="27" t="str">
        <f>HYPERLINK("https://www.compass.com/building/the-beresford-manhattan-ny/281924778099515861/","The Beresford")</f>
        <v>The Beresford</v>
      </c>
      <c r="F2434" s="25" t="s">
        <v>29</v>
      </c>
      <c r="G2434" s="28">
        <v>6500000.0</v>
      </c>
      <c r="H2434" s="28">
        <v>2600.0</v>
      </c>
      <c r="I2434" s="28">
        <v>4473.0</v>
      </c>
      <c r="J2434" s="29"/>
      <c r="K2434" s="25" t="s">
        <v>25</v>
      </c>
      <c r="L2434" s="26">
        <v>6.0</v>
      </c>
      <c r="M2434" s="26">
        <v>2.0</v>
      </c>
      <c r="N2434" s="26">
        <v>0.0</v>
      </c>
      <c r="O2434" s="26">
        <v>0.0</v>
      </c>
      <c r="P2434" s="34">
        <v>2500.0</v>
      </c>
      <c r="Q2434" s="35">
        <v>103.0</v>
      </c>
      <c r="R2434" s="32">
        <v>45636.0</v>
      </c>
      <c r="S2434" s="32">
        <v>42381.0</v>
      </c>
      <c r="T2434" s="29"/>
      <c r="U2434" s="33"/>
      <c r="V2434" s="1"/>
    </row>
    <row r="2435" ht="24.0" customHeight="1">
      <c r="A2435" s="1"/>
      <c r="B2435" s="24" t="str">
        <f>HYPERLINK("https://www.compass.com/listing/343-4th-avenue-unit-3j-brooklyn-ny-11215/821618154901532745/view?agent_id=610d3f3370540700019b0833","343 4th Avenue, Unit 3J")</f>
        <v>343 4th Avenue, Unit 3J</v>
      </c>
      <c r="C2435" s="25" t="s">
        <v>365</v>
      </c>
      <c r="D2435" s="26" t="s">
        <v>23</v>
      </c>
      <c r="E2435" s="27" t="str">
        <f>HYPERLINK("https://www.compass.com/building/novo-brooklyn-ny/282512049630697877/","Novo")</f>
        <v>Novo</v>
      </c>
      <c r="F2435" s="25" t="s">
        <v>40</v>
      </c>
      <c r="G2435" s="28">
        <v>965000.0</v>
      </c>
      <c r="H2435" s="28">
        <v>1117.0</v>
      </c>
      <c r="I2435" s="28">
        <v>864.0</v>
      </c>
      <c r="J2435" s="28">
        <v>169.0</v>
      </c>
      <c r="K2435" s="25" t="s">
        <v>28</v>
      </c>
      <c r="L2435" s="26">
        <v>4.0</v>
      </c>
      <c r="M2435" s="26">
        <v>2.0</v>
      </c>
      <c r="N2435" s="26">
        <v>1.0</v>
      </c>
      <c r="O2435" s="30"/>
      <c r="P2435" s="26">
        <v>864.0</v>
      </c>
      <c r="Q2435" s="35">
        <v>12.0</v>
      </c>
      <c r="R2435" s="32">
        <v>44466.0</v>
      </c>
      <c r="S2435" s="32">
        <v>44454.0</v>
      </c>
      <c r="T2435" s="29"/>
      <c r="U2435" s="33"/>
      <c r="V2435" s="1"/>
    </row>
    <row r="2436" ht="24.0" customHeight="1">
      <c r="A2436" s="1"/>
      <c r="B2436" s="24" t="str">
        <f>HYPERLINK("https://www.compass.com/listing/270-5th-street-unit-3g-brooklyn-ny-11215/29467145851122897/view?agent_id=610d3f3370540700019b0833","270 5th Street, Unit 3G")</f>
        <v>270 5th Street, Unit 3G</v>
      </c>
      <c r="C2436" s="25" t="s">
        <v>364</v>
      </c>
      <c r="D2436" s="26" t="s">
        <v>23</v>
      </c>
      <c r="E2436" s="27" t="str">
        <f>HYPERLINK("https://www.compass.com/building/270-5th-st-brooklyn-ny-11215/282501711040426949/","270 5th St")</f>
        <v>270 5th St</v>
      </c>
      <c r="F2436" s="25" t="s">
        <v>40</v>
      </c>
      <c r="G2436" s="28">
        <v>749000.0</v>
      </c>
      <c r="H2436" s="28">
        <v>830.0</v>
      </c>
      <c r="I2436" s="28">
        <v>824.0</v>
      </c>
      <c r="J2436" s="29"/>
      <c r="K2436" s="25" t="s">
        <v>25</v>
      </c>
      <c r="L2436" s="26">
        <v>4.0</v>
      </c>
      <c r="M2436" s="26">
        <v>2.0</v>
      </c>
      <c r="N2436" s="26">
        <v>1.0</v>
      </c>
      <c r="O2436" s="26">
        <v>0.0</v>
      </c>
      <c r="P2436" s="26">
        <v>902.0</v>
      </c>
      <c r="Q2436" s="35">
        <v>670.0</v>
      </c>
      <c r="R2436" s="32">
        <v>44581.0</v>
      </c>
      <c r="S2436" s="32">
        <v>41258.0</v>
      </c>
      <c r="T2436" s="29"/>
      <c r="U2436" s="33"/>
      <c r="V2436" s="1"/>
    </row>
    <row r="2437" ht="24.0" customHeight="1">
      <c r="A2437" s="1"/>
      <c r="B2437" s="24" t="str">
        <f>HYPERLINK("https://www.compass.com/listing/209-clinton-avenue-unit-10h-brooklyn-ny-11205/535363026384864881/view?agent_id=610d3f3370540700019b0833","209 Clinton Avenue, Unit 10H")</f>
        <v>209 Clinton Avenue, Unit 10H</v>
      </c>
      <c r="C2437" s="25" t="s">
        <v>365</v>
      </c>
      <c r="D2437" s="26" t="s">
        <v>23</v>
      </c>
      <c r="E2437" s="27" t="str">
        <f>HYPERLINK("https://www.compass.com/building/clinton-hill-coops-north-campus-brooklyn-ny/293417026565811093/","Clinton Hill Coops - North Campus")</f>
        <v>Clinton Hill Coops - North Campus</v>
      </c>
      <c r="F2437" s="25" t="s">
        <v>30</v>
      </c>
      <c r="G2437" s="28">
        <v>699000.0</v>
      </c>
      <c r="H2437" s="29"/>
      <c r="I2437" s="28">
        <v>901.0</v>
      </c>
      <c r="J2437" s="28">
        <v>0.0</v>
      </c>
      <c r="K2437" s="25" t="s">
        <v>25</v>
      </c>
      <c r="L2437" s="26">
        <v>3.0</v>
      </c>
      <c r="M2437" s="26">
        <v>2.0</v>
      </c>
      <c r="N2437" s="26">
        <v>1.0</v>
      </c>
      <c r="O2437" s="26">
        <v>0.0</v>
      </c>
      <c r="P2437" s="30"/>
      <c r="Q2437" s="35">
        <v>105.0</v>
      </c>
      <c r="R2437" s="32">
        <v>44109.0</v>
      </c>
      <c r="S2437" s="32">
        <v>44001.0</v>
      </c>
      <c r="T2437" s="29"/>
      <c r="U2437" s="33"/>
      <c r="V2437" s="1"/>
    </row>
    <row r="2438" ht="24.0" customHeight="1">
      <c r="A2438" s="1"/>
      <c r="B2438" s="24" t="str">
        <f>HYPERLINK("https://www.compass.com/listing/100-riverside-drive-unit-7-e-manhattan-ny-10024/803330351052951553/view?agent_id=610d3f3370540700019b0833","100 Riverside Drive, Unit 7//E")</f>
        <v>100 Riverside Drive, Unit 7//E</v>
      </c>
      <c r="C2438" s="25" t="s">
        <v>364</v>
      </c>
      <c r="D2438" s="26" t="s">
        <v>23</v>
      </c>
      <c r="E2438" s="27" t="str">
        <f>HYPERLINK("https://www.compass.com/building/100-riverside-dr-manhattan-ny-10024/281961356196914949/","100 Riverside Dr")</f>
        <v>100 Riverside Dr</v>
      </c>
      <c r="F2438" s="25" t="s">
        <v>29</v>
      </c>
      <c r="G2438" s="28">
        <v>1495000.0</v>
      </c>
      <c r="H2438" s="28">
        <v>1278.0</v>
      </c>
      <c r="I2438" s="28">
        <v>1706.0</v>
      </c>
      <c r="J2438" s="29"/>
      <c r="K2438" s="25" t="s">
        <v>25</v>
      </c>
      <c r="L2438" s="26">
        <v>5.0</v>
      </c>
      <c r="M2438" s="26">
        <v>2.0</v>
      </c>
      <c r="N2438" s="26">
        <v>0.0</v>
      </c>
      <c r="O2438" s="26">
        <v>0.0</v>
      </c>
      <c r="P2438" s="34">
        <v>1170.0</v>
      </c>
      <c r="Q2438" s="35">
        <v>112.0</v>
      </c>
      <c r="R2438" s="32">
        <v>44581.0</v>
      </c>
      <c r="S2438" s="32">
        <v>41827.0</v>
      </c>
      <c r="T2438" s="29"/>
      <c r="U2438" s="33"/>
      <c r="V2438" s="1"/>
    </row>
    <row r="2439" ht="24.0" customHeight="1">
      <c r="A2439" s="1"/>
      <c r="B2439" s="24" t="str">
        <f>HYPERLINK("https://www.compass.com/listing/62-wooster-street-unit-2a-manhattan-ny-10012/14532925290806609/view?agent_id=610d3f3370540700019b0833","62 Wooster Street, Unit 2A")</f>
        <v>62 Wooster Street, Unit 2A</v>
      </c>
      <c r="C2439" s="25" t="s">
        <v>364</v>
      </c>
      <c r="D2439" s="26" t="s">
        <v>23</v>
      </c>
      <c r="E2439" s="27" t="str">
        <f>HYPERLINK("https://www.compass.com/building/62-wooster-st-manhattan-ny-10012/307448763031283973/","62 Wooster St")</f>
        <v>62 Wooster St</v>
      </c>
      <c r="F2439" s="25" t="s">
        <v>53</v>
      </c>
      <c r="G2439" s="28">
        <v>9300000.0</v>
      </c>
      <c r="H2439" s="28">
        <v>2991.0</v>
      </c>
      <c r="I2439" s="28">
        <v>4945.0</v>
      </c>
      <c r="J2439" s="28">
        <v>41304.0</v>
      </c>
      <c r="K2439" s="25" t="s">
        <v>28</v>
      </c>
      <c r="L2439" s="26">
        <v>5.0</v>
      </c>
      <c r="M2439" s="26">
        <v>2.0</v>
      </c>
      <c r="N2439" s="26">
        <v>0.0</v>
      </c>
      <c r="O2439" s="26">
        <v>0.0</v>
      </c>
      <c r="P2439" s="34">
        <v>3109.0</v>
      </c>
      <c r="Q2439" s="35">
        <v>59.0</v>
      </c>
      <c r="R2439" s="32">
        <v>45636.0</v>
      </c>
      <c r="S2439" s="32">
        <v>43021.0</v>
      </c>
      <c r="T2439" s="29"/>
      <c r="U2439" s="33"/>
      <c r="V2439" s="1"/>
    </row>
    <row r="2440" ht="24.0" customHeight="1">
      <c r="A2440" s="1"/>
      <c r="B2440" s="24" t="str">
        <f>HYPERLINK("https://www.compass.com/listing/305-2nd-avenue-unit-716-manhattan-ny-10003/29380081730219873/view?agent_id=610d3f3370540700019b0833","305 2nd Avenue, Unit 716")</f>
        <v>305 2nd Avenue, Unit 716</v>
      </c>
      <c r="C2440" s="25" t="s">
        <v>370</v>
      </c>
      <c r="D2440" s="26" t="s">
        <v>23</v>
      </c>
      <c r="E2440" s="27" t="str">
        <f>HYPERLINK("https://www.compass.com/building/rutherford-place-manhattan-ny/281892043922346725/","Rutherford Place")</f>
        <v>Rutherford Place</v>
      </c>
      <c r="F2440" s="25" t="s">
        <v>48</v>
      </c>
      <c r="G2440" s="28">
        <v>2895000.0</v>
      </c>
      <c r="H2440" s="28">
        <v>1776.0</v>
      </c>
      <c r="I2440" s="28">
        <v>3900.0</v>
      </c>
      <c r="J2440" s="28">
        <v>34248.0</v>
      </c>
      <c r="K2440" s="25" t="s">
        <v>28</v>
      </c>
      <c r="L2440" s="26">
        <v>4.0</v>
      </c>
      <c r="M2440" s="26">
        <v>2.0</v>
      </c>
      <c r="N2440" s="26">
        <v>0.0</v>
      </c>
      <c r="O2440" s="26">
        <v>0.0</v>
      </c>
      <c r="P2440" s="34">
        <v>1630.0</v>
      </c>
      <c r="Q2440" s="35">
        <v>457.0</v>
      </c>
      <c r="R2440" s="32">
        <v>45636.0</v>
      </c>
      <c r="S2440" s="32">
        <v>42661.0</v>
      </c>
      <c r="T2440" s="29"/>
      <c r="U2440" s="33"/>
      <c r="V2440" s="1"/>
    </row>
    <row r="2441" ht="24.0" customHeight="1">
      <c r="A2441" s="1"/>
      <c r="B2441" s="24" t="str">
        <f>HYPERLINK("https://www.compass.com/listing/55-berry-street-unit-4d-brooklyn-ny-11249/1831271216860379865/view?agent_id=610d3f3370540700019b0833","55 Berry Street, Unit 4D")</f>
        <v>55 Berry Street, Unit 4D</v>
      </c>
      <c r="C2441" s="25" t="s">
        <v>365</v>
      </c>
      <c r="D2441" s="26" t="s">
        <v>23</v>
      </c>
      <c r="E2441" s="27" t="str">
        <f>HYPERLINK("https://www.compass.com/building/berry-street-lofts-brooklyn-ny/293420218213005589/","Berry Street Lofts")</f>
        <v>Berry Street Lofts</v>
      </c>
      <c r="F2441" s="25" t="s">
        <v>46</v>
      </c>
      <c r="G2441" s="28">
        <v>1795000.0</v>
      </c>
      <c r="H2441" s="28">
        <v>1537.0</v>
      </c>
      <c r="I2441" s="28">
        <v>1819.0</v>
      </c>
      <c r="J2441" s="28">
        <v>8124.0</v>
      </c>
      <c r="K2441" s="25" t="s">
        <v>28</v>
      </c>
      <c r="L2441" s="26">
        <v>4.0</v>
      </c>
      <c r="M2441" s="26">
        <v>2.0</v>
      </c>
      <c r="N2441" s="26">
        <v>1.0</v>
      </c>
      <c r="O2441" s="30"/>
      <c r="P2441" s="34">
        <v>1168.0</v>
      </c>
      <c r="Q2441" s="35">
        <v>40.0</v>
      </c>
      <c r="R2441" s="32">
        <v>45831.0</v>
      </c>
      <c r="S2441" s="32">
        <v>45791.0</v>
      </c>
      <c r="T2441" s="29"/>
      <c r="U2441" s="33"/>
      <c r="V2441" s="1"/>
    </row>
    <row r="2442" ht="24.0" customHeight="1">
      <c r="A2442" s="1"/>
      <c r="B2442" s="24" t="str">
        <f>HYPERLINK("https://www.compass.com/listing/410-7th-avenue-unit-4f-brooklyn-ny-11215/29467871784508753/view?agent_id=610d3f3370540700019b0833","410 7th Ave, Unit 4F")</f>
        <v>410 7th Ave, Unit 4F</v>
      </c>
      <c r="C2442" s="25" t="s">
        <v>364</v>
      </c>
      <c r="D2442" s="26" t="s">
        <v>23</v>
      </c>
      <c r="E2442" s="27" t="str">
        <f>HYPERLINK("https://www.compass.com/building/410-7th-ave-brooklyn-ny-11215/282511949319723349/","410 7th Ave")</f>
        <v>410 7th Ave</v>
      </c>
      <c r="F2442" s="25" t="s">
        <v>40</v>
      </c>
      <c r="G2442" s="28">
        <v>799000.0</v>
      </c>
      <c r="H2442" s="29"/>
      <c r="I2442" s="28">
        <v>634.0</v>
      </c>
      <c r="J2442" s="28">
        <v>0.0</v>
      </c>
      <c r="K2442" s="36"/>
      <c r="L2442" s="26">
        <v>4.0</v>
      </c>
      <c r="M2442" s="26">
        <v>2.0</v>
      </c>
      <c r="N2442" s="30"/>
      <c r="O2442" s="30"/>
      <c r="P2442" s="30"/>
      <c r="Q2442" s="35">
        <v>56.0</v>
      </c>
      <c r="R2442" s="32">
        <v>42501.0</v>
      </c>
      <c r="S2442" s="32">
        <v>42374.0</v>
      </c>
      <c r="T2442" s="29"/>
      <c r="U2442" s="33"/>
      <c r="V2442" s="1"/>
    </row>
    <row r="2443" ht="24.0" customHeight="1">
      <c r="A2443" s="1"/>
      <c r="B2443" s="24" t="str">
        <f>HYPERLINK("https://www.compass.com/listing/39-remsen-street-unit-1e-brooklyn-ny-11201/115109373830807233/view?agent_id=610d3f3370540700019b0833","39 Remsen Street, Unit 1E")</f>
        <v>39 Remsen Street, Unit 1E</v>
      </c>
      <c r="C2443" s="25" t="s">
        <v>364</v>
      </c>
      <c r="D2443" s="26" t="s">
        <v>23</v>
      </c>
      <c r="E2443" s="27" t="str">
        <f>HYPERLINK("https://www.compass.com/building/39-remsen-st-brooklyn-ny-11201/282500744656009557/","39 Remsen St")</f>
        <v>39 Remsen St</v>
      </c>
      <c r="F2443" s="25" t="s">
        <v>52</v>
      </c>
      <c r="G2443" s="28">
        <v>849000.0</v>
      </c>
      <c r="H2443" s="28">
        <v>849.0</v>
      </c>
      <c r="I2443" s="28">
        <v>1515.0</v>
      </c>
      <c r="J2443" s="29"/>
      <c r="K2443" s="25" t="s">
        <v>25</v>
      </c>
      <c r="L2443" s="26">
        <v>4.0</v>
      </c>
      <c r="M2443" s="26">
        <v>2.0</v>
      </c>
      <c r="N2443" s="26">
        <v>1.0</v>
      </c>
      <c r="O2443" s="26">
        <v>0.0</v>
      </c>
      <c r="P2443" s="34">
        <v>1000.0</v>
      </c>
      <c r="Q2443" s="35">
        <v>71.0</v>
      </c>
      <c r="R2443" s="32">
        <v>44581.0</v>
      </c>
      <c r="S2443" s="32">
        <v>41827.0</v>
      </c>
      <c r="T2443" s="28">
        <v>849000.0</v>
      </c>
      <c r="U2443" s="32">
        <v>41899.0</v>
      </c>
      <c r="V2443" s="1"/>
    </row>
    <row r="2444" ht="24.0" customHeight="1">
      <c r="A2444" s="1"/>
      <c r="B2444" s="24" t="str">
        <f>HYPERLINK("https://www.compass.com/listing/40-mercer-street-unit-21-manhattan-ny-10013/1809628772773569489/view?agent_id=610d3f3370540700019b0833","40 Mercer Street, Unit 21")</f>
        <v>40 Mercer Street, Unit 21</v>
      </c>
      <c r="C2444" s="25" t="s">
        <v>370</v>
      </c>
      <c r="D2444" s="26" t="s">
        <v>23</v>
      </c>
      <c r="E2444" s="27" t="str">
        <f t="shared" ref="E2444:E2445" si="50">HYPERLINK("https://www.compass.com/building/40-mercer-st-manhattan-ny-10013/281919553196295429/","40 Mercer St")</f>
        <v>40 Mercer St</v>
      </c>
      <c r="F2444" s="25" t="s">
        <v>53</v>
      </c>
      <c r="G2444" s="28">
        <v>4750000.0</v>
      </c>
      <c r="H2444" s="28">
        <v>2722.0</v>
      </c>
      <c r="I2444" s="28">
        <v>5571.0</v>
      </c>
      <c r="J2444" s="28">
        <v>29628.0</v>
      </c>
      <c r="K2444" s="25" t="s">
        <v>28</v>
      </c>
      <c r="L2444" s="26">
        <v>6.0</v>
      </c>
      <c r="M2444" s="26">
        <v>2.0</v>
      </c>
      <c r="N2444" s="26">
        <v>0.0</v>
      </c>
      <c r="O2444" s="26">
        <v>1.0</v>
      </c>
      <c r="P2444" s="34">
        <v>1745.0</v>
      </c>
      <c r="Q2444" s="35">
        <v>0.0</v>
      </c>
      <c r="R2444" s="32">
        <v>44581.0</v>
      </c>
      <c r="S2444" s="32">
        <v>42992.0</v>
      </c>
      <c r="T2444" s="29"/>
      <c r="U2444" s="33"/>
      <c r="V2444" s="1"/>
    </row>
    <row r="2445" ht="24.0" customHeight="1">
      <c r="A2445" s="1"/>
      <c r="B2445" s="24" t="str">
        <f>HYPERLINK("https://www.compass.com/listing/40-mercer-street-unit-3a-manhattan-ny-10013/4852262106206048161/view?agent_id=610d3f3370540700019b0833","40 Mercer Street, Unit 3A")</f>
        <v>40 Mercer Street, Unit 3A</v>
      </c>
      <c r="C2445" s="25" t="s">
        <v>370</v>
      </c>
      <c r="D2445" s="26" t="s">
        <v>23</v>
      </c>
      <c r="E2445" s="27" t="str">
        <f t="shared" si="50"/>
        <v>40 Mercer St</v>
      </c>
      <c r="F2445" s="25" t="s">
        <v>53</v>
      </c>
      <c r="G2445" s="28">
        <v>4500000.0</v>
      </c>
      <c r="H2445" s="28">
        <v>2729.0</v>
      </c>
      <c r="I2445" s="28">
        <v>3715.0</v>
      </c>
      <c r="J2445" s="28">
        <v>12636.0</v>
      </c>
      <c r="K2445" s="25" t="s">
        <v>28</v>
      </c>
      <c r="L2445" s="26">
        <v>5.0</v>
      </c>
      <c r="M2445" s="26">
        <v>2.0</v>
      </c>
      <c r="N2445" s="26">
        <v>0.0</v>
      </c>
      <c r="O2445" s="26">
        <v>0.0</v>
      </c>
      <c r="P2445" s="34">
        <v>1649.0</v>
      </c>
      <c r="Q2445" s="35">
        <v>192.0</v>
      </c>
      <c r="R2445" s="32">
        <v>44581.0</v>
      </c>
      <c r="S2445" s="32">
        <v>41173.0</v>
      </c>
      <c r="T2445" s="29"/>
      <c r="U2445" s="33"/>
      <c r="V2445" s="1"/>
    </row>
    <row r="2446" ht="24.0" customHeight="1">
      <c r="A2446" s="1"/>
      <c r="B2446" s="24" t="str">
        <f>HYPERLINK("https://www.compass.com/listing/132-prospect-place-unit-2f-brooklyn-ny-11217/420966130016925761/view?agent_id=610d3f3370540700019b0833","132 Prospect Place, Unit 2F")</f>
        <v>132 Prospect Place, Unit 2F</v>
      </c>
      <c r="C2446" s="25" t="s">
        <v>365</v>
      </c>
      <c r="D2446" s="26" t="s">
        <v>23</v>
      </c>
      <c r="E2446" s="27" t="str">
        <f>HYPERLINK("https://www.compass.com/building/132-prospect-pl-brooklyn-ny-11217/307433749016782693/","132 Prospect Pl")</f>
        <v>132 Prospect Pl</v>
      </c>
      <c r="F2446" s="25" t="s">
        <v>39</v>
      </c>
      <c r="G2446" s="28">
        <v>725000.0</v>
      </c>
      <c r="H2446" s="29"/>
      <c r="I2446" s="28">
        <v>735.0</v>
      </c>
      <c r="J2446" s="28">
        <v>0.0</v>
      </c>
      <c r="K2446" s="25" t="s">
        <v>25</v>
      </c>
      <c r="L2446" s="26">
        <v>4.0</v>
      </c>
      <c r="M2446" s="26">
        <v>2.0</v>
      </c>
      <c r="N2446" s="26">
        <v>1.0</v>
      </c>
      <c r="O2446" s="26">
        <v>0.0</v>
      </c>
      <c r="P2446" s="30"/>
      <c r="Q2446" s="35">
        <v>60.0</v>
      </c>
      <c r="R2446" s="32">
        <v>44059.0</v>
      </c>
      <c r="S2446" s="32">
        <v>43842.0</v>
      </c>
      <c r="T2446" s="29"/>
      <c r="U2446" s="33"/>
      <c r="V2446" s="1"/>
    </row>
    <row r="2447" ht="24.0" customHeight="1">
      <c r="A2447" s="1"/>
      <c r="B2447" s="24" t="str">
        <f>HYPERLINK("https://www.compass.com/listing/316-west-82nd-street-unit-4r-manhattan-ny-10024/29401650888259841/view?agent_id=610d3f3370540700019b0833","316 West 82nd Street, Unit 4R")</f>
        <v>316 West 82nd Street, Unit 4R</v>
      </c>
      <c r="C2447" s="25" t="s">
        <v>364</v>
      </c>
      <c r="D2447" s="26" t="s">
        <v>23</v>
      </c>
      <c r="E2447" s="27" t="str">
        <f>HYPERLINK("https://www.compass.com/building/316-w-82nd-st-manhattan-ny-10024/281965270950559877/","316 W 82nd St")</f>
        <v>316 W 82nd St</v>
      </c>
      <c r="F2447" s="25" t="s">
        <v>29</v>
      </c>
      <c r="G2447" s="28">
        <v>695000.0</v>
      </c>
      <c r="H2447" s="29"/>
      <c r="I2447" s="28">
        <v>1576.0</v>
      </c>
      <c r="J2447" s="29"/>
      <c r="K2447" s="25" t="s">
        <v>25</v>
      </c>
      <c r="L2447" s="26">
        <v>4.0</v>
      </c>
      <c r="M2447" s="26">
        <v>2.0</v>
      </c>
      <c r="N2447" s="26">
        <v>0.0</v>
      </c>
      <c r="O2447" s="26">
        <v>0.0</v>
      </c>
      <c r="P2447" s="30"/>
      <c r="Q2447" s="35">
        <v>376.0</v>
      </c>
      <c r="R2447" s="32">
        <v>44581.0</v>
      </c>
      <c r="S2447" s="32">
        <v>41185.0</v>
      </c>
      <c r="T2447" s="29"/>
      <c r="U2447" s="33"/>
      <c r="V2447" s="1"/>
    </row>
    <row r="2448" ht="24.0" customHeight="1">
      <c r="A2448" s="1"/>
      <c r="B2448" s="24" t="str">
        <f>HYPERLINK("https://www.compass.com/listing/323-west-83rd-street-unit-5c-manhattan-ny-10024/1078950941947722313/view?agent_id=610d3f3370540700019b0833","323 West 83rd Street, Unit 5C")</f>
        <v>323 West 83rd Street, Unit 5C</v>
      </c>
      <c r="C2448" s="25" t="s">
        <v>364</v>
      </c>
      <c r="D2448" s="26" t="s">
        <v>23</v>
      </c>
      <c r="E2448" s="27" t="str">
        <f>HYPERLINK("https://www.compass.com/building/323-w-83rd-st-manhattan-ny-10024/281965522365530533/","323 W 83rd St")</f>
        <v>323 W 83rd St</v>
      </c>
      <c r="F2448" s="25" t="s">
        <v>29</v>
      </c>
      <c r="G2448" s="28">
        <v>950000.0</v>
      </c>
      <c r="H2448" s="29"/>
      <c r="I2448" s="28">
        <v>1812.0</v>
      </c>
      <c r="J2448" s="28">
        <v>0.0</v>
      </c>
      <c r="K2448" s="25" t="s">
        <v>25</v>
      </c>
      <c r="L2448" s="26">
        <v>4.0</v>
      </c>
      <c r="M2448" s="26">
        <v>2.0</v>
      </c>
      <c r="N2448" s="26">
        <v>1.0</v>
      </c>
      <c r="O2448" s="30"/>
      <c r="P2448" s="30"/>
      <c r="Q2448" s="35">
        <v>86.0</v>
      </c>
      <c r="R2448" s="32">
        <v>44826.0</v>
      </c>
      <c r="S2448" s="32">
        <v>44740.0</v>
      </c>
      <c r="T2448" s="29"/>
      <c r="U2448" s="33"/>
      <c r="V2448" s="1"/>
    </row>
    <row r="2449" ht="24.0" customHeight="1">
      <c r="A2449" s="1"/>
      <c r="B2449" s="24" t="str">
        <f>HYPERLINK("https://www.compass.com/listing/205-clinton-avenue-unit-12g-brooklyn-ny-11205/921994075753784561/view?agent_id=610d3f3370540700019b0833","205 Clinton Avenue, Unit 12G")</f>
        <v>205 Clinton Avenue, Unit 12G</v>
      </c>
      <c r="C2449" s="25" t="s">
        <v>364</v>
      </c>
      <c r="D2449" s="26" t="s">
        <v>23</v>
      </c>
      <c r="E2449" s="27" t="str">
        <f>HYPERLINK("https://www.compass.com/building/clinton-hill-coops-north-campus-brooklyn-ny/307445614635647509/","Clinton Hill Coops - North Campus")</f>
        <v>Clinton Hill Coops - North Campus</v>
      </c>
      <c r="F2449" s="25" t="s">
        <v>30</v>
      </c>
      <c r="G2449" s="28">
        <v>685000.0</v>
      </c>
      <c r="H2449" s="29"/>
      <c r="I2449" s="28">
        <v>909.0</v>
      </c>
      <c r="J2449" s="29"/>
      <c r="K2449" s="25" t="s">
        <v>25</v>
      </c>
      <c r="L2449" s="26">
        <v>4.0</v>
      </c>
      <c r="M2449" s="26">
        <v>2.0</v>
      </c>
      <c r="N2449" s="26">
        <v>1.0</v>
      </c>
      <c r="O2449" s="26">
        <v>0.0</v>
      </c>
      <c r="P2449" s="30"/>
      <c r="Q2449" s="35">
        <v>33.0</v>
      </c>
      <c r="R2449" s="32">
        <v>45636.0</v>
      </c>
      <c r="S2449" s="32">
        <v>43588.0</v>
      </c>
      <c r="T2449" s="29"/>
      <c r="U2449" s="33"/>
      <c r="V2449" s="1"/>
    </row>
    <row r="2450" ht="24.0" customHeight="1">
      <c r="A2450" s="1"/>
      <c r="B2450" s="24" t="str">
        <f>HYPERLINK("https://www.compass.com/listing/225-park-place-unit-2a-brooklyn-ny-11238/192568543471024369/view?agent_id=610d3f3370540700019b0833","225 Park Place, Unit 2A")</f>
        <v>225 Park Place, Unit 2A</v>
      </c>
      <c r="C2450" s="25" t="s">
        <v>364</v>
      </c>
      <c r="D2450" s="26" t="s">
        <v>23</v>
      </c>
      <c r="E2450" s="27" t="str">
        <f>HYPERLINK("https://www.compass.com/building/225-park-pl-brooklyn-ny-11238/293422844661008613/","225 Park Pl")</f>
        <v>225 Park Pl</v>
      </c>
      <c r="F2450" s="25" t="s">
        <v>39</v>
      </c>
      <c r="G2450" s="28">
        <v>99.0</v>
      </c>
      <c r="H2450" s="29"/>
      <c r="I2450" s="28">
        <v>99.0</v>
      </c>
      <c r="J2450" s="29"/>
      <c r="K2450" s="25" t="s">
        <v>25</v>
      </c>
      <c r="L2450" s="26">
        <v>4.0</v>
      </c>
      <c r="M2450" s="26">
        <v>2.0</v>
      </c>
      <c r="N2450" s="26">
        <v>0.0</v>
      </c>
      <c r="O2450" s="26">
        <v>0.0</v>
      </c>
      <c r="P2450" s="30"/>
      <c r="Q2450" s="31"/>
      <c r="R2450" s="32">
        <v>44581.0</v>
      </c>
      <c r="S2450" s="33"/>
      <c r="T2450" s="29"/>
      <c r="U2450" s="33"/>
      <c r="V2450" s="1"/>
    </row>
    <row r="2451" ht="24.0" customHeight="1">
      <c r="A2451" s="1"/>
      <c r="B2451" s="24" t="str">
        <f>HYPERLINK("https://www.compass.com/listing/176-sterling-place-unit-ph6l-brooklyn-ny-11217/1667464539709512105/view?agent_id=610d3f3370540700019b0833","176 Sterling Place, Unit PH6L")</f>
        <v>176 Sterling Place, Unit PH6L</v>
      </c>
      <c r="C2451" s="25" t="s">
        <v>365</v>
      </c>
      <c r="D2451" s="26" t="s">
        <v>23</v>
      </c>
      <c r="E2451" s="27" t="str">
        <f>HYPERLINK("https://www.compass.com/building/176-sterling-pl-brooklyn-ny-11217/282501697098560917/","176 Sterling Pl")</f>
        <v>176 Sterling Pl</v>
      </c>
      <c r="F2451" s="25" t="s">
        <v>40</v>
      </c>
      <c r="G2451" s="28">
        <v>1170000.0</v>
      </c>
      <c r="H2451" s="29"/>
      <c r="I2451" s="28">
        <v>803.0</v>
      </c>
      <c r="J2451" s="28">
        <v>0.0</v>
      </c>
      <c r="K2451" s="25" t="s">
        <v>25</v>
      </c>
      <c r="L2451" s="26">
        <v>3.0</v>
      </c>
      <c r="M2451" s="26">
        <v>2.0</v>
      </c>
      <c r="N2451" s="26">
        <v>1.0</v>
      </c>
      <c r="O2451" s="26">
        <v>0.0</v>
      </c>
      <c r="P2451" s="30"/>
      <c r="Q2451" s="35">
        <v>76.0</v>
      </c>
      <c r="R2451" s="32">
        <v>45628.0</v>
      </c>
      <c r="S2451" s="32">
        <v>45552.0</v>
      </c>
      <c r="T2451" s="29"/>
      <c r="U2451" s="33"/>
      <c r="V2451" s="1"/>
    </row>
    <row r="2452" ht="24.0" customHeight="1">
      <c r="A2452" s="1"/>
      <c r="B2452" s="24" t="str">
        <f>HYPERLINK("https://www.compass.com/listing/211-west-71st-street-unit-3a-manhattan-ny-10023/183240262074514097/view?agent_id=610d3f3370540700019b0833","211 West 71st Street, Unit 3A")</f>
        <v>211 West 71st Street, Unit 3A</v>
      </c>
      <c r="C2452" s="25" t="s">
        <v>364</v>
      </c>
      <c r="D2452" s="26" t="s">
        <v>23</v>
      </c>
      <c r="E2452" s="27" t="str">
        <f>HYPERLINK("https://www.compass.com/building/the-lincoln-park-manhattan-ny/281958408498781109/","The Lincoln Park")</f>
        <v>The Lincoln Park</v>
      </c>
      <c r="F2452" s="25" t="s">
        <v>29</v>
      </c>
      <c r="G2452" s="28">
        <v>1595000.0</v>
      </c>
      <c r="H2452" s="29"/>
      <c r="I2452" s="28">
        <v>2743.0</v>
      </c>
      <c r="J2452" s="28">
        <v>15336.0</v>
      </c>
      <c r="K2452" s="25" t="s">
        <v>28</v>
      </c>
      <c r="L2452" s="26">
        <v>5.0</v>
      </c>
      <c r="M2452" s="26">
        <v>2.0</v>
      </c>
      <c r="N2452" s="30"/>
      <c r="O2452" s="30"/>
      <c r="P2452" s="30"/>
      <c r="Q2452" s="35">
        <v>186.0</v>
      </c>
      <c r="R2452" s="32">
        <v>43691.0</v>
      </c>
      <c r="S2452" s="32">
        <v>43504.0</v>
      </c>
      <c r="T2452" s="29"/>
      <c r="U2452" s="33"/>
      <c r="V2452" s="1"/>
    </row>
    <row r="2453" ht="24.0" customHeight="1">
      <c r="A2453" s="1"/>
      <c r="B2453" s="24" t="str">
        <f>HYPERLINK("https://www.compass.com/listing/427-washington-street-unit-3w-manhattan-ny-10013/1145849394851220081/view?agent_id=610d3f3370540700019b0833","427 Washington Street, Unit 3W")</f>
        <v>427 Washington Street, Unit 3W</v>
      </c>
      <c r="C2453" s="25" t="s">
        <v>370</v>
      </c>
      <c r="D2453" s="26" t="s">
        <v>23</v>
      </c>
      <c r="E2453" s="27" t="str">
        <f>HYPERLINK("https://www.compass.com/building/427-washington-st-manhattan-ny-10013/281919772675835877/","427 Washington St")</f>
        <v>427 Washington St</v>
      </c>
      <c r="F2453" s="25" t="s">
        <v>60</v>
      </c>
      <c r="G2453" s="28">
        <v>2995000.0</v>
      </c>
      <c r="H2453" s="28">
        <v>1619.0</v>
      </c>
      <c r="I2453" s="28">
        <v>2160.0</v>
      </c>
      <c r="J2453" s="29"/>
      <c r="K2453" s="25" t="s">
        <v>25</v>
      </c>
      <c r="L2453" s="26">
        <v>4.0</v>
      </c>
      <c r="M2453" s="26">
        <v>2.0</v>
      </c>
      <c r="N2453" s="26">
        <v>1.0</v>
      </c>
      <c r="O2453" s="26">
        <v>0.0</v>
      </c>
      <c r="P2453" s="34">
        <v>1850.0</v>
      </c>
      <c r="Q2453" s="35">
        <v>160.0</v>
      </c>
      <c r="R2453" s="32">
        <v>45636.0</v>
      </c>
      <c r="S2453" s="32">
        <v>44842.0</v>
      </c>
      <c r="T2453" s="29"/>
      <c r="U2453" s="33"/>
      <c r="V2453" s="1"/>
    </row>
    <row r="2454" ht="24.0" customHeight="1">
      <c r="A2454" s="1"/>
      <c r="B2454" s="24" t="str">
        <f>HYPERLINK("https://www.compass.com/listing/267-273-1st-street-unit-9-brooklyn-ny-11215/29466627745559313/view?agent_id=610d3f3370540700019b0833","267-273 1st Street, Unit 9")</f>
        <v>267-273 1st Street, Unit 9</v>
      </c>
      <c r="C2454" s="25" t="s">
        <v>364</v>
      </c>
      <c r="D2454" s="26" t="s">
        <v>23</v>
      </c>
      <c r="E2454" s="27" t="str">
        <f>HYPERLINK("https://www.compass.com/building/267-273-1st-st-brooklyn-ny-11215/293402223600297349/","267-273 1st St")</f>
        <v>267-273 1st St</v>
      </c>
      <c r="F2454" s="25" t="s">
        <v>40</v>
      </c>
      <c r="G2454" s="28">
        <v>999000.0</v>
      </c>
      <c r="H2454" s="28">
        <v>864.0</v>
      </c>
      <c r="I2454" s="28">
        <v>774.0</v>
      </c>
      <c r="J2454" s="28">
        <v>1344.0</v>
      </c>
      <c r="K2454" s="25" t="s">
        <v>28</v>
      </c>
      <c r="L2454" s="26">
        <v>4.0</v>
      </c>
      <c r="M2454" s="26">
        <v>2.0</v>
      </c>
      <c r="N2454" s="26">
        <v>0.0</v>
      </c>
      <c r="O2454" s="26">
        <v>0.0</v>
      </c>
      <c r="P2454" s="34">
        <v>1156.0</v>
      </c>
      <c r="Q2454" s="35">
        <v>9.0</v>
      </c>
      <c r="R2454" s="32">
        <v>44581.0</v>
      </c>
      <c r="S2454" s="32">
        <v>41325.0</v>
      </c>
      <c r="T2454" s="29"/>
      <c r="U2454" s="33"/>
      <c r="V2454" s="1"/>
    </row>
    <row r="2455" ht="24.0" customHeight="1">
      <c r="A2455" s="1"/>
      <c r="B2455" s="24" t="str">
        <f>HYPERLINK("https://www.compass.com/listing/176-sterling-place-unit-6l-brooklyn-ny-11217/1597923095970400105/view?agent_id=610d3f3370540700019b0833","176 Sterling Place, Unit 6L")</f>
        <v>176 Sterling Place, Unit 6L</v>
      </c>
      <c r="C2455" s="25" t="s">
        <v>365</v>
      </c>
      <c r="D2455" s="26" t="s">
        <v>23</v>
      </c>
      <c r="E2455" s="27" t="str">
        <f>HYPERLINK("https://www.compass.com/building/176-sterling-pl-brooklyn-ny-11217/282501697098560917/","176 Sterling Pl")</f>
        <v>176 Sterling Pl</v>
      </c>
      <c r="F2455" s="25" t="s">
        <v>40</v>
      </c>
      <c r="G2455" s="28">
        <v>1170000.0</v>
      </c>
      <c r="H2455" s="29"/>
      <c r="I2455" s="28">
        <v>803.0</v>
      </c>
      <c r="J2455" s="28">
        <v>0.0</v>
      </c>
      <c r="K2455" s="25" t="s">
        <v>25</v>
      </c>
      <c r="L2455" s="26">
        <v>3.0</v>
      </c>
      <c r="M2455" s="26">
        <v>2.0</v>
      </c>
      <c r="N2455" s="26">
        <v>1.0</v>
      </c>
      <c r="O2455" s="26">
        <v>0.0</v>
      </c>
      <c r="P2455" s="30"/>
      <c r="Q2455" s="35">
        <v>91.0</v>
      </c>
      <c r="R2455" s="32">
        <v>45552.0</v>
      </c>
      <c r="S2455" s="32">
        <v>45456.0</v>
      </c>
      <c r="T2455" s="29"/>
      <c r="U2455" s="33"/>
      <c r="V2455" s="1"/>
    </row>
    <row r="2456" ht="24.0" customHeight="1">
      <c r="A2456" s="1"/>
      <c r="B2456" s="24" t="str">
        <f>HYPERLINK("https://www.compass.com/listing/108-prospect-park-west-unit-4-brooklyn-ny-11215/1838924118033364745/view?agent_id=610d3f3370540700019b0833","108 Prospect Park West, Unit 4")</f>
        <v>108 Prospect Park West, Unit 4</v>
      </c>
      <c r="C2456" s="25" t="s">
        <v>364</v>
      </c>
      <c r="D2456" s="26" t="s">
        <v>23</v>
      </c>
      <c r="E2456" s="27" t="str">
        <f>HYPERLINK("https://www.compass.com/building/108-prospect-park-w-brooklyn-ny-11215/282511109469067093/","108 Prospect Park W")</f>
        <v>108 Prospect Park W</v>
      </c>
      <c r="F2456" s="25" t="s">
        <v>40</v>
      </c>
      <c r="G2456" s="28">
        <v>899000.0</v>
      </c>
      <c r="H2456" s="29"/>
      <c r="I2456" s="28">
        <v>877.0</v>
      </c>
      <c r="J2456" s="28">
        <v>5424.0</v>
      </c>
      <c r="K2456" s="25" t="s">
        <v>28</v>
      </c>
      <c r="L2456" s="26">
        <v>4.0</v>
      </c>
      <c r="M2456" s="26">
        <v>2.0</v>
      </c>
      <c r="N2456" s="26">
        <v>0.0</v>
      </c>
      <c r="O2456" s="26">
        <v>0.0</v>
      </c>
      <c r="P2456" s="30"/>
      <c r="Q2456" s="35">
        <v>3396.0</v>
      </c>
      <c r="R2456" s="32">
        <v>44581.0</v>
      </c>
      <c r="S2456" s="32">
        <v>41184.0</v>
      </c>
      <c r="T2456" s="29"/>
      <c r="U2456" s="33"/>
      <c r="V2456" s="1"/>
    </row>
    <row r="2457" ht="24.0" customHeight="1">
      <c r="A2457" s="1"/>
      <c r="B2457" s="24" t="str">
        <f>HYPERLINK("https://www.compass.com/listing/205-clinton-avenue-unit-12g-brooklyn-ny-11205/922028998703773473/view?agent_id=610d3f3370540700019b0833","205 Clinton Avenue, Unit 12G")</f>
        <v>205 Clinton Avenue, Unit 12G</v>
      </c>
      <c r="C2457" s="25" t="s">
        <v>364</v>
      </c>
      <c r="D2457" s="26" t="s">
        <v>23</v>
      </c>
      <c r="E2457" s="27" t="str">
        <f>HYPERLINK("https://www.compass.com/building/clinton-hill-coops-north-campus-brooklyn-ny/307445614635647509/","Clinton Hill Coops - North Campus")</f>
        <v>Clinton Hill Coops - North Campus</v>
      </c>
      <c r="F2457" s="25" t="s">
        <v>30</v>
      </c>
      <c r="G2457" s="28">
        <v>750000.0</v>
      </c>
      <c r="H2457" s="29"/>
      <c r="I2457" s="28">
        <v>909.0</v>
      </c>
      <c r="J2457" s="29"/>
      <c r="K2457" s="25" t="s">
        <v>25</v>
      </c>
      <c r="L2457" s="26">
        <v>4.0</v>
      </c>
      <c r="M2457" s="26">
        <v>2.0</v>
      </c>
      <c r="N2457" s="26">
        <v>1.0</v>
      </c>
      <c r="O2457" s="26">
        <v>0.0</v>
      </c>
      <c r="P2457" s="30"/>
      <c r="Q2457" s="35">
        <v>121.0</v>
      </c>
      <c r="R2457" s="32">
        <v>45636.0</v>
      </c>
      <c r="S2457" s="32">
        <v>43356.0</v>
      </c>
      <c r="T2457" s="29"/>
      <c r="U2457" s="33"/>
      <c r="V2457" s="1"/>
    </row>
    <row r="2458" ht="24.0" customHeight="1">
      <c r="A2458" s="1"/>
      <c r="B2458" s="24" t="str">
        <f>HYPERLINK("https://www.compass.com/listing/105-west-77th-street-unit-1c-manhattan-ny-10024/309170619186834289/view?agent_id=610d3f3370540700019b0833","105 West 77th Street, Unit 1C")</f>
        <v>105 West 77th Street, Unit 1C</v>
      </c>
      <c r="C2458" s="25" t="s">
        <v>364</v>
      </c>
      <c r="D2458" s="26" t="s">
        <v>23</v>
      </c>
      <c r="E2458" s="27" t="str">
        <f>HYPERLINK("https://www.compass.com/building/105-w-77th-st-manhattan-ny-10024/281924513682200661/","105 W 77th St")</f>
        <v>105 W 77th St</v>
      </c>
      <c r="F2458" s="25" t="s">
        <v>29</v>
      </c>
      <c r="G2458" s="28">
        <v>2900.0</v>
      </c>
      <c r="H2458" s="29"/>
      <c r="I2458" s="28">
        <v>0.0</v>
      </c>
      <c r="J2458" s="28">
        <v>0.0</v>
      </c>
      <c r="K2458" s="25" t="s">
        <v>28</v>
      </c>
      <c r="L2458" s="26">
        <v>3.0</v>
      </c>
      <c r="M2458" s="26">
        <v>2.0</v>
      </c>
      <c r="N2458" s="26">
        <v>1.0</v>
      </c>
      <c r="O2458" s="30"/>
      <c r="P2458" s="30"/>
      <c r="Q2458" s="35">
        <v>1.0</v>
      </c>
      <c r="R2458" s="32">
        <v>43679.0</v>
      </c>
      <c r="S2458" s="32">
        <v>43678.0</v>
      </c>
      <c r="T2458" s="29"/>
      <c r="U2458" s="33"/>
      <c r="V2458" s="1"/>
    </row>
    <row r="2459" ht="24.0" customHeight="1">
      <c r="A2459" s="1"/>
      <c r="B2459" s="24" t="str">
        <f>HYPERLINK("https://www.compass.com/listing/1405-8th-avenue-unit-1d-brooklyn-ny-11215/1155151092442377721/view?agent_id=610d3f3370540700019b0833","1405 8th Avenue, Unit 1D")</f>
        <v>1405 8th Avenue, Unit 1D</v>
      </c>
      <c r="C2459" s="25" t="s">
        <v>365</v>
      </c>
      <c r="D2459" s="26" t="s">
        <v>23</v>
      </c>
      <c r="E2459" s="27" t="str">
        <f>HYPERLINK("https://www.compass.com/building/the-leon-brooklyn-ny/282511787788687573/","The Leon")</f>
        <v>The Leon</v>
      </c>
      <c r="F2459" s="25" t="s">
        <v>40</v>
      </c>
      <c r="G2459" s="28">
        <v>875000.0</v>
      </c>
      <c r="H2459" s="29"/>
      <c r="I2459" s="28">
        <v>970.0</v>
      </c>
      <c r="J2459" s="28">
        <v>8172.0</v>
      </c>
      <c r="K2459" s="25" t="s">
        <v>28</v>
      </c>
      <c r="L2459" s="26">
        <v>4.0</v>
      </c>
      <c r="M2459" s="26">
        <v>2.0</v>
      </c>
      <c r="N2459" s="26">
        <v>1.0</v>
      </c>
      <c r="O2459" s="30"/>
      <c r="P2459" s="30"/>
      <c r="Q2459" s="35">
        <v>26.0</v>
      </c>
      <c r="R2459" s="32">
        <v>44872.0</v>
      </c>
      <c r="S2459" s="32">
        <v>44845.0</v>
      </c>
      <c r="T2459" s="29"/>
      <c r="U2459" s="33"/>
      <c r="V2459" s="1"/>
    </row>
    <row r="2460" ht="24.0" customHeight="1">
      <c r="A2460" s="1"/>
      <c r="B2460" s="24" t="str">
        <f>HYPERLINK("https://www.compass.com/listing/362-15th-street-unit-1r-brooklyn-ny-11215/848961494561238297/view?agent_id=610d3f3370540700019b0833","362 15th Street, Unit 1R")</f>
        <v>362 15th Street, Unit 1R</v>
      </c>
      <c r="C2460" s="25" t="s">
        <v>364</v>
      </c>
      <c r="D2460" s="26" t="s">
        <v>23</v>
      </c>
      <c r="E2460" s="27" t="str">
        <f>HYPERLINK("https://www.compass.com/building/362-15th-st-brooklyn-ny-11215/307452374268076357/","362 15th St")</f>
        <v>362 15th St</v>
      </c>
      <c r="F2460" s="25" t="s">
        <v>40</v>
      </c>
      <c r="G2460" s="28">
        <v>1099000.0</v>
      </c>
      <c r="H2460" s="29"/>
      <c r="I2460" s="28">
        <v>832.0</v>
      </c>
      <c r="J2460" s="28">
        <v>6372.0</v>
      </c>
      <c r="K2460" s="25" t="s">
        <v>28</v>
      </c>
      <c r="L2460" s="26">
        <v>5.0</v>
      </c>
      <c r="M2460" s="26">
        <v>2.0</v>
      </c>
      <c r="N2460" s="26">
        <v>0.0</v>
      </c>
      <c r="O2460" s="26">
        <v>0.0</v>
      </c>
      <c r="P2460" s="30"/>
      <c r="Q2460" s="35">
        <v>90.0</v>
      </c>
      <c r="R2460" s="32">
        <v>45636.0</v>
      </c>
      <c r="S2460" s="32">
        <v>43110.0</v>
      </c>
      <c r="T2460" s="29"/>
      <c r="U2460" s="33"/>
      <c r="V2460" s="1"/>
    </row>
    <row r="2461" ht="24.0" customHeight="1">
      <c r="A2461" s="1"/>
      <c r="B2461" s="24" t="str">
        <f>HYPERLINK("https://www.compass.com/listing/315-west-70th-street-unit-14k-manhattan-ny-10023/192571198482262081/view?agent_id=610d3f3370540700019b0833","315 West 70th Street, Unit 14K")</f>
        <v>315 West 70th Street, Unit 14K</v>
      </c>
      <c r="C2461" s="25" t="s">
        <v>364</v>
      </c>
      <c r="D2461" s="26" t="s">
        <v>23</v>
      </c>
      <c r="E2461" s="27" t="str">
        <f>HYPERLINK("https://www.compass.com/building/315-w-70th-st-manhattan-ny-10023/281959778366857653/","315 W 70th St")</f>
        <v>315 W 70th St</v>
      </c>
      <c r="F2461" s="25" t="s">
        <v>29</v>
      </c>
      <c r="G2461" s="28">
        <v>1840000.0</v>
      </c>
      <c r="H2461" s="29"/>
      <c r="I2461" s="28">
        <v>2553.0</v>
      </c>
      <c r="J2461" s="29"/>
      <c r="K2461" s="25" t="s">
        <v>25</v>
      </c>
      <c r="L2461" s="26">
        <v>5.0</v>
      </c>
      <c r="M2461" s="26">
        <v>2.0</v>
      </c>
      <c r="N2461" s="26">
        <v>0.0</v>
      </c>
      <c r="O2461" s="26">
        <v>0.0</v>
      </c>
      <c r="P2461" s="30"/>
      <c r="Q2461" s="35">
        <v>47.0</v>
      </c>
      <c r="R2461" s="32">
        <v>45636.0</v>
      </c>
      <c r="S2461" s="32">
        <v>42181.0</v>
      </c>
      <c r="T2461" s="29"/>
      <c r="U2461" s="33"/>
      <c r="V2461" s="1"/>
    </row>
    <row r="2462" ht="24.0" customHeight="1">
      <c r="A2462" s="1"/>
      <c r="B2462" s="24" t="str">
        <f>HYPERLINK("https://www.compass.com/listing/150-west-end-avenue-unit-12r-manhattan-ny-10023/1838908051315135001/view?agent_id=610d3f3370540700019b0833","150 West End Avenue, Unit 12R")</f>
        <v>150 West End Avenue, Unit 12R</v>
      </c>
      <c r="C2462" s="25" t="s">
        <v>364</v>
      </c>
      <c r="D2462" s="26" t="s">
        <v>23</v>
      </c>
      <c r="E2462" s="27" t="str">
        <f>HYPERLINK("https://www.compass.com/building/lincoln-towers-manhattan-ny/281957420614359205/","Lincoln Towers")</f>
        <v>Lincoln Towers</v>
      </c>
      <c r="F2462" s="25" t="s">
        <v>29</v>
      </c>
      <c r="G2462" s="28">
        <v>850000.0</v>
      </c>
      <c r="H2462" s="29"/>
      <c r="I2462" s="28">
        <v>1449.0</v>
      </c>
      <c r="J2462" s="29"/>
      <c r="K2462" s="25" t="s">
        <v>25</v>
      </c>
      <c r="L2462" s="26">
        <v>4.0</v>
      </c>
      <c r="M2462" s="26">
        <v>2.0</v>
      </c>
      <c r="N2462" s="26">
        <v>0.0</v>
      </c>
      <c r="O2462" s="26">
        <v>0.0</v>
      </c>
      <c r="P2462" s="30"/>
      <c r="Q2462" s="35">
        <v>90.0</v>
      </c>
      <c r="R2462" s="32">
        <v>45636.0</v>
      </c>
      <c r="S2462" s="32">
        <v>42228.0</v>
      </c>
      <c r="T2462" s="29"/>
      <c r="U2462" s="33"/>
      <c r="V2462" s="1"/>
    </row>
    <row r="2463" ht="24.0" customHeight="1">
      <c r="A2463" s="1"/>
      <c r="B2463" s="24" t="str">
        <f>HYPERLINK("https://www.compass.com/listing/525-broome-street-unit-7-manhattan-ny-10013/4852306284357100785/view?agent_id=610d3f3370540700019b0833","525 Broome Street, Unit 7")</f>
        <v>525 Broome Street, Unit 7</v>
      </c>
      <c r="C2463" s="25" t="s">
        <v>370</v>
      </c>
      <c r="D2463" s="26" t="s">
        <v>23</v>
      </c>
      <c r="E2463" s="27" t="str">
        <f>HYPERLINK("https://www.compass.com/building/525-broome-st-manhattan-ny-10013/294846966345182757/","525 Broome St")</f>
        <v>525 Broome St</v>
      </c>
      <c r="F2463" s="25" t="s">
        <v>53</v>
      </c>
      <c r="G2463" s="28">
        <v>4500000.0</v>
      </c>
      <c r="H2463" s="28">
        <v>1875.0</v>
      </c>
      <c r="I2463" s="28">
        <v>2749.0</v>
      </c>
      <c r="J2463" s="28">
        <v>16152.0</v>
      </c>
      <c r="K2463" s="25" t="s">
        <v>28</v>
      </c>
      <c r="L2463" s="26">
        <v>5.0</v>
      </c>
      <c r="M2463" s="26">
        <v>2.0</v>
      </c>
      <c r="N2463" s="26">
        <v>0.0</v>
      </c>
      <c r="O2463" s="26">
        <v>0.0</v>
      </c>
      <c r="P2463" s="34">
        <v>2400.0</v>
      </c>
      <c r="Q2463" s="35">
        <v>344.0</v>
      </c>
      <c r="R2463" s="32">
        <v>45636.0</v>
      </c>
      <c r="S2463" s="32">
        <v>41172.0</v>
      </c>
      <c r="T2463" s="29"/>
      <c r="U2463" s="33"/>
      <c r="V2463" s="1"/>
    </row>
    <row r="2464" ht="24.0" customHeight="1">
      <c r="A2464" s="1"/>
      <c r="B2464" s="24" t="str">
        <f>HYPERLINK("https://www.compass.com/listing/839-carroll-street-unit-5-brooklyn-ny-11215/670540859857854145/view?agent_id=610d3f3370540700019b0833","839 Carroll Street, Unit 5")</f>
        <v>839 Carroll Street, Unit 5</v>
      </c>
      <c r="C2464" s="25" t="s">
        <v>364</v>
      </c>
      <c r="D2464" s="26" t="s">
        <v>23</v>
      </c>
      <c r="E2464" s="27" t="str">
        <f>HYPERLINK("https://www.compass.com/building/839-carroll-st-brooklyn-ny-11215/282500991566297733/","839 Carroll St")</f>
        <v>839 Carroll St</v>
      </c>
      <c r="F2464" s="25" t="s">
        <v>40</v>
      </c>
      <c r="G2464" s="28">
        <v>899000.0</v>
      </c>
      <c r="H2464" s="29"/>
      <c r="I2464" s="28">
        <v>1031.0</v>
      </c>
      <c r="J2464" s="29"/>
      <c r="K2464" s="25" t="s">
        <v>25</v>
      </c>
      <c r="L2464" s="26">
        <v>4.0</v>
      </c>
      <c r="M2464" s="26">
        <v>2.0</v>
      </c>
      <c r="N2464" s="26">
        <v>1.0</v>
      </c>
      <c r="O2464" s="26">
        <v>0.0</v>
      </c>
      <c r="P2464" s="30"/>
      <c r="Q2464" s="35">
        <v>39.0</v>
      </c>
      <c r="R2464" s="32">
        <v>45636.0</v>
      </c>
      <c r="S2464" s="32">
        <v>41955.0</v>
      </c>
      <c r="T2464" s="29"/>
      <c r="U2464" s="33"/>
      <c r="V2464" s="1"/>
    </row>
    <row r="2465" ht="24.0" customHeight="1">
      <c r="A2465" s="1"/>
      <c r="B2465" s="24" t="str">
        <f>HYPERLINK("https://www.compass.com/listing/914-8th-avenue-unit-3-brooklyn-ny-11215/80176837719870433/view?agent_id=610d3f3370540700019b0833","914 8th Avenue, Unit 3")</f>
        <v>914 8th Avenue, Unit 3</v>
      </c>
      <c r="C2465" s="25" t="s">
        <v>364</v>
      </c>
      <c r="D2465" s="26" t="s">
        <v>23</v>
      </c>
      <c r="E2465" s="27" t="str">
        <f>HYPERLINK("https://www.compass.com/building/914-8th-ave-brooklyn-ny-11215/282502001101715221/","914 8th Ave")</f>
        <v>914 8th Ave</v>
      </c>
      <c r="F2465" s="25" t="s">
        <v>40</v>
      </c>
      <c r="G2465" s="28">
        <v>1432000.0</v>
      </c>
      <c r="H2465" s="29"/>
      <c r="I2465" s="28">
        <v>797.0</v>
      </c>
      <c r="J2465" s="29"/>
      <c r="K2465" s="25" t="s">
        <v>25</v>
      </c>
      <c r="L2465" s="26">
        <v>6.0</v>
      </c>
      <c r="M2465" s="26">
        <v>2.0</v>
      </c>
      <c r="N2465" s="26">
        <v>0.0</v>
      </c>
      <c r="O2465" s="26">
        <v>0.0</v>
      </c>
      <c r="P2465" s="30"/>
      <c r="Q2465" s="35">
        <v>945.0</v>
      </c>
      <c r="R2465" s="32">
        <v>45636.0</v>
      </c>
      <c r="S2465" s="32">
        <v>41933.0</v>
      </c>
      <c r="T2465" s="29"/>
      <c r="U2465" s="33"/>
      <c r="V2465" s="1"/>
    </row>
    <row r="2466" ht="24.0" customHeight="1">
      <c r="A2466" s="1"/>
      <c r="B2466" s="24" t="str">
        <f>HYPERLINK("https://www.compass.com/listing/40-mercer-street-unit-21-manhattan-ny-10013/1809613225889214745/view?agent_id=610d3f3370540700019b0833","40 Mercer Street, Unit 21")</f>
        <v>40 Mercer Street, Unit 21</v>
      </c>
      <c r="C2466" s="25" t="s">
        <v>364</v>
      </c>
      <c r="D2466" s="26" t="s">
        <v>23</v>
      </c>
      <c r="E2466" s="27" t="str">
        <f>HYPERLINK("https://www.compass.com/building/40-mercer-st-manhattan-ny-10013/281919553196295429/","40 Mercer St")</f>
        <v>40 Mercer St</v>
      </c>
      <c r="F2466" s="25" t="s">
        <v>53</v>
      </c>
      <c r="G2466" s="28">
        <v>4275000.0</v>
      </c>
      <c r="H2466" s="28">
        <v>2450.0</v>
      </c>
      <c r="I2466" s="28">
        <v>5754.0</v>
      </c>
      <c r="J2466" s="28">
        <v>31824.0</v>
      </c>
      <c r="K2466" s="25" t="s">
        <v>28</v>
      </c>
      <c r="L2466" s="26">
        <v>6.0</v>
      </c>
      <c r="M2466" s="26">
        <v>2.0</v>
      </c>
      <c r="N2466" s="26">
        <v>0.0</v>
      </c>
      <c r="O2466" s="26">
        <v>0.0</v>
      </c>
      <c r="P2466" s="34">
        <v>1745.0</v>
      </c>
      <c r="Q2466" s="35">
        <v>239.0</v>
      </c>
      <c r="R2466" s="32">
        <v>45636.0</v>
      </c>
      <c r="S2466" s="32">
        <v>42738.0</v>
      </c>
      <c r="T2466" s="29"/>
      <c r="U2466" s="33"/>
      <c r="V2466" s="1"/>
    </row>
    <row r="2467" ht="24.0" customHeight="1">
      <c r="A2467" s="1"/>
      <c r="B2467" s="24" t="str">
        <f>HYPERLINK("https://www.compass.com/listing/2-charlton-street-unit-6j-manhattan-ny-10014/1007116473681674481/view?agent_id=610d3f3370540700019b0833","2 Charlton Street, Unit 6J")</f>
        <v>2 Charlton Street, Unit 6J</v>
      </c>
      <c r="C2467" s="25" t="s">
        <v>364</v>
      </c>
      <c r="D2467" s="26" t="s">
        <v>23</v>
      </c>
      <c r="E2467" s="27" t="str">
        <f>HYPERLINK("https://www.compass.com/building/the-charlton-house-manhattan-ny/344160331019429381/","The Charlton House ")</f>
        <v>The Charlton House </v>
      </c>
      <c r="F2467" s="25" t="s">
        <v>135</v>
      </c>
      <c r="G2467" s="28">
        <v>1399000.0</v>
      </c>
      <c r="H2467" s="29"/>
      <c r="I2467" s="28">
        <v>1744.0</v>
      </c>
      <c r="J2467" s="28">
        <v>0.0</v>
      </c>
      <c r="K2467" s="25" t="s">
        <v>25</v>
      </c>
      <c r="L2467" s="26">
        <v>4.0</v>
      </c>
      <c r="M2467" s="26">
        <v>2.0</v>
      </c>
      <c r="N2467" s="26">
        <v>1.0</v>
      </c>
      <c r="O2467" s="30"/>
      <c r="P2467" s="30"/>
      <c r="Q2467" s="35">
        <v>45.0</v>
      </c>
      <c r="R2467" s="32">
        <v>44686.0</v>
      </c>
      <c r="S2467" s="32">
        <v>44641.0</v>
      </c>
      <c r="T2467" s="29"/>
      <c r="U2467" s="33"/>
      <c r="V2467" s="1"/>
    </row>
    <row r="2468" ht="24.0" customHeight="1">
      <c r="A2468" s="1"/>
      <c r="B2468" s="24" t="str">
        <f>HYPERLINK("https://www.compass.com/listing/145-chambers-street-unit-3-manhattan-ny-10013/921001189675385209/view?agent_id=610d3f3370540700019b0833","145 Chambers Street, Unit 3")</f>
        <v>145 Chambers Street, Unit 3</v>
      </c>
      <c r="C2468" s="25" t="s">
        <v>364</v>
      </c>
      <c r="D2468" s="26" t="s">
        <v>23</v>
      </c>
      <c r="E2468" s="27" t="str">
        <f>HYPERLINK("https://www.compass.com/building/145-chambers-st-manhattan-ny-10013/307440622004640549/","145 Chambers St")</f>
        <v>145 Chambers St</v>
      </c>
      <c r="F2468" s="25" t="s">
        <v>60</v>
      </c>
      <c r="G2468" s="28">
        <v>1350000.0</v>
      </c>
      <c r="H2468" s="28">
        <v>816.0</v>
      </c>
      <c r="I2468" s="28">
        <v>3700.0</v>
      </c>
      <c r="J2468" s="29"/>
      <c r="K2468" s="25" t="s">
        <v>25</v>
      </c>
      <c r="L2468" s="26">
        <v>5.0</v>
      </c>
      <c r="M2468" s="26">
        <v>2.0</v>
      </c>
      <c r="N2468" s="26">
        <v>0.0</v>
      </c>
      <c r="O2468" s="26">
        <v>0.0</v>
      </c>
      <c r="P2468" s="34">
        <v>1655.0</v>
      </c>
      <c r="Q2468" s="35">
        <v>134.0</v>
      </c>
      <c r="R2468" s="32">
        <v>45636.0</v>
      </c>
      <c r="S2468" s="32">
        <v>41492.0</v>
      </c>
      <c r="T2468" s="29"/>
      <c r="U2468" s="33"/>
      <c r="V2468" s="1"/>
    </row>
    <row r="2469" ht="24.0" customHeight="1">
      <c r="A2469" s="1"/>
      <c r="B2469" s="24" t="str">
        <f>HYPERLINK("https://www.compass.com/listing/225-lincoln-place-unit-5a-brooklyn-ny-11217/1486396193486345489/view?agent_id=610d3f3370540700019b0833","225 Lincoln Place, Unit 5A")</f>
        <v>225 Lincoln Place, Unit 5A</v>
      </c>
      <c r="C2469" s="25" t="s">
        <v>370</v>
      </c>
      <c r="D2469" s="26" t="s">
        <v>23</v>
      </c>
      <c r="E2469" s="27" t="str">
        <f t="shared" ref="E2469:E2470" si="51">HYPERLINK("https://www.compass.com/building/225-lincoln-pl-brooklyn-ny-11217/282504307255885637/","225 Lincoln Pl")</f>
        <v>225 Lincoln Pl</v>
      </c>
      <c r="F2469" s="25" t="s">
        <v>40</v>
      </c>
      <c r="G2469" s="28">
        <v>949000.0</v>
      </c>
      <c r="H2469" s="29"/>
      <c r="I2469" s="28">
        <v>1515.0</v>
      </c>
      <c r="J2469" s="28">
        <v>0.0</v>
      </c>
      <c r="K2469" s="25" t="s">
        <v>25</v>
      </c>
      <c r="L2469" s="26">
        <v>4.0</v>
      </c>
      <c r="M2469" s="26">
        <v>2.0</v>
      </c>
      <c r="N2469" s="26">
        <v>1.0</v>
      </c>
      <c r="O2469" s="26">
        <v>0.0</v>
      </c>
      <c r="P2469" s="30"/>
      <c r="Q2469" s="35">
        <v>110.0</v>
      </c>
      <c r="R2469" s="32">
        <v>45413.0</v>
      </c>
      <c r="S2469" s="32">
        <v>45302.0</v>
      </c>
      <c r="T2469" s="29"/>
      <c r="U2469" s="33"/>
      <c r="V2469" s="1"/>
    </row>
    <row r="2470" ht="24.0" customHeight="1">
      <c r="A2470" s="1"/>
      <c r="B2470" s="24" t="str">
        <f>HYPERLINK("https://www.compass.com/listing/225-lincoln-place-unit-5a-brooklyn-ny-11217/1569643016841302097/view?agent_id=610d3f3370540700019b0833","225 Lincoln Place, Unit 5A")</f>
        <v>225 Lincoln Place, Unit 5A</v>
      </c>
      <c r="C2470" s="25" t="s">
        <v>364</v>
      </c>
      <c r="D2470" s="26" t="s">
        <v>23</v>
      </c>
      <c r="E2470" s="27" t="str">
        <f t="shared" si="51"/>
        <v>225 Lincoln Pl</v>
      </c>
      <c r="F2470" s="25" t="s">
        <v>40</v>
      </c>
      <c r="G2470" s="28">
        <v>899000.0</v>
      </c>
      <c r="H2470" s="29"/>
      <c r="I2470" s="28">
        <v>1515.0</v>
      </c>
      <c r="J2470" s="28">
        <v>0.0</v>
      </c>
      <c r="K2470" s="25" t="s">
        <v>25</v>
      </c>
      <c r="L2470" s="26">
        <v>4.0</v>
      </c>
      <c r="M2470" s="26">
        <v>2.0</v>
      </c>
      <c r="N2470" s="26">
        <v>1.0</v>
      </c>
      <c r="O2470" s="26">
        <v>0.0</v>
      </c>
      <c r="P2470" s="30"/>
      <c r="Q2470" s="35">
        <v>87.0</v>
      </c>
      <c r="R2470" s="32">
        <v>45505.0</v>
      </c>
      <c r="S2470" s="32">
        <v>45417.0</v>
      </c>
      <c r="T2470" s="29"/>
      <c r="U2470" s="33"/>
      <c r="V2470" s="1"/>
    </row>
    <row r="2471" ht="24.0" customHeight="1">
      <c r="A2471" s="1"/>
      <c r="B2471" s="24" t="str">
        <f>HYPERLINK("https://www.compass.com/listing/3-great-jones-street-unit-r1-manhattan-ny-10012/4852266403899654001/view?agent_id=610d3f3370540700019b0833","3 Great Jones Street, Unit R1")</f>
        <v>3 Great Jones Street, Unit R1</v>
      </c>
      <c r="C2471" s="25" t="s">
        <v>364</v>
      </c>
      <c r="D2471" s="26" t="s">
        <v>23</v>
      </c>
      <c r="E2471" s="27" t="str">
        <f>HYPERLINK("https://www.compass.com/building/3-great-jones-manhattan-ny/281914794489968869/","3 Great Jones")</f>
        <v>3 Great Jones</v>
      </c>
      <c r="F2471" s="25" t="s">
        <v>57</v>
      </c>
      <c r="G2471" s="28">
        <v>3250000.0</v>
      </c>
      <c r="H2471" s="28">
        <v>1477.0</v>
      </c>
      <c r="I2471" s="28">
        <v>2436.0</v>
      </c>
      <c r="J2471" s="29"/>
      <c r="K2471" s="25" t="s">
        <v>25</v>
      </c>
      <c r="L2471" s="26">
        <v>6.0</v>
      </c>
      <c r="M2471" s="26">
        <v>2.0</v>
      </c>
      <c r="N2471" s="26">
        <v>0.0</v>
      </c>
      <c r="O2471" s="26">
        <v>0.0</v>
      </c>
      <c r="P2471" s="34">
        <v>2200.0</v>
      </c>
      <c r="Q2471" s="35">
        <v>169.0</v>
      </c>
      <c r="R2471" s="32">
        <v>45636.0</v>
      </c>
      <c r="S2471" s="32">
        <v>41894.0</v>
      </c>
      <c r="T2471" s="29"/>
      <c r="U2471" s="33"/>
      <c r="V2471" s="1"/>
    </row>
    <row r="2472" ht="24.0" customHeight="1">
      <c r="A2472" s="1"/>
      <c r="B2472" s="24" t="str">
        <f>HYPERLINK("https://www.compass.com/listing/165-duane-street-unit-6b-manhattan-ny-10013/223128600902134161/view?agent_id=610d3f3370540700019b0833","165 Duane Street, Unit 6B")</f>
        <v>165 Duane Street, Unit 6B</v>
      </c>
      <c r="C2472" s="25" t="s">
        <v>364</v>
      </c>
      <c r="D2472" s="26" t="s">
        <v>23</v>
      </c>
      <c r="E2472" s="27" t="str">
        <f t="shared" ref="E2472:E2473" si="52">HYPERLINK("https://www.compass.com/building/165-duane-st-manhattan-ny-10013/292817738101990517/","165 Duane St")</f>
        <v>165 Duane St</v>
      </c>
      <c r="F2472" s="25" t="s">
        <v>60</v>
      </c>
      <c r="G2472" s="28">
        <v>2249000.0</v>
      </c>
      <c r="H2472" s="29"/>
      <c r="I2472" s="28">
        <v>2200.0</v>
      </c>
      <c r="J2472" s="29"/>
      <c r="K2472" s="25" t="s">
        <v>25</v>
      </c>
      <c r="L2472" s="26">
        <v>4.0</v>
      </c>
      <c r="M2472" s="26">
        <v>2.0</v>
      </c>
      <c r="N2472" s="26">
        <v>1.0</v>
      </c>
      <c r="O2472" s="26">
        <v>0.0</v>
      </c>
      <c r="P2472" s="30"/>
      <c r="Q2472" s="35">
        <v>187.0</v>
      </c>
      <c r="R2472" s="32">
        <v>45636.0</v>
      </c>
      <c r="S2472" s="32">
        <v>42648.0</v>
      </c>
      <c r="T2472" s="29"/>
      <c r="U2472" s="33"/>
      <c r="V2472" s="1"/>
    </row>
    <row r="2473" ht="24.0" customHeight="1">
      <c r="A2473" s="1"/>
      <c r="B2473" s="24" t="str">
        <f>HYPERLINK("https://www.compass.com/listing/165-duane-street-unit-6b-manhattan-ny-10013/921071195855494281/view?agent_id=610d3f3370540700019b0833","165 Duane Street, Unit 6B")</f>
        <v>165 Duane Street, Unit 6B</v>
      </c>
      <c r="C2473" s="25" t="s">
        <v>364</v>
      </c>
      <c r="D2473" s="26" t="s">
        <v>23</v>
      </c>
      <c r="E2473" s="27" t="str">
        <f t="shared" si="52"/>
        <v>165 Duane St</v>
      </c>
      <c r="F2473" s="25" t="s">
        <v>60</v>
      </c>
      <c r="G2473" s="28">
        <v>2449000.0</v>
      </c>
      <c r="H2473" s="29"/>
      <c r="I2473" s="28">
        <v>2200.0</v>
      </c>
      <c r="J2473" s="29"/>
      <c r="K2473" s="25" t="s">
        <v>25</v>
      </c>
      <c r="L2473" s="26">
        <v>4.0</v>
      </c>
      <c r="M2473" s="26">
        <v>2.0</v>
      </c>
      <c r="N2473" s="26">
        <v>0.0</v>
      </c>
      <c r="O2473" s="26">
        <v>0.0</v>
      </c>
      <c r="P2473" s="30"/>
      <c r="Q2473" s="35">
        <v>47.0</v>
      </c>
      <c r="R2473" s="32">
        <v>45636.0</v>
      </c>
      <c r="S2473" s="32">
        <v>42473.0</v>
      </c>
      <c r="T2473" s="29"/>
      <c r="U2473" s="33"/>
      <c r="V2473" s="1"/>
    </row>
    <row r="2474" ht="24.0" customHeight="1">
      <c r="A2474" s="1"/>
      <c r="B2474" s="24" t="str">
        <f>HYPERLINK("https://www.compass.com/listing/1991-broadway-unit-14a-manhattan-ny-10023/801570622186497049/view?agent_id=610d3f3370540700019b0833","1991 Broadway, Unit 14A")</f>
        <v>1991 Broadway, Unit 14A</v>
      </c>
      <c r="C2474" s="25" t="s">
        <v>364</v>
      </c>
      <c r="D2474" s="26" t="s">
        <v>23</v>
      </c>
      <c r="E2474" s="27" t="str">
        <f>HYPERLINK("https://www.compass.com/building/bel-canto-condominium-manhattan-ny/281958068667882245/","Bel Canto Condominium")</f>
        <v>Bel Canto Condominium</v>
      </c>
      <c r="F2474" s="25" t="s">
        <v>29</v>
      </c>
      <c r="G2474" s="28">
        <v>1790000.0</v>
      </c>
      <c r="H2474" s="28">
        <v>1657.0</v>
      </c>
      <c r="I2474" s="28">
        <v>2324.0</v>
      </c>
      <c r="J2474" s="28">
        <v>12516.0</v>
      </c>
      <c r="K2474" s="25" t="s">
        <v>28</v>
      </c>
      <c r="L2474" s="26">
        <v>4.0</v>
      </c>
      <c r="M2474" s="26">
        <v>2.0</v>
      </c>
      <c r="N2474" s="26">
        <v>0.0</v>
      </c>
      <c r="O2474" s="26">
        <v>0.0</v>
      </c>
      <c r="P2474" s="34">
        <v>1080.0</v>
      </c>
      <c r="Q2474" s="35">
        <v>92.0</v>
      </c>
      <c r="R2474" s="32">
        <v>44581.0</v>
      </c>
      <c r="S2474" s="32">
        <v>43104.0</v>
      </c>
      <c r="T2474" s="29"/>
      <c r="U2474" s="33"/>
      <c r="V2474" s="1"/>
    </row>
    <row r="2475" ht="24.0" customHeight="1">
      <c r="A2475" s="1"/>
      <c r="B2475" s="24" t="str">
        <f>HYPERLINK("https://www.compass.com/listing/375-riverside-drive-unit-11aa-manhattan-ny-10025/29431799671232529/view?agent_id=610d3f3370540700019b0833","375 Riverside Drive, Unit 11AA")</f>
        <v>375 Riverside Drive, Unit 11AA</v>
      </c>
      <c r="C2475" s="25" t="s">
        <v>370</v>
      </c>
      <c r="D2475" s="26" t="s">
        <v>23</v>
      </c>
      <c r="E2475" s="27" t="str">
        <f>HYPERLINK("https://www.compass.com/building/375-riverside-dr-manhattan-ny-10025/281971587832436533/","375 Riverside Dr")</f>
        <v>375 Riverside Dr</v>
      </c>
      <c r="F2475" s="25" t="s">
        <v>29</v>
      </c>
      <c r="G2475" s="28">
        <v>700000.0</v>
      </c>
      <c r="H2475" s="28">
        <v>700.0</v>
      </c>
      <c r="I2475" s="28">
        <v>1466.0</v>
      </c>
      <c r="J2475" s="29"/>
      <c r="K2475" s="25" t="s">
        <v>25</v>
      </c>
      <c r="L2475" s="26">
        <v>4.0</v>
      </c>
      <c r="M2475" s="26">
        <v>2.0</v>
      </c>
      <c r="N2475" s="26">
        <v>0.0</v>
      </c>
      <c r="O2475" s="26">
        <v>0.0</v>
      </c>
      <c r="P2475" s="34">
        <v>1000.0</v>
      </c>
      <c r="Q2475" s="35">
        <v>0.0</v>
      </c>
      <c r="R2475" s="32">
        <v>44581.0</v>
      </c>
      <c r="S2475" s="32">
        <v>41512.0</v>
      </c>
      <c r="T2475" s="29"/>
      <c r="U2475" s="33"/>
      <c r="V2475" s="1"/>
    </row>
    <row r="2476" ht="24.0" customHeight="1">
      <c r="A2476" s="1"/>
      <c r="B2476" s="24" t="str">
        <f>HYPERLINK("https://www.compass.com/listing/107-berkeley-place-unit-4f-brooklyn-ny-11217/1250666853433283073/view?agent_id=610d3f3370540700019b0833","107 Berkeley Place, Unit 4F")</f>
        <v>107 Berkeley Place, Unit 4F</v>
      </c>
      <c r="C2476" s="25" t="s">
        <v>364</v>
      </c>
      <c r="D2476" s="26" t="s">
        <v>23</v>
      </c>
      <c r="E2476" s="27" t="str">
        <f>HYPERLINK("https://www.compass.com/building/107-berkeley-pl-brooklyn-ny-11217/282500555660669077/","107 Berkeley Pl")</f>
        <v>107 Berkeley Pl</v>
      </c>
      <c r="F2476" s="25" t="s">
        <v>40</v>
      </c>
      <c r="G2476" s="28">
        <v>825000.0</v>
      </c>
      <c r="H2476" s="29"/>
      <c r="I2476" s="28">
        <v>628.0</v>
      </c>
      <c r="J2476" s="28">
        <v>0.0</v>
      </c>
      <c r="K2476" s="25" t="s">
        <v>25</v>
      </c>
      <c r="L2476" s="26">
        <v>4.0</v>
      </c>
      <c r="M2476" s="26">
        <v>2.0</v>
      </c>
      <c r="N2476" s="26">
        <v>1.0</v>
      </c>
      <c r="O2476" s="30"/>
      <c r="P2476" s="30"/>
      <c r="Q2476" s="35">
        <v>61.0</v>
      </c>
      <c r="R2476" s="32">
        <v>45174.0</v>
      </c>
      <c r="S2476" s="32">
        <v>44977.0</v>
      </c>
      <c r="T2476" s="29"/>
      <c r="U2476" s="33"/>
      <c r="V2476" s="1"/>
    </row>
    <row r="2477" ht="24.0" customHeight="1">
      <c r="A2477" s="1"/>
      <c r="B2477" s="24" t="str">
        <f>HYPERLINK("https://www.compass.com/listing/497-12th-street-unit-4r-brooklyn-ny-11215/987712898027015801/view?agent_id=610d3f3370540700019b0833","497 12th Street, Unit 4R")</f>
        <v>497 12th Street, Unit 4R</v>
      </c>
      <c r="C2477" s="25" t="s">
        <v>365</v>
      </c>
      <c r="D2477" s="26" t="s">
        <v>23</v>
      </c>
      <c r="E2477" s="27" t="str">
        <f>HYPERLINK("https://www.compass.com/building/497-12th-st-brooklyn-ny-11215/282506807841215445/","497 12th St")</f>
        <v>497 12th St</v>
      </c>
      <c r="F2477" s="25" t="s">
        <v>40</v>
      </c>
      <c r="G2477" s="28">
        <v>989000.0</v>
      </c>
      <c r="H2477" s="29"/>
      <c r="I2477" s="28">
        <v>649.0</v>
      </c>
      <c r="J2477" s="28">
        <v>4485.0</v>
      </c>
      <c r="K2477" s="25" t="s">
        <v>28</v>
      </c>
      <c r="L2477" s="26">
        <v>5.0</v>
      </c>
      <c r="M2477" s="26">
        <v>2.0</v>
      </c>
      <c r="N2477" s="26">
        <v>1.0</v>
      </c>
      <c r="O2477" s="30"/>
      <c r="P2477" s="30"/>
      <c r="Q2477" s="35">
        <v>9.0</v>
      </c>
      <c r="R2477" s="32">
        <v>44627.0</v>
      </c>
      <c r="S2477" s="32">
        <v>44617.0</v>
      </c>
      <c r="T2477" s="29"/>
      <c r="U2477" s="33"/>
      <c r="V2477" s="1"/>
    </row>
    <row r="2478" ht="24.0" customHeight="1">
      <c r="A2478" s="1"/>
      <c r="B2478" s="24" t="str">
        <f>HYPERLINK("https://www.compass.com/listing/316-west-82nd-street-unit-5r-manhattan-ny-10024/29401650510732497/view?agent_id=610d3f3370540700019b0833","316 West 82nd Street, Unit 5R")</f>
        <v>316 West 82nd Street, Unit 5R</v>
      </c>
      <c r="C2478" s="25" t="s">
        <v>364</v>
      </c>
      <c r="D2478" s="26" t="s">
        <v>23</v>
      </c>
      <c r="E2478" s="27" t="str">
        <f>HYPERLINK("https://www.compass.com/building/316-w-82nd-st-manhattan-ny-10024/281965270950559877/","316 W 82nd St")</f>
        <v>316 W 82nd St</v>
      </c>
      <c r="F2478" s="25" t="s">
        <v>29</v>
      </c>
      <c r="G2478" s="28">
        <v>699000.0</v>
      </c>
      <c r="H2478" s="29"/>
      <c r="I2478" s="28">
        <v>1576.0</v>
      </c>
      <c r="J2478" s="29"/>
      <c r="K2478" s="25" t="s">
        <v>25</v>
      </c>
      <c r="L2478" s="26">
        <v>4.0</v>
      </c>
      <c r="M2478" s="26">
        <v>2.0</v>
      </c>
      <c r="N2478" s="26">
        <v>0.0</v>
      </c>
      <c r="O2478" s="26">
        <v>0.0</v>
      </c>
      <c r="P2478" s="30"/>
      <c r="Q2478" s="35">
        <v>303.0</v>
      </c>
      <c r="R2478" s="32">
        <v>44581.0</v>
      </c>
      <c r="S2478" s="32">
        <v>41185.0</v>
      </c>
      <c r="T2478" s="29"/>
      <c r="U2478" s="33"/>
      <c r="V2478" s="1"/>
    </row>
    <row r="2479" ht="24.0" customHeight="1">
      <c r="A2479" s="1"/>
      <c r="B2479" s="24" t="str">
        <f>HYPERLINK("https://www.compass.com/listing/9-st-marks-place-unit-3-manhattan-ny-10003/1355149417706167753/view?agent_id=610d3f3370540700019b0833","9 St Marks Place, Unit 3")</f>
        <v>9 St Marks Place, Unit 3</v>
      </c>
      <c r="C2479" s="25" t="s">
        <v>365</v>
      </c>
      <c r="D2479" s="26" t="s">
        <v>23</v>
      </c>
      <c r="E2479" s="27" t="str">
        <f>HYPERLINK("https://www.compass.com/building/9-st-marks-pl-manhattan-ny-10003/281895215797643653/","9 St Marks Pl")</f>
        <v>9 St Marks Pl</v>
      </c>
      <c r="F2479" s="25" t="s">
        <v>24</v>
      </c>
      <c r="G2479" s="28">
        <v>10800.0</v>
      </c>
      <c r="H2479" s="29"/>
      <c r="I2479" s="28">
        <v>0.0</v>
      </c>
      <c r="J2479" s="28">
        <v>0.0</v>
      </c>
      <c r="K2479" s="25" t="s">
        <v>159</v>
      </c>
      <c r="L2479" s="26">
        <v>4.0</v>
      </c>
      <c r="M2479" s="26">
        <v>2.0</v>
      </c>
      <c r="N2479" s="26">
        <v>1.0</v>
      </c>
      <c r="O2479" s="30"/>
      <c r="P2479" s="30"/>
      <c r="Q2479" s="35">
        <v>0.0</v>
      </c>
      <c r="R2479" s="32">
        <v>45122.0</v>
      </c>
      <c r="S2479" s="32">
        <v>45121.0</v>
      </c>
      <c r="T2479" s="29"/>
      <c r="U2479" s="33"/>
      <c r="V2479" s="1"/>
    </row>
    <row r="2480" ht="24.0" customHeight="1">
      <c r="A2480" s="1"/>
      <c r="B2480" s="24" t="str">
        <f>HYPERLINK("https://www.compass.com/listing/10-jay-street-unit-6c-manhattan-ny-10013/22503171918234385/view?agent_id=610d3f3370540700019b0833","10 Jay Street, Unit 6C")</f>
        <v>10 Jay Street, Unit 6C</v>
      </c>
      <c r="C2480" s="25" t="s">
        <v>370</v>
      </c>
      <c r="D2480" s="26" t="s">
        <v>23</v>
      </c>
      <c r="E2480" s="27" t="str">
        <f>HYPERLINK("https://www.compass.com/building/10-jay-st-manhattan-ny-10013/292819140257818597/","10 Jay St")</f>
        <v>10 Jay St</v>
      </c>
      <c r="F2480" s="25" t="s">
        <v>60</v>
      </c>
      <c r="G2480" s="28">
        <v>2950000.0</v>
      </c>
      <c r="H2480" s="29"/>
      <c r="I2480" s="28">
        <v>1823.0</v>
      </c>
      <c r="J2480" s="29"/>
      <c r="K2480" s="25" t="s">
        <v>25</v>
      </c>
      <c r="L2480" s="26">
        <v>5.0</v>
      </c>
      <c r="M2480" s="26">
        <v>2.0</v>
      </c>
      <c r="N2480" s="26">
        <v>0.0</v>
      </c>
      <c r="O2480" s="26">
        <v>0.0</v>
      </c>
      <c r="P2480" s="30"/>
      <c r="Q2480" s="35">
        <v>257.0</v>
      </c>
      <c r="R2480" s="32">
        <v>45636.0</v>
      </c>
      <c r="S2480" s="32">
        <v>43023.0</v>
      </c>
      <c r="T2480" s="29"/>
      <c r="U2480" s="33"/>
      <c r="V2480" s="1"/>
    </row>
    <row r="2481" ht="24.0" customHeight="1">
      <c r="A2481" s="1"/>
      <c r="B2481" s="24" t="str">
        <f>HYPERLINK("https://www.compass.com/listing/294-12th-street-unit-3b-brooklyn-ny-11215/29514359654972321/view?agent_id=610d3f3370540700019b0833","294 12th Street, Unit 3B")</f>
        <v>294 12th Street, Unit 3B</v>
      </c>
      <c r="C2481" s="25" t="s">
        <v>370</v>
      </c>
      <c r="D2481" s="26" t="s">
        <v>23</v>
      </c>
      <c r="E2481" s="27" t="str">
        <f>HYPERLINK("https://www.compass.com/building/294-12th-st-brooklyn-ny-11215/282507201636029797/","294 12th St")</f>
        <v>294 12th St</v>
      </c>
      <c r="F2481" s="25" t="s">
        <v>40</v>
      </c>
      <c r="G2481" s="28">
        <v>1350000.0</v>
      </c>
      <c r="H2481" s="28">
        <v>1244.0</v>
      </c>
      <c r="I2481" s="28">
        <v>1856.0</v>
      </c>
      <c r="J2481" s="28">
        <v>18840.0</v>
      </c>
      <c r="K2481" s="25" t="s">
        <v>28</v>
      </c>
      <c r="L2481" s="26">
        <v>5.0</v>
      </c>
      <c r="M2481" s="26">
        <v>2.0</v>
      </c>
      <c r="N2481" s="26">
        <v>0.0</v>
      </c>
      <c r="O2481" s="26">
        <v>0.0</v>
      </c>
      <c r="P2481" s="34">
        <v>1085.0</v>
      </c>
      <c r="Q2481" s="35">
        <v>173.0</v>
      </c>
      <c r="R2481" s="32">
        <v>45636.0</v>
      </c>
      <c r="S2481" s="32">
        <v>43131.0</v>
      </c>
      <c r="T2481" s="29"/>
      <c r="U2481" s="33"/>
      <c r="V2481" s="1"/>
    </row>
    <row r="2482" ht="24.0" customHeight="1">
      <c r="A2482" s="1"/>
      <c r="B2482" s="24" t="str">
        <f>HYPERLINK("https://www.compass.com/listing/135-watts-street-unit-2-manhattan-ny-10013/4852306234444879665/view?agent_id=610d3f3370540700019b0833","135 Watts Street, Unit 2")</f>
        <v>135 Watts Street, Unit 2</v>
      </c>
      <c r="C2482" s="25" t="s">
        <v>370</v>
      </c>
      <c r="D2482" s="26" t="s">
        <v>23</v>
      </c>
      <c r="E2482" s="27" t="str">
        <f>HYPERLINK("https://www.compass.com/building/135-watts-st-manhattan-ny-10013/307459547836621845/","135 Watts St")</f>
        <v>135 Watts St</v>
      </c>
      <c r="F2482" s="25" t="s">
        <v>60</v>
      </c>
      <c r="G2482" s="28">
        <v>3495000.0</v>
      </c>
      <c r="H2482" s="28">
        <v>1294.0</v>
      </c>
      <c r="I2482" s="28">
        <v>1525.0</v>
      </c>
      <c r="J2482" s="29"/>
      <c r="K2482" s="25" t="s">
        <v>25</v>
      </c>
      <c r="L2482" s="26">
        <v>5.0</v>
      </c>
      <c r="M2482" s="26">
        <v>2.0</v>
      </c>
      <c r="N2482" s="26">
        <v>0.0</v>
      </c>
      <c r="O2482" s="26">
        <v>0.0</v>
      </c>
      <c r="P2482" s="34">
        <v>2700.0</v>
      </c>
      <c r="Q2482" s="35">
        <v>0.0</v>
      </c>
      <c r="R2482" s="32">
        <v>44581.0</v>
      </c>
      <c r="S2482" s="32">
        <v>41538.0</v>
      </c>
      <c r="T2482" s="29"/>
      <c r="U2482" s="33"/>
      <c r="V2482" s="1"/>
    </row>
    <row r="2483" ht="24.0" customHeight="1">
      <c r="A2483" s="1"/>
      <c r="B2483" s="24" t="str">
        <f>HYPERLINK("https://www.compass.com/listing/153-garfield-place-unit-1r-brooklyn-ny-11215/1838890119248052889/view?agent_id=610d3f3370540700019b0833","153 Garfield Place, Unit 1R")</f>
        <v>153 Garfield Place, Unit 1R</v>
      </c>
      <c r="C2483" s="25" t="s">
        <v>364</v>
      </c>
      <c r="D2483" s="26" t="s">
        <v>23</v>
      </c>
      <c r="E2483" s="27" t="str">
        <f t="shared" ref="E2483:E2484" si="53">HYPERLINK("https://www.compass.com/building/153-garfield-pl-brooklyn-ny-11215/282506361265276853/","153 Garfield Pl")</f>
        <v>153 Garfield Pl</v>
      </c>
      <c r="F2483" s="25" t="s">
        <v>40</v>
      </c>
      <c r="G2483" s="28">
        <v>800000.0</v>
      </c>
      <c r="H2483" s="28">
        <v>655.0</v>
      </c>
      <c r="I2483" s="28">
        <v>669.0</v>
      </c>
      <c r="J2483" s="28">
        <v>1920.0</v>
      </c>
      <c r="K2483" s="25" t="s">
        <v>28</v>
      </c>
      <c r="L2483" s="26">
        <v>4.0</v>
      </c>
      <c r="M2483" s="26">
        <v>2.0</v>
      </c>
      <c r="N2483" s="26">
        <v>0.0</v>
      </c>
      <c r="O2483" s="26">
        <v>0.0</v>
      </c>
      <c r="P2483" s="34">
        <v>1222.0</v>
      </c>
      <c r="Q2483" s="35">
        <v>482.0</v>
      </c>
      <c r="R2483" s="32">
        <v>44581.0</v>
      </c>
      <c r="S2483" s="32">
        <v>42634.0</v>
      </c>
      <c r="T2483" s="29"/>
      <c r="U2483" s="33"/>
      <c r="V2483" s="1"/>
    </row>
    <row r="2484" ht="24.0" customHeight="1">
      <c r="A2484" s="1"/>
      <c r="B2484" s="24" t="str">
        <f>HYPERLINK("https://www.compass.com/listing/153-garfield-place-unit-1r-brooklyn-ny-11215/1838943664554861305/view?agent_id=610d3f3370540700019b0833","153 Garfield Place, Unit 1R")</f>
        <v>153 Garfield Place, Unit 1R</v>
      </c>
      <c r="C2484" s="25" t="s">
        <v>364</v>
      </c>
      <c r="D2484" s="26" t="s">
        <v>23</v>
      </c>
      <c r="E2484" s="27" t="str">
        <f t="shared" si="53"/>
        <v>153 Garfield Pl</v>
      </c>
      <c r="F2484" s="25" t="s">
        <v>40</v>
      </c>
      <c r="G2484" s="28">
        <v>800000.0</v>
      </c>
      <c r="H2484" s="28">
        <v>655.0</v>
      </c>
      <c r="I2484" s="28">
        <v>669.0</v>
      </c>
      <c r="J2484" s="28">
        <v>1920.0</v>
      </c>
      <c r="K2484" s="25" t="s">
        <v>28</v>
      </c>
      <c r="L2484" s="26">
        <v>4.0</v>
      </c>
      <c r="M2484" s="26">
        <v>2.0</v>
      </c>
      <c r="N2484" s="26">
        <v>0.0</v>
      </c>
      <c r="O2484" s="26">
        <v>0.0</v>
      </c>
      <c r="P2484" s="34">
        <v>1222.0</v>
      </c>
      <c r="Q2484" s="35">
        <v>482.0</v>
      </c>
      <c r="R2484" s="32">
        <v>44581.0</v>
      </c>
      <c r="S2484" s="32">
        <v>42634.0</v>
      </c>
      <c r="T2484" s="29"/>
      <c r="U2484" s="33"/>
      <c r="V2484" s="1"/>
    </row>
    <row r="2485" ht="24.0" customHeight="1">
      <c r="A2485" s="1"/>
      <c r="B2485" s="24" t="str">
        <f>HYPERLINK("https://www.compass.com/listing/100-hudson-street-unit-3a-manhattan-ny-10013/1838897354942266289/view?agent_id=610d3f3370540700019b0833","100 Hudson Street, Unit 3A")</f>
        <v>100 Hudson Street, Unit 3A</v>
      </c>
      <c r="C2485" s="25" t="s">
        <v>364</v>
      </c>
      <c r="D2485" s="26" t="s">
        <v>23</v>
      </c>
      <c r="E2485" s="27" t="str">
        <f>HYPERLINK("https://www.compass.com/building/100-hudson-st-manhattan-ny-10013/281916400547690373/","100 Hudson St")</f>
        <v>100 Hudson St</v>
      </c>
      <c r="F2485" s="25" t="s">
        <v>60</v>
      </c>
      <c r="G2485" s="28">
        <v>1695000.0</v>
      </c>
      <c r="H2485" s="28">
        <v>1654.0</v>
      </c>
      <c r="I2485" s="28">
        <v>1682.0</v>
      </c>
      <c r="J2485" s="29"/>
      <c r="K2485" s="25" t="s">
        <v>25</v>
      </c>
      <c r="L2485" s="26">
        <v>3.0</v>
      </c>
      <c r="M2485" s="26">
        <v>2.0</v>
      </c>
      <c r="N2485" s="26">
        <v>1.0</v>
      </c>
      <c r="O2485" s="26">
        <v>0.0</v>
      </c>
      <c r="P2485" s="34">
        <v>1025.0</v>
      </c>
      <c r="Q2485" s="35">
        <v>559.0</v>
      </c>
      <c r="R2485" s="32">
        <v>45636.0</v>
      </c>
      <c r="S2485" s="32">
        <v>42593.0</v>
      </c>
      <c r="T2485" s="29"/>
      <c r="U2485" s="33"/>
      <c r="V2485" s="1"/>
    </row>
    <row r="2486" ht="24.0" customHeight="1">
      <c r="A2486" s="1"/>
      <c r="B2486" s="24" t="str">
        <f>HYPERLINK("https://www.compass.com/listing/37-vestry-street-unit-4-manhattan-ny-10013/4852289772791530705/view?agent_id=610d3f3370540700019b0833","37 Vestry St, Unit 4")</f>
        <v>37 Vestry St, Unit 4</v>
      </c>
      <c r="C2486" s="25" t="s">
        <v>364</v>
      </c>
      <c r="D2486" s="26" t="s">
        <v>23</v>
      </c>
      <c r="E2486" s="27" t="str">
        <f>HYPERLINK("https://www.compass.com/building/37-vestry-st-manhattan-ny-10013/281919276732943461/","37 Vestry St")</f>
        <v>37 Vestry St</v>
      </c>
      <c r="F2486" s="25" t="s">
        <v>60</v>
      </c>
      <c r="G2486" s="28">
        <v>1950000.0</v>
      </c>
      <c r="H2486" s="29"/>
      <c r="I2486" s="28">
        <v>800.0</v>
      </c>
      <c r="J2486" s="29"/>
      <c r="K2486" s="25" t="s">
        <v>25</v>
      </c>
      <c r="L2486" s="26">
        <v>4.0</v>
      </c>
      <c r="M2486" s="26">
        <v>2.0</v>
      </c>
      <c r="N2486" s="26">
        <v>1.0</v>
      </c>
      <c r="O2486" s="26">
        <v>0.0</v>
      </c>
      <c r="P2486" s="30"/>
      <c r="Q2486" s="35">
        <v>292.0</v>
      </c>
      <c r="R2486" s="32">
        <v>45636.0</v>
      </c>
      <c r="S2486" s="32">
        <v>42803.0</v>
      </c>
      <c r="T2486" s="29"/>
      <c r="U2486" s="33"/>
      <c r="V2486" s="1"/>
    </row>
    <row r="2487" ht="24.0" customHeight="1">
      <c r="A2487" s="1"/>
      <c r="B2487" s="24" t="str">
        <f>HYPERLINK("https://www.compass.com/listing/15-east-69th-street-unit-12d-manhattan-ny-10021/921959599523187921/view?agent_id=610d3f3370540700019b0833","15 E 69th St, Unit 12D")</f>
        <v>15 E 69th St, Unit 12D</v>
      </c>
      <c r="C2487" s="25" t="s">
        <v>364</v>
      </c>
      <c r="D2487" s="26" t="s">
        <v>23</v>
      </c>
      <c r="E2487" s="27" t="str">
        <f>HYPERLINK("https://www.compass.com/building/15-e-69th-st-manhattan-ny-10021/281948806805780309/","15 E 69th St")</f>
        <v>15 E 69th St</v>
      </c>
      <c r="F2487" s="25" t="s">
        <v>64</v>
      </c>
      <c r="G2487" s="28">
        <v>8750000.0</v>
      </c>
      <c r="H2487" s="29"/>
      <c r="I2487" s="28">
        <v>6965.0</v>
      </c>
      <c r="J2487" s="28">
        <v>36180.0</v>
      </c>
      <c r="K2487" s="25" t="s">
        <v>28</v>
      </c>
      <c r="L2487" s="26">
        <v>6.0</v>
      </c>
      <c r="M2487" s="26">
        <v>2.0</v>
      </c>
      <c r="N2487" s="26">
        <v>0.0</v>
      </c>
      <c r="O2487" s="26">
        <v>0.0</v>
      </c>
      <c r="P2487" s="30"/>
      <c r="Q2487" s="35">
        <v>0.0</v>
      </c>
      <c r="R2487" s="32">
        <v>44581.0</v>
      </c>
      <c r="S2487" s="32">
        <v>43217.0</v>
      </c>
      <c r="T2487" s="29"/>
      <c r="U2487" s="33"/>
      <c r="V2487" s="1"/>
    </row>
    <row r="2488" ht="24.0" customHeight="1">
      <c r="A2488" s="1"/>
      <c r="B2488" s="24" t="str">
        <f>HYPERLINK("https://www.compass.com/listing/91-grand-avenue-unit-1f-brooklyn-ny-11205/4864015339685428497/view?agent_id=610d3f3370540700019b0833","91 Grand Ave, Unit 1F")</f>
        <v>91 Grand Ave, Unit 1F</v>
      </c>
      <c r="C2488" s="25" t="s">
        <v>364</v>
      </c>
      <c r="D2488" s="26" t="s">
        <v>23</v>
      </c>
      <c r="E2488" s="27" t="str">
        <f>HYPERLINK("https://www.compass.com/building/clinton-lofts-brooklyn-ny/282508649761430021/","Clinton Lofts")</f>
        <v>Clinton Lofts</v>
      </c>
      <c r="F2488" s="25" t="s">
        <v>30</v>
      </c>
      <c r="G2488" s="28">
        <v>949000.0</v>
      </c>
      <c r="H2488" s="29"/>
      <c r="I2488" s="28">
        <v>888.0</v>
      </c>
      <c r="J2488" s="28">
        <v>6072.0</v>
      </c>
      <c r="K2488" s="25" t="s">
        <v>28</v>
      </c>
      <c r="L2488" s="26">
        <v>4.0</v>
      </c>
      <c r="M2488" s="26">
        <v>2.0</v>
      </c>
      <c r="N2488" s="26">
        <v>0.0</v>
      </c>
      <c r="O2488" s="26">
        <v>0.0</v>
      </c>
      <c r="P2488" s="30"/>
      <c r="Q2488" s="35">
        <v>39.0</v>
      </c>
      <c r="R2488" s="32">
        <v>45636.0</v>
      </c>
      <c r="S2488" s="32">
        <v>42979.0</v>
      </c>
      <c r="T2488" s="29"/>
      <c r="U2488" s="33"/>
      <c r="V2488" s="1"/>
    </row>
    <row r="2489" ht="24.0" customHeight="1">
      <c r="A2489" s="1"/>
      <c r="B2489" s="24" t="str">
        <f>HYPERLINK("https://www.compass.com/listing/225-lincoln-place-unit-4a-brooklyn-ny-11217/582821092316724001/view?agent_id=610d3f3370540700019b0833","225 Lincoln Pl, Unit 4A")</f>
        <v>225 Lincoln Pl, Unit 4A</v>
      </c>
      <c r="C2489" s="25" t="s">
        <v>365</v>
      </c>
      <c r="D2489" s="26" t="s">
        <v>23</v>
      </c>
      <c r="E2489" s="27" t="str">
        <f>HYPERLINK("https://www.compass.com/building/225-lincoln-pl-brooklyn-ny-11217/282504307255885637/","225 Lincoln Pl")</f>
        <v>225 Lincoln Pl</v>
      </c>
      <c r="F2489" s="25" t="s">
        <v>40</v>
      </c>
      <c r="G2489" s="28">
        <v>839000.0</v>
      </c>
      <c r="H2489" s="29"/>
      <c r="I2489" s="28">
        <v>1210.0</v>
      </c>
      <c r="J2489" s="28">
        <v>0.0</v>
      </c>
      <c r="K2489" s="25" t="s">
        <v>25</v>
      </c>
      <c r="L2489" s="26">
        <v>4.0</v>
      </c>
      <c r="M2489" s="26">
        <v>2.0</v>
      </c>
      <c r="N2489" s="26">
        <v>1.0</v>
      </c>
      <c r="O2489" s="26">
        <v>0.0</v>
      </c>
      <c r="P2489" s="30"/>
      <c r="Q2489" s="35">
        <v>133.0</v>
      </c>
      <c r="R2489" s="32">
        <v>44196.0</v>
      </c>
      <c r="S2489" s="32">
        <v>44062.0</v>
      </c>
      <c r="T2489" s="29"/>
      <c r="U2489" s="33"/>
      <c r="V2489" s="1"/>
    </row>
    <row r="2490" ht="24.0" customHeight="1">
      <c r="A2490" s="1"/>
      <c r="B2490" s="24" t="str">
        <f>HYPERLINK("https://www.compass.com/listing/279-1st-street-unit-2c-brooklyn-ny-11215/919050335401231865/view?agent_id=610d3f3370540700019b0833","279 1st St, Unit 2C")</f>
        <v>279 1st St, Unit 2C</v>
      </c>
      <c r="C2490" s="25" t="s">
        <v>364</v>
      </c>
      <c r="D2490" s="26" t="s">
        <v>23</v>
      </c>
      <c r="E2490" s="27" t="str">
        <f>HYPERLINK("https://www.compass.com/building/279-1st-st-brooklyn-ny-11215/282500185110686917/","279 1st St")</f>
        <v>279 1st St</v>
      </c>
      <c r="F2490" s="25" t="s">
        <v>40</v>
      </c>
      <c r="G2490" s="28">
        <v>698000.0</v>
      </c>
      <c r="H2490" s="28">
        <v>963.0</v>
      </c>
      <c r="I2490" s="28">
        <v>842.0</v>
      </c>
      <c r="J2490" s="29"/>
      <c r="K2490" s="25" t="s">
        <v>25</v>
      </c>
      <c r="L2490" s="26">
        <v>4.0</v>
      </c>
      <c r="M2490" s="26">
        <v>2.0</v>
      </c>
      <c r="N2490" s="26">
        <v>1.0</v>
      </c>
      <c r="O2490" s="26">
        <v>0.0</v>
      </c>
      <c r="P2490" s="26">
        <v>725.0</v>
      </c>
      <c r="Q2490" s="35">
        <v>114.0</v>
      </c>
      <c r="R2490" s="32">
        <v>45636.0</v>
      </c>
      <c r="S2490" s="32">
        <v>42134.0</v>
      </c>
      <c r="T2490" s="29"/>
      <c r="U2490" s="33"/>
      <c r="V2490" s="1"/>
    </row>
    <row r="2491" ht="24.0" customHeight="1">
      <c r="A2491" s="1"/>
      <c r="B2491" s="24" t="str">
        <f>HYPERLINK("https://www.compass.com/listing/1791-fulton-street-brooklyn-ny-11233/29476606582021377/view?agent_id=610d3f3370540700019b0833","1791 Fulton St")</f>
        <v>1791 Fulton St</v>
      </c>
      <c r="C2491" s="25" t="s">
        <v>364</v>
      </c>
      <c r="D2491" s="26" t="s">
        <v>23</v>
      </c>
      <c r="E2491" s="27" t="str">
        <f t="shared" ref="E2491:E2495" si="54">HYPERLINK("https://www.compass.com/building/1791-fulton-st-brooklyn-ny-11233/293533256559681221/","1791 Fulton St")</f>
        <v>1791 Fulton St</v>
      </c>
      <c r="F2491" s="25" t="s">
        <v>51</v>
      </c>
      <c r="G2491" s="28">
        <v>699000.0</v>
      </c>
      <c r="H2491" s="28">
        <v>455.0</v>
      </c>
      <c r="I2491" s="28">
        <v>0.0</v>
      </c>
      <c r="J2491" s="29"/>
      <c r="K2491" s="25" t="s">
        <v>159</v>
      </c>
      <c r="L2491" s="26">
        <v>4.0</v>
      </c>
      <c r="M2491" s="26">
        <v>2.0</v>
      </c>
      <c r="N2491" s="26">
        <v>0.0</v>
      </c>
      <c r="O2491" s="26">
        <v>0.0</v>
      </c>
      <c r="P2491" s="34">
        <v>1537.0</v>
      </c>
      <c r="Q2491" s="35">
        <v>55.0</v>
      </c>
      <c r="R2491" s="32">
        <v>45636.0</v>
      </c>
      <c r="S2491" s="32">
        <v>42304.0</v>
      </c>
      <c r="T2491" s="29"/>
      <c r="U2491" s="33"/>
      <c r="V2491" s="1"/>
    </row>
    <row r="2492" ht="24.0" customHeight="1">
      <c r="A2492" s="1"/>
      <c r="B2492" s="24" t="str">
        <f>HYPERLINK("https://www.compass.com/listing/1791-fulton-street-brooklyn-ny-11233/849033630498705625/view?agent_id=610d3f3370540700019b0833","1791 Fulton St")</f>
        <v>1791 Fulton St</v>
      </c>
      <c r="C2492" s="25" t="s">
        <v>364</v>
      </c>
      <c r="D2492" s="26" t="s">
        <v>23</v>
      </c>
      <c r="E2492" s="27" t="str">
        <f t="shared" si="54"/>
        <v>1791 Fulton St</v>
      </c>
      <c r="F2492" s="25" t="s">
        <v>51</v>
      </c>
      <c r="G2492" s="28">
        <v>699000.0</v>
      </c>
      <c r="H2492" s="28">
        <v>455.0</v>
      </c>
      <c r="I2492" s="28">
        <v>0.0</v>
      </c>
      <c r="J2492" s="29"/>
      <c r="K2492" s="25" t="s">
        <v>159</v>
      </c>
      <c r="L2492" s="26">
        <v>5.0</v>
      </c>
      <c r="M2492" s="26">
        <v>2.0</v>
      </c>
      <c r="N2492" s="26">
        <v>0.0</v>
      </c>
      <c r="O2492" s="26">
        <v>0.0</v>
      </c>
      <c r="P2492" s="34">
        <v>1537.0</v>
      </c>
      <c r="Q2492" s="35">
        <v>32.0</v>
      </c>
      <c r="R2492" s="32">
        <v>45636.0</v>
      </c>
      <c r="S2492" s="32">
        <v>42410.0</v>
      </c>
      <c r="T2492" s="29"/>
      <c r="U2492" s="33"/>
      <c r="V2492" s="1"/>
    </row>
    <row r="2493" ht="24.0" customHeight="1">
      <c r="A2493" s="1"/>
      <c r="B2493" s="24" t="str">
        <f>HYPERLINK("https://www.compass.com/listing/1791-fulton-street-brooklyn-ny-11233/920435746754255425/view?agent_id=610d3f3370540700019b0833","1791 Fulton St")</f>
        <v>1791 Fulton St</v>
      </c>
      <c r="C2493" s="25" t="s">
        <v>364</v>
      </c>
      <c r="D2493" s="26" t="s">
        <v>23</v>
      </c>
      <c r="E2493" s="27" t="str">
        <f t="shared" si="54"/>
        <v>1791 Fulton St</v>
      </c>
      <c r="F2493" s="25" t="s">
        <v>51</v>
      </c>
      <c r="G2493" s="28">
        <v>699000.0</v>
      </c>
      <c r="H2493" s="28">
        <v>455.0</v>
      </c>
      <c r="I2493" s="28">
        <v>0.0</v>
      </c>
      <c r="J2493" s="29"/>
      <c r="K2493" s="25" t="s">
        <v>374</v>
      </c>
      <c r="L2493" s="26">
        <v>4.0</v>
      </c>
      <c r="M2493" s="26">
        <v>2.0</v>
      </c>
      <c r="N2493" s="26">
        <v>0.0</v>
      </c>
      <c r="O2493" s="26">
        <v>0.0</v>
      </c>
      <c r="P2493" s="34">
        <v>1537.0</v>
      </c>
      <c r="Q2493" s="35">
        <v>95.0</v>
      </c>
      <c r="R2493" s="32">
        <v>45636.0</v>
      </c>
      <c r="S2493" s="32">
        <v>42487.0</v>
      </c>
      <c r="T2493" s="29"/>
      <c r="U2493" s="33"/>
      <c r="V2493" s="1"/>
    </row>
    <row r="2494" ht="24.0" customHeight="1">
      <c r="A2494" s="1"/>
      <c r="B2494" s="24" t="str">
        <f>HYPERLINK("https://www.compass.com/listing/1791-fulton-street-brooklyn-ny-11233/920435808317378217/view?agent_id=610d3f3370540700019b0833","1791 Fulton St")</f>
        <v>1791 Fulton St</v>
      </c>
      <c r="C2494" s="25" t="s">
        <v>364</v>
      </c>
      <c r="D2494" s="26" t="s">
        <v>23</v>
      </c>
      <c r="E2494" s="27" t="str">
        <f t="shared" si="54"/>
        <v>1791 Fulton St</v>
      </c>
      <c r="F2494" s="25" t="s">
        <v>51</v>
      </c>
      <c r="G2494" s="28">
        <v>699000.0</v>
      </c>
      <c r="H2494" s="28">
        <v>455.0</v>
      </c>
      <c r="I2494" s="28">
        <v>0.0</v>
      </c>
      <c r="J2494" s="29"/>
      <c r="K2494" s="25" t="s">
        <v>159</v>
      </c>
      <c r="L2494" s="26">
        <v>5.0</v>
      </c>
      <c r="M2494" s="26">
        <v>2.0</v>
      </c>
      <c r="N2494" s="26">
        <v>0.0</v>
      </c>
      <c r="O2494" s="26">
        <v>0.0</v>
      </c>
      <c r="P2494" s="34">
        <v>1537.0</v>
      </c>
      <c r="Q2494" s="35">
        <v>41.0</v>
      </c>
      <c r="R2494" s="32">
        <v>45636.0</v>
      </c>
      <c r="S2494" s="32">
        <v>42443.0</v>
      </c>
      <c r="T2494" s="29"/>
      <c r="U2494" s="33"/>
      <c r="V2494" s="1"/>
    </row>
    <row r="2495" ht="24.0" customHeight="1">
      <c r="A2495" s="1"/>
      <c r="B2495" s="24" t="str">
        <f>HYPERLINK("https://www.compass.com/listing/1791-fulton-street-brooklyn-ny-11233/920967722166102545/view?agent_id=610d3f3370540700019b0833","1791 Fulton St")</f>
        <v>1791 Fulton St</v>
      </c>
      <c r="C2495" s="25" t="s">
        <v>364</v>
      </c>
      <c r="D2495" s="26" t="s">
        <v>23</v>
      </c>
      <c r="E2495" s="27" t="str">
        <f t="shared" si="54"/>
        <v>1791 Fulton St</v>
      </c>
      <c r="F2495" s="25" t="s">
        <v>51</v>
      </c>
      <c r="G2495" s="28">
        <v>699000.0</v>
      </c>
      <c r="H2495" s="28">
        <v>455.0</v>
      </c>
      <c r="I2495" s="28">
        <v>0.0</v>
      </c>
      <c r="J2495" s="29"/>
      <c r="K2495" s="25" t="s">
        <v>159</v>
      </c>
      <c r="L2495" s="26">
        <v>5.0</v>
      </c>
      <c r="M2495" s="26">
        <v>2.0</v>
      </c>
      <c r="N2495" s="26">
        <v>0.0</v>
      </c>
      <c r="O2495" s="26">
        <v>0.0</v>
      </c>
      <c r="P2495" s="34">
        <v>1537.0</v>
      </c>
      <c r="Q2495" s="35">
        <v>34.0</v>
      </c>
      <c r="R2495" s="32">
        <v>45636.0</v>
      </c>
      <c r="S2495" s="32">
        <v>42366.0</v>
      </c>
      <c r="T2495" s="29"/>
      <c r="U2495" s="33"/>
      <c r="V2495" s="1"/>
    </row>
    <row r="2496" ht="24.0" customHeight="1">
      <c r="A2496" s="1"/>
      <c r="B2496" s="24" t="str">
        <f>HYPERLINK("https://www.compass.com/listing/201-clinton-avenue-unit-12b-brooklyn-ny-11205/70916684361327505/view?agent_id=610d3f3370540700019b0833","201 Clinton Ave, Unit 12B")</f>
        <v>201 Clinton Ave, Unit 12B</v>
      </c>
      <c r="C2496" s="25" t="s">
        <v>364</v>
      </c>
      <c r="D2496" s="26" t="s">
        <v>23</v>
      </c>
      <c r="E2496" s="27" t="str">
        <f>HYPERLINK("https://www.compass.com/building/clinton-hill-coops-north-campus-brooklyn-ny/293426221084122469/","Clinton Hill Coops - North Campus")</f>
        <v>Clinton Hill Coops - North Campus</v>
      </c>
      <c r="F2496" s="25" t="s">
        <v>30</v>
      </c>
      <c r="G2496" s="28">
        <v>499000.0</v>
      </c>
      <c r="H2496" s="29"/>
      <c r="I2496" s="28">
        <v>915.0</v>
      </c>
      <c r="J2496" s="29"/>
      <c r="K2496" s="25" t="s">
        <v>25</v>
      </c>
      <c r="L2496" s="26">
        <v>5.0</v>
      </c>
      <c r="M2496" s="26">
        <v>2.0</v>
      </c>
      <c r="N2496" s="26">
        <v>1.0</v>
      </c>
      <c r="O2496" s="26">
        <v>0.0</v>
      </c>
      <c r="P2496" s="30"/>
      <c r="Q2496" s="35">
        <v>16.0</v>
      </c>
      <c r="R2496" s="32">
        <v>45636.0</v>
      </c>
      <c r="S2496" s="32">
        <v>41790.0</v>
      </c>
      <c r="T2496" s="29"/>
      <c r="U2496" s="33"/>
      <c r="V2496" s="1"/>
    </row>
    <row r="2497" ht="24.0" customHeight="1">
      <c r="A2497" s="1"/>
      <c r="B2497" s="24" t="str">
        <f>HYPERLINK("https://www.compass.com/listing/475-washington-avenue-unit-2h-brooklyn-ny-11238/796016467518481081/view?agent_id=610d3f3370540700019b0833","475 Washington Ave, Unit 2H")</f>
        <v>475 Washington Ave, Unit 2H</v>
      </c>
      <c r="C2497" s="25" t="s">
        <v>365</v>
      </c>
      <c r="D2497" s="26" t="s">
        <v>23</v>
      </c>
      <c r="E2497" s="27" t="str">
        <f>HYPERLINK("https://www.compass.com/building/475-washington-brooklyn-ny/293424086334378117/","475 Washington")</f>
        <v>475 Washington</v>
      </c>
      <c r="F2497" s="25" t="s">
        <v>30</v>
      </c>
      <c r="G2497" s="28">
        <v>765000.0</v>
      </c>
      <c r="H2497" s="28">
        <v>1001.0</v>
      </c>
      <c r="I2497" s="28">
        <v>758.0</v>
      </c>
      <c r="J2497" s="28">
        <v>4896.0</v>
      </c>
      <c r="K2497" s="25" t="s">
        <v>28</v>
      </c>
      <c r="L2497" s="26">
        <v>4.0</v>
      </c>
      <c r="M2497" s="26">
        <v>2.0</v>
      </c>
      <c r="N2497" s="26">
        <v>1.0</v>
      </c>
      <c r="O2497" s="26">
        <v>0.0</v>
      </c>
      <c r="P2497" s="26">
        <v>764.0</v>
      </c>
      <c r="Q2497" s="35">
        <v>92.0</v>
      </c>
      <c r="R2497" s="32">
        <v>44502.0</v>
      </c>
      <c r="S2497" s="32">
        <v>44350.0</v>
      </c>
      <c r="T2497" s="29"/>
      <c r="U2497" s="33"/>
      <c r="V2497" s="1"/>
    </row>
    <row r="2498" ht="24.0" customHeight="1">
      <c r="A2498" s="1"/>
      <c r="B2498" s="24" t="str">
        <f>HYPERLINK("https://www.compass.com/listing/224-16th-street-unit-6-brooklyn-ny-11215/1029746925287521777/view?agent_id=610d3f3370540700019b0833","224 16th St, Unit 6")</f>
        <v>224 16th St, Unit 6</v>
      </c>
      <c r="C2498" s="25" t="s">
        <v>364</v>
      </c>
      <c r="D2498" s="26" t="s">
        <v>23</v>
      </c>
      <c r="E2498" s="27" t="str">
        <f>HYPERLINK("https://www.compass.com/building/224-16th-st-brooklyn-ny-11215/282506533835723365/","224 16th St")</f>
        <v>224 16th St</v>
      </c>
      <c r="F2498" s="25" t="s">
        <v>40</v>
      </c>
      <c r="G2498" s="28">
        <v>975000.0</v>
      </c>
      <c r="H2498" s="28">
        <v>1069.0</v>
      </c>
      <c r="I2498" s="28">
        <v>382.0</v>
      </c>
      <c r="J2498" s="28">
        <v>1424.0</v>
      </c>
      <c r="K2498" s="25" t="s">
        <v>28</v>
      </c>
      <c r="L2498" s="26">
        <v>4.0</v>
      </c>
      <c r="M2498" s="26">
        <v>2.0</v>
      </c>
      <c r="N2498" s="26">
        <v>1.0</v>
      </c>
      <c r="O2498" s="30"/>
      <c r="P2498" s="26">
        <v>912.0</v>
      </c>
      <c r="Q2498" s="35">
        <v>55.0</v>
      </c>
      <c r="R2498" s="32">
        <v>44866.0</v>
      </c>
      <c r="S2498" s="32">
        <v>44811.0</v>
      </c>
      <c r="T2498" s="29"/>
      <c r="U2498" s="33"/>
      <c r="V2498" s="1"/>
    </row>
    <row r="2499" ht="24.0" customHeight="1">
      <c r="A2499" s="1"/>
      <c r="B2499" s="24" t="str">
        <f>HYPERLINK("https://www.compass.com/listing/1240-bedford-avenue-unit-5d-brooklyn-ny-11216/913015742093684105/view?agent_id=610d3f3370540700019b0833","1240 Bedford Ave, Unit 5D")</f>
        <v>1240 Bedford Ave, Unit 5D</v>
      </c>
      <c r="C2499" s="25" t="s">
        <v>365</v>
      </c>
      <c r="D2499" s="26" t="s">
        <v>23</v>
      </c>
      <c r="E2499" s="27" t="str">
        <f>HYPERLINK("https://www.compass.com/building/1240-bedford-ave-brooklyn-ny-11216/293426035200957509/","1240 Bedford Ave")</f>
        <v>1240 Bedford Ave</v>
      </c>
      <c r="F2499" s="25" t="s">
        <v>51</v>
      </c>
      <c r="G2499" s="28">
        <v>749000.0</v>
      </c>
      <c r="H2499" s="28">
        <v>881.0</v>
      </c>
      <c r="I2499" s="28">
        <v>1162.0</v>
      </c>
      <c r="J2499" s="28">
        <v>6084.0</v>
      </c>
      <c r="K2499" s="25" t="s">
        <v>28</v>
      </c>
      <c r="L2499" s="26">
        <v>4.0</v>
      </c>
      <c r="M2499" s="26">
        <v>2.0</v>
      </c>
      <c r="N2499" s="26">
        <v>1.0</v>
      </c>
      <c r="O2499" s="26">
        <v>0.0</v>
      </c>
      <c r="P2499" s="26">
        <v>850.0</v>
      </c>
      <c r="Q2499" s="35">
        <v>114.0</v>
      </c>
      <c r="R2499" s="32">
        <v>44626.0</v>
      </c>
      <c r="S2499" s="32">
        <v>44511.0</v>
      </c>
      <c r="T2499" s="29"/>
      <c r="U2499" s="33"/>
      <c r="V2499" s="1"/>
    </row>
    <row r="2500" ht="24.0" customHeight="1">
      <c r="A2500" s="1"/>
      <c r="B2500" s="24" t="str">
        <f>HYPERLINK("https://www.compass.com/listing/372-12th-street-unit-3-brooklyn-ny-11215/841398733568413841/view?agent_id=610d3f3370540700019b0833","372 12th St, Unit 3")</f>
        <v>372 12th St, Unit 3</v>
      </c>
      <c r="C2500" s="25" t="s">
        <v>364</v>
      </c>
      <c r="D2500" s="26" t="s">
        <v>23</v>
      </c>
      <c r="E2500" s="27" t="str">
        <f>HYPERLINK("https://www.compass.com/building/372-12th-st-brooklyn-ny-11215/282506501841572405/","372 12th St")</f>
        <v>372 12th St</v>
      </c>
      <c r="F2500" s="25" t="s">
        <v>40</v>
      </c>
      <c r="G2500" s="28">
        <v>975000.0</v>
      </c>
      <c r="H2500" s="28">
        <v>933.0</v>
      </c>
      <c r="I2500" s="28">
        <v>417.0</v>
      </c>
      <c r="J2500" s="28">
        <v>492.0</v>
      </c>
      <c r="K2500" s="25" t="s">
        <v>28</v>
      </c>
      <c r="L2500" s="26">
        <v>3.0</v>
      </c>
      <c r="M2500" s="26">
        <v>2.0</v>
      </c>
      <c r="N2500" s="26">
        <v>0.0</v>
      </c>
      <c r="O2500" s="26">
        <v>0.0</v>
      </c>
      <c r="P2500" s="34">
        <v>1045.0</v>
      </c>
      <c r="Q2500" s="35">
        <v>92.0</v>
      </c>
      <c r="R2500" s="32">
        <v>44581.0</v>
      </c>
      <c r="S2500" s="32">
        <v>41450.0</v>
      </c>
      <c r="T2500" s="29"/>
      <c r="U2500" s="33"/>
      <c r="V2500" s="1"/>
    </row>
    <row r="2501" ht="24.0" customHeight="1">
      <c r="A2501" s="1"/>
      <c r="B2501" s="24" t="str">
        <f>HYPERLINK("https://www.compass.com/listing/524-east-72nd-street-unit-ph1a-manhattan-ny-10021/29418922310759265/view?agent_id=610d3f3370540700019b0833","524 E 72nd St, Unit PH1A")</f>
        <v>524 E 72nd St, Unit PH1A</v>
      </c>
      <c r="C2501" s="25" t="s">
        <v>370</v>
      </c>
      <c r="D2501" s="26" t="s">
        <v>23</v>
      </c>
      <c r="E2501" s="27" t="str">
        <f>HYPERLINK("https://www.compass.com/building/the-belaire-manhattan-ny/281951582201907909/","The Belaire")</f>
        <v>The Belaire</v>
      </c>
      <c r="F2501" s="25" t="s">
        <v>64</v>
      </c>
      <c r="G2501" s="28">
        <v>5447000.0</v>
      </c>
      <c r="H2501" s="28">
        <v>2318.0</v>
      </c>
      <c r="I2501" s="28">
        <v>7246.0</v>
      </c>
      <c r="J2501" s="28">
        <v>45144.0</v>
      </c>
      <c r="K2501" s="25" t="s">
        <v>28</v>
      </c>
      <c r="L2501" s="26">
        <v>6.0</v>
      </c>
      <c r="M2501" s="26">
        <v>2.0</v>
      </c>
      <c r="N2501" s="26">
        <v>0.0</v>
      </c>
      <c r="O2501" s="26">
        <v>0.0</v>
      </c>
      <c r="P2501" s="34">
        <v>2350.0</v>
      </c>
      <c r="Q2501" s="35">
        <v>161.0</v>
      </c>
      <c r="R2501" s="32">
        <v>45636.0</v>
      </c>
      <c r="S2501" s="32">
        <v>41694.0</v>
      </c>
      <c r="T2501" s="29"/>
      <c r="U2501" s="33"/>
      <c r="V2501" s="1"/>
    </row>
    <row r="2502" ht="24.0" customHeight="1">
      <c r="A2502" s="1"/>
      <c r="B2502" s="24" t="str">
        <f>HYPERLINK("https://www.compass.com/listing/29-king-street-unit-1b-manhattan-ny-10014/50872119881493457/view?agent_id=610d3f3370540700019b0833","29 King St, Unit 1B")</f>
        <v>29 King St, Unit 1B</v>
      </c>
      <c r="C2502" s="25" t="s">
        <v>370</v>
      </c>
      <c r="D2502" s="26" t="s">
        <v>23</v>
      </c>
      <c r="E2502" s="27" t="str">
        <f>HYPERLINK("https://www.compass.com/building/29-king-st-manhattan-ny-10014/292831161997120677/","29 King St")</f>
        <v>29 King St</v>
      </c>
      <c r="F2502" s="25" t="s">
        <v>135</v>
      </c>
      <c r="G2502" s="28">
        <v>2195000.0</v>
      </c>
      <c r="H2502" s="29"/>
      <c r="I2502" s="28">
        <v>1410.0</v>
      </c>
      <c r="J2502" s="28">
        <v>6816.0</v>
      </c>
      <c r="K2502" s="25" t="s">
        <v>28</v>
      </c>
      <c r="L2502" s="26">
        <v>4.0</v>
      </c>
      <c r="M2502" s="26">
        <v>2.0</v>
      </c>
      <c r="N2502" s="26">
        <v>0.0</v>
      </c>
      <c r="O2502" s="26">
        <v>0.0</v>
      </c>
      <c r="P2502" s="30"/>
      <c r="Q2502" s="35">
        <v>46.0</v>
      </c>
      <c r="R2502" s="32">
        <v>45636.0</v>
      </c>
      <c r="S2502" s="32">
        <v>42657.0</v>
      </c>
      <c r="T2502" s="29"/>
      <c r="U2502" s="33"/>
      <c r="V2502" s="1"/>
    </row>
    <row r="2503" ht="24.0" customHeight="1">
      <c r="A2503" s="1"/>
      <c r="B2503" s="24" t="str">
        <f>HYPERLINK("https://www.compass.com/listing/429-kent-avenue-unit-801-brooklyn-ny-11249/213645873236742721/view?agent_id=610d3f3370540700019b0833","429 Kent Ave, Unit 801")</f>
        <v>429 Kent Ave, Unit 801</v>
      </c>
      <c r="C2503" s="25" t="s">
        <v>364</v>
      </c>
      <c r="D2503" s="26" t="s">
        <v>23</v>
      </c>
      <c r="E2503" s="27" t="str">
        <f t="shared" ref="E2503:E2505" si="55">HYPERLINK("https://www.compass.com/building/the-oosten-brooklyn-ny/293425863259659349/","The Oosten")</f>
        <v>The Oosten</v>
      </c>
      <c r="F2503" s="25" t="s">
        <v>46</v>
      </c>
      <c r="G2503" s="28">
        <v>1522284.0</v>
      </c>
      <c r="H2503" s="28">
        <v>1371.0</v>
      </c>
      <c r="I2503" s="28">
        <v>1078.0</v>
      </c>
      <c r="J2503" s="28">
        <v>3960.0</v>
      </c>
      <c r="K2503" s="25" t="s">
        <v>28</v>
      </c>
      <c r="L2503" s="26">
        <v>4.0</v>
      </c>
      <c r="M2503" s="26">
        <v>2.0</v>
      </c>
      <c r="N2503" s="26">
        <v>0.0</v>
      </c>
      <c r="O2503" s="26">
        <v>0.0</v>
      </c>
      <c r="P2503" s="34">
        <v>1110.0</v>
      </c>
      <c r="Q2503" s="35">
        <v>285.0</v>
      </c>
      <c r="R2503" s="32">
        <v>45636.0</v>
      </c>
      <c r="S2503" s="32">
        <v>42402.0</v>
      </c>
      <c r="T2503" s="28">
        <v>1522284.0</v>
      </c>
      <c r="U2503" s="32">
        <v>42688.0</v>
      </c>
      <c r="V2503" s="1"/>
    </row>
    <row r="2504" ht="24.0" customHeight="1">
      <c r="A2504" s="1"/>
      <c r="B2504" s="24" t="str">
        <f>HYPERLINK("https://www.compass.com/listing/429-kent-avenue-unit-601-brooklyn-ny-11249/1308354937155219737/view?agent_id=610d3f3370540700019b0833","429 Kent Ave, Unit 601")</f>
        <v>429 Kent Ave, Unit 601</v>
      </c>
      <c r="C2504" s="25" t="s">
        <v>365</v>
      </c>
      <c r="D2504" s="26" t="s">
        <v>23</v>
      </c>
      <c r="E2504" s="27" t="str">
        <f t="shared" si="55"/>
        <v>The Oosten</v>
      </c>
      <c r="F2504" s="25" t="s">
        <v>46</v>
      </c>
      <c r="G2504" s="28">
        <v>1475000.0</v>
      </c>
      <c r="H2504" s="28">
        <v>1325.0</v>
      </c>
      <c r="I2504" s="28">
        <v>1526.0</v>
      </c>
      <c r="J2504" s="28">
        <v>7800.0</v>
      </c>
      <c r="K2504" s="25" t="s">
        <v>28</v>
      </c>
      <c r="L2504" s="26">
        <v>4.0</v>
      </c>
      <c r="M2504" s="26">
        <v>2.0</v>
      </c>
      <c r="N2504" s="26">
        <v>1.0</v>
      </c>
      <c r="O2504" s="30"/>
      <c r="P2504" s="34">
        <v>1113.0</v>
      </c>
      <c r="Q2504" s="35">
        <v>9.0</v>
      </c>
      <c r="R2504" s="32">
        <v>45066.0</v>
      </c>
      <c r="S2504" s="32">
        <v>45057.0</v>
      </c>
      <c r="T2504" s="29"/>
      <c r="U2504" s="33"/>
      <c r="V2504" s="1"/>
    </row>
    <row r="2505" ht="24.0" customHeight="1">
      <c r="A2505" s="1"/>
      <c r="B2505" s="24" t="str">
        <f>HYPERLINK("https://www.compass.com/listing/429-kent-avenue-unit-601-brooklyn-ny-11249/309301160640939441/view?agent_id=610d3f3370540700019b0833","429 Kent Ave, Unit 601")</f>
        <v>429 Kent Ave, Unit 601</v>
      </c>
      <c r="C2505" s="25" t="s">
        <v>365</v>
      </c>
      <c r="D2505" s="26" t="s">
        <v>23</v>
      </c>
      <c r="E2505" s="27" t="str">
        <f t="shared" si="55"/>
        <v>The Oosten</v>
      </c>
      <c r="F2505" s="25" t="s">
        <v>46</v>
      </c>
      <c r="G2505" s="28">
        <v>1499000.0</v>
      </c>
      <c r="H2505" s="28">
        <v>1347.0</v>
      </c>
      <c r="I2505" s="28">
        <v>1526.0</v>
      </c>
      <c r="J2505" s="28">
        <v>7800.0</v>
      </c>
      <c r="K2505" s="25" t="s">
        <v>28</v>
      </c>
      <c r="L2505" s="26">
        <v>5.0</v>
      </c>
      <c r="M2505" s="26">
        <v>2.0</v>
      </c>
      <c r="N2505" s="26">
        <v>1.0</v>
      </c>
      <c r="O2505" s="30"/>
      <c r="P2505" s="34">
        <v>1113.0</v>
      </c>
      <c r="Q2505" s="31"/>
      <c r="R2505" s="32">
        <v>44256.0</v>
      </c>
      <c r="S2505" s="33"/>
      <c r="T2505" s="29"/>
      <c r="U2505" s="33"/>
      <c r="V2505" s="1"/>
    </row>
    <row r="2506" ht="24.0" customHeight="1">
      <c r="A2506" s="1"/>
      <c r="B2506" s="24" t="str">
        <f>HYPERLINK("https://www.compass.com/listing/49-north-8th-street-unit-6f-brooklyn-ny-11249/70911093387635537/view?agent_id=610d3f3370540700019b0833","49 N 8th St, Unit 6F")</f>
        <v>49 N 8th St, Unit 6F</v>
      </c>
      <c r="C2506" s="25" t="s">
        <v>370</v>
      </c>
      <c r="D2506" s="26" t="s">
        <v>23</v>
      </c>
      <c r="E2506" s="27" t="str">
        <f>HYPERLINK("https://www.compass.com/building/49-n-8th-st-brooklyn-ny-11249/293417108992273429/","49 N 8th St")</f>
        <v>49 N 8th St</v>
      </c>
      <c r="F2506" s="25" t="s">
        <v>46</v>
      </c>
      <c r="G2506" s="28">
        <v>1395000.0</v>
      </c>
      <c r="H2506" s="28">
        <v>1163.0</v>
      </c>
      <c r="I2506" s="28">
        <v>1281.0</v>
      </c>
      <c r="J2506" s="28">
        <v>996.0</v>
      </c>
      <c r="K2506" s="25" t="s">
        <v>28</v>
      </c>
      <c r="L2506" s="26">
        <v>5.0</v>
      </c>
      <c r="M2506" s="26">
        <v>2.0</v>
      </c>
      <c r="N2506" s="26">
        <v>0.0</v>
      </c>
      <c r="O2506" s="26">
        <v>0.0</v>
      </c>
      <c r="P2506" s="34">
        <v>1200.0</v>
      </c>
      <c r="Q2506" s="35">
        <v>0.0</v>
      </c>
      <c r="R2506" s="32">
        <v>44581.0</v>
      </c>
      <c r="S2506" s="32">
        <v>41512.0</v>
      </c>
      <c r="T2506" s="29"/>
      <c r="U2506" s="33"/>
      <c r="V2506" s="1"/>
    </row>
    <row r="2507" ht="24.0" customHeight="1">
      <c r="A2507" s="1"/>
      <c r="B2507" s="24" t="str">
        <f>HYPERLINK("https://www.compass.com/listing/85-ryerson-street-unit-2-brooklyn-ny-11205/53405427882374577/view?agent_id=610d3f3370540700019b0833","85 Ryerson St, Unit 2")</f>
        <v>85 Ryerson St, Unit 2</v>
      </c>
      <c r="C2507" s="25" t="s">
        <v>370</v>
      </c>
      <c r="D2507" s="26" t="s">
        <v>23</v>
      </c>
      <c r="E2507" s="27" t="str">
        <f>HYPERLINK("https://www.compass.com/building/condos-on-the-hill-brooklyn-ny/282509636303674933/","Condos On The Hill")</f>
        <v>Condos On The Hill</v>
      </c>
      <c r="F2507" s="25" t="s">
        <v>30</v>
      </c>
      <c r="G2507" s="28">
        <v>989000.0</v>
      </c>
      <c r="H2507" s="28">
        <v>1137.0</v>
      </c>
      <c r="I2507" s="28">
        <v>489.0</v>
      </c>
      <c r="J2507" s="28">
        <v>2556.0</v>
      </c>
      <c r="K2507" s="25" t="s">
        <v>28</v>
      </c>
      <c r="L2507" s="26">
        <v>4.0</v>
      </c>
      <c r="M2507" s="26">
        <v>2.0</v>
      </c>
      <c r="N2507" s="26">
        <v>0.0</v>
      </c>
      <c r="O2507" s="26">
        <v>0.0</v>
      </c>
      <c r="P2507" s="26">
        <v>870.0</v>
      </c>
      <c r="Q2507" s="35">
        <v>79.0</v>
      </c>
      <c r="R2507" s="32">
        <v>45636.0</v>
      </c>
      <c r="S2507" s="32">
        <v>42899.0</v>
      </c>
      <c r="T2507" s="29"/>
      <c r="U2507" s="33"/>
      <c r="V2507" s="1"/>
    </row>
    <row r="2508" ht="24.0" customHeight="1">
      <c r="A2508" s="1"/>
      <c r="B2508" s="24" t="str">
        <f>HYPERLINK("https://www.compass.com/listing/153-garfield-place-unit-4l-brooklyn-ny-11215/1838918023105114561/view?agent_id=610d3f3370540700019b0833","153 Garfield Pl, Unit 4L")</f>
        <v>153 Garfield Pl, Unit 4L</v>
      </c>
      <c r="C2508" s="25" t="s">
        <v>364</v>
      </c>
      <c r="D2508" s="26" t="s">
        <v>23</v>
      </c>
      <c r="E2508" s="27" t="str">
        <f t="shared" ref="E2508:E2509" si="56">HYPERLINK("https://www.compass.com/building/153-garfield-pl-brooklyn-ny-11215/282506361265276853/","153 Garfield Pl")</f>
        <v>153 Garfield Pl</v>
      </c>
      <c r="F2508" s="25" t="s">
        <v>40</v>
      </c>
      <c r="G2508" s="28">
        <v>760000.0</v>
      </c>
      <c r="H2508" s="28">
        <v>882.0</v>
      </c>
      <c r="I2508" s="28">
        <v>664.0</v>
      </c>
      <c r="J2508" s="28">
        <v>1920.0</v>
      </c>
      <c r="K2508" s="25" t="s">
        <v>28</v>
      </c>
      <c r="L2508" s="26">
        <v>4.0</v>
      </c>
      <c r="M2508" s="26">
        <v>2.0</v>
      </c>
      <c r="N2508" s="26">
        <v>0.0</v>
      </c>
      <c r="O2508" s="26">
        <v>0.0</v>
      </c>
      <c r="P2508" s="26">
        <v>862.0</v>
      </c>
      <c r="Q2508" s="35">
        <v>482.0</v>
      </c>
      <c r="R2508" s="32">
        <v>44581.0</v>
      </c>
      <c r="S2508" s="32">
        <v>42634.0</v>
      </c>
      <c r="T2508" s="29"/>
      <c r="U2508" s="33"/>
      <c r="V2508" s="1"/>
    </row>
    <row r="2509" ht="24.0" customHeight="1">
      <c r="A2509" s="1"/>
      <c r="B2509" s="24" t="str">
        <f>HYPERLINK("https://www.compass.com/listing/153-garfield-place-unit-4l-brooklyn-ny-11215/844932372426588249/view?agent_id=610d3f3370540700019b0833","153 Garfield Pl, Unit 4L")</f>
        <v>153 Garfield Pl, Unit 4L</v>
      </c>
      <c r="C2509" s="25" t="s">
        <v>364</v>
      </c>
      <c r="D2509" s="26" t="s">
        <v>23</v>
      </c>
      <c r="E2509" s="27" t="str">
        <f t="shared" si="56"/>
        <v>153 Garfield Pl</v>
      </c>
      <c r="F2509" s="25" t="s">
        <v>40</v>
      </c>
      <c r="G2509" s="28">
        <v>760000.0</v>
      </c>
      <c r="H2509" s="28">
        <v>882.0</v>
      </c>
      <c r="I2509" s="28">
        <v>664.0</v>
      </c>
      <c r="J2509" s="28">
        <v>1920.0</v>
      </c>
      <c r="K2509" s="25" t="s">
        <v>28</v>
      </c>
      <c r="L2509" s="26">
        <v>4.0</v>
      </c>
      <c r="M2509" s="26">
        <v>2.0</v>
      </c>
      <c r="N2509" s="26">
        <v>0.0</v>
      </c>
      <c r="O2509" s="26">
        <v>0.0</v>
      </c>
      <c r="P2509" s="26">
        <v>862.0</v>
      </c>
      <c r="Q2509" s="35">
        <v>482.0</v>
      </c>
      <c r="R2509" s="32">
        <v>44581.0</v>
      </c>
      <c r="S2509" s="32">
        <v>42634.0</v>
      </c>
      <c r="T2509" s="29"/>
      <c r="U2509" s="33"/>
      <c r="V2509" s="1"/>
    </row>
    <row r="2510" ht="24.0" customHeight="1">
      <c r="A2510" s="1"/>
      <c r="B2510" s="24" t="str">
        <f>HYPERLINK("https://www.compass.com/listing/328-west-96th-street-unit-5c-manhattan-ny-10025/692903770745460425/view?agent_id=610d3f3370540700019b0833","328 W 96th St, Unit 5C")</f>
        <v>328 W 96th St, Unit 5C</v>
      </c>
      <c r="C2510" s="25" t="s">
        <v>364</v>
      </c>
      <c r="D2510" s="26" t="s">
        <v>23</v>
      </c>
      <c r="E2510" s="27" t="str">
        <f>HYPERLINK("https://www.compass.com/building/328-w-96th-st-manhattan-ny-10025/281971370575879445/","328 W 96th St")</f>
        <v>328 W 96th St</v>
      </c>
      <c r="F2510" s="25" t="s">
        <v>29</v>
      </c>
      <c r="G2510" s="28">
        <v>599999.0</v>
      </c>
      <c r="H2510" s="29"/>
      <c r="I2510" s="28">
        <v>1190.0</v>
      </c>
      <c r="J2510" s="28">
        <v>0.0</v>
      </c>
      <c r="K2510" s="25" t="s">
        <v>25</v>
      </c>
      <c r="L2510" s="26">
        <v>5.0</v>
      </c>
      <c r="M2510" s="26">
        <v>2.0</v>
      </c>
      <c r="N2510" s="26">
        <v>1.0</v>
      </c>
      <c r="O2510" s="26">
        <v>0.0</v>
      </c>
      <c r="P2510" s="30"/>
      <c r="Q2510" s="35">
        <v>757.0</v>
      </c>
      <c r="R2510" s="32">
        <v>44965.0</v>
      </c>
      <c r="S2510" s="32">
        <v>44207.0</v>
      </c>
      <c r="T2510" s="29"/>
      <c r="U2510" s="33"/>
      <c r="V2510" s="1"/>
    </row>
    <row r="2511" ht="24.0" customHeight="1">
      <c r="A2511" s="1"/>
      <c r="B2511" s="24" t="str">
        <f>HYPERLINK("https://www.compass.com/listing/66-north-1st-street-unit-1e-brooklyn-ny-11249/1809620581876300633/view?agent_id=610d3f3370540700019b0833","66 N 1st St, Unit 1E")</f>
        <v>66 N 1st St, Unit 1E</v>
      </c>
      <c r="C2511" s="25" t="s">
        <v>364</v>
      </c>
      <c r="D2511" s="26" t="s">
        <v>23</v>
      </c>
      <c r="E2511" s="27" t="str">
        <f>HYPERLINK("https://www.compass.com/building/factory-lofts-brooklyn-ny/293423164770290709/","Factory Lofts")</f>
        <v>Factory Lofts</v>
      </c>
      <c r="F2511" s="25" t="s">
        <v>46</v>
      </c>
      <c r="G2511" s="28">
        <v>1450000.0</v>
      </c>
      <c r="H2511" s="28">
        <v>1554.0</v>
      </c>
      <c r="I2511" s="28">
        <v>496.0</v>
      </c>
      <c r="J2511" s="28">
        <v>420.0</v>
      </c>
      <c r="K2511" s="25" t="s">
        <v>28</v>
      </c>
      <c r="L2511" s="26">
        <v>5.0</v>
      </c>
      <c r="M2511" s="26">
        <v>2.0</v>
      </c>
      <c r="N2511" s="26">
        <v>0.0</v>
      </c>
      <c r="O2511" s="26">
        <v>0.0</v>
      </c>
      <c r="P2511" s="26">
        <v>933.0</v>
      </c>
      <c r="Q2511" s="31"/>
      <c r="R2511" s="32">
        <v>44581.0</v>
      </c>
      <c r="S2511" s="33"/>
      <c r="T2511" s="29"/>
      <c r="U2511" s="33"/>
      <c r="V2511" s="1"/>
    </row>
    <row r="2512" ht="24.0" customHeight="1">
      <c r="A2512" s="1"/>
      <c r="B2512" s="24" t="str">
        <f>HYPERLINK("https://www.compass.com/listing/34-north-7th-street-unit-8w-brooklyn-ny-11249/543402156873867841/view?agent_id=610d3f3370540700019b0833","34 N 7th St, Unit 8W")</f>
        <v>34 N 7th St, Unit 8W</v>
      </c>
      <c r="C2512" s="25" t="s">
        <v>364</v>
      </c>
      <c r="D2512" s="26" t="s">
        <v>23</v>
      </c>
      <c r="E2512" s="27" t="str">
        <f>HYPERLINK("https://www.compass.com/building/the-edge-north-tower-brooklyn-ny/293425973301418981/","The Edge - North Tower")</f>
        <v>The Edge - North Tower</v>
      </c>
      <c r="F2512" s="25" t="s">
        <v>46</v>
      </c>
      <c r="G2512" s="28">
        <v>1225000.0</v>
      </c>
      <c r="H2512" s="29"/>
      <c r="I2512" s="28">
        <v>871.0</v>
      </c>
      <c r="J2512" s="28">
        <v>48.0</v>
      </c>
      <c r="K2512" s="25" t="s">
        <v>28</v>
      </c>
      <c r="L2512" s="26">
        <v>4.0</v>
      </c>
      <c r="M2512" s="26">
        <v>2.0</v>
      </c>
      <c r="N2512" s="26">
        <v>1.0</v>
      </c>
      <c r="O2512" s="26">
        <v>0.0</v>
      </c>
      <c r="P2512" s="30"/>
      <c r="Q2512" s="35">
        <v>178.0</v>
      </c>
      <c r="R2512" s="32">
        <v>44249.0</v>
      </c>
      <c r="S2512" s="32">
        <v>44004.0</v>
      </c>
      <c r="T2512" s="29"/>
      <c r="U2512" s="33"/>
      <c r="V2512" s="1"/>
    </row>
    <row r="2513" ht="24.0" customHeight="1">
      <c r="A2513" s="1"/>
      <c r="B2513" s="24" t="str">
        <f>HYPERLINK("https://www.compass.com/listing/49-north-8th-street-unit-5e-brooklyn-ny-11249/192568022999781425/view?agent_id=610d3f3370540700019b0833","49 N 8th St, Unit 5E")</f>
        <v>49 N 8th St, Unit 5E</v>
      </c>
      <c r="C2513" s="25" t="s">
        <v>370</v>
      </c>
      <c r="D2513" s="26" t="s">
        <v>23</v>
      </c>
      <c r="E2513" s="27" t="str">
        <f>HYPERLINK("https://www.compass.com/building/49-n-8th-st-brooklyn-ny-11249/293417108992273429/","49 N 8th St")</f>
        <v>49 N 8th St</v>
      </c>
      <c r="F2513" s="25" t="s">
        <v>46</v>
      </c>
      <c r="G2513" s="28">
        <v>1330000.0</v>
      </c>
      <c r="H2513" s="28">
        <v>1192.0</v>
      </c>
      <c r="I2513" s="28">
        <v>938.0</v>
      </c>
      <c r="J2513" s="28">
        <v>588.0</v>
      </c>
      <c r="K2513" s="25" t="s">
        <v>28</v>
      </c>
      <c r="L2513" s="26">
        <v>4.0</v>
      </c>
      <c r="M2513" s="26">
        <v>2.0</v>
      </c>
      <c r="N2513" s="26">
        <v>0.0</v>
      </c>
      <c r="O2513" s="26">
        <v>0.0</v>
      </c>
      <c r="P2513" s="34">
        <v>1116.0</v>
      </c>
      <c r="Q2513" s="35">
        <v>60.0</v>
      </c>
      <c r="R2513" s="32">
        <v>45636.0</v>
      </c>
      <c r="S2513" s="32">
        <v>41705.0</v>
      </c>
      <c r="T2513" s="29"/>
      <c r="U2513" s="33"/>
      <c r="V2513" s="1"/>
    </row>
    <row r="2514" ht="24.0" customHeight="1">
      <c r="A2514" s="1"/>
      <c r="B2514" s="24" t="str">
        <f>HYPERLINK("https://www.compass.com/listing/135-prospect-park-west-unit-12b-brooklyn-ny-11215/1838944909709595297/view?agent_id=610d3f3370540700019b0833","135 Prospect Park W, Unit 12B")</f>
        <v>135 Prospect Park W, Unit 12B</v>
      </c>
      <c r="C2514" s="25" t="s">
        <v>364</v>
      </c>
      <c r="D2514" s="26" t="s">
        <v>23</v>
      </c>
      <c r="E2514" s="26" t="s">
        <v>375</v>
      </c>
      <c r="F2514" s="25" t="s">
        <v>40</v>
      </c>
      <c r="G2514" s="28">
        <v>850000.0</v>
      </c>
      <c r="H2514" s="29"/>
      <c r="I2514" s="28">
        <v>721.0</v>
      </c>
      <c r="J2514" s="29"/>
      <c r="K2514" s="25" t="s">
        <v>25</v>
      </c>
      <c r="L2514" s="26">
        <v>4.0</v>
      </c>
      <c r="M2514" s="26">
        <v>2.0</v>
      </c>
      <c r="N2514" s="26">
        <v>0.0</v>
      </c>
      <c r="O2514" s="26">
        <v>0.0</v>
      </c>
      <c r="P2514" s="30"/>
      <c r="Q2514" s="35">
        <v>42.0</v>
      </c>
      <c r="R2514" s="32">
        <v>45636.0</v>
      </c>
      <c r="S2514" s="32">
        <v>41976.0</v>
      </c>
      <c r="T2514" s="29"/>
      <c r="U2514" s="33"/>
      <c r="V2514" s="1"/>
    </row>
    <row r="2515" ht="24.0" customHeight="1">
      <c r="A2515" s="1"/>
      <c r="B2515" s="24" t="str">
        <f>HYPERLINK("https://www.compass.com/listing/135-prospect-park-west-unit-12b-brooklyn-ny-11215/29469100849841921/view?agent_id=610d3f3370540700019b0833","135 Prospect Park West, Unit 12B")</f>
        <v>135 Prospect Park West, Unit 12B</v>
      </c>
      <c r="C2515" s="25" t="s">
        <v>364</v>
      </c>
      <c r="D2515" s="26" t="s">
        <v>23</v>
      </c>
      <c r="E2515" s="27" t="str">
        <f>HYPERLINK("https://www.compass.com/building/135-prospect-park-west-brooklyn-ny-11215/567511232569701709/","135 Prospect Park West")</f>
        <v>135 Prospect Park West</v>
      </c>
      <c r="F2515" s="25" t="s">
        <v>40</v>
      </c>
      <c r="G2515" s="28">
        <v>850000.0</v>
      </c>
      <c r="H2515" s="29"/>
      <c r="I2515" s="28">
        <v>721.0</v>
      </c>
      <c r="J2515" s="29"/>
      <c r="K2515" s="25" t="s">
        <v>25</v>
      </c>
      <c r="L2515" s="26">
        <v>4.0</v>
      </c>
      <c r="M2515" s="26">
        <v>2.0</v>
      </c>
      <c r="N2515" s="30"/>
      <c r="O2515" s="30"/>
      <c r="P2515" s="30"/>
      <c r="Q2515" s="35">
        <v>43.0</v>
      </c>
      <c r="R2515" s="32">
        <v>44581.0</v>
      </c>
      <c r="S2515" s="32">
        <v>41974.0</v>
      </c>
      <c r="T2515" s="29"/>
      <c r="U2515" s="33"/>
      <c r="V2515" s="1"/>
    </row>
    <row r="2516" ht="24.0" customHeight="1">
      <c r="A2516" s="1"/>
      <c r="B2516" s="24" t="str">
        <f>HYPERLINK("https://www.compass.com/listing/55-prince-street-unit-2f-manhattan-ny-10012/338364240875978945/view?agent_id=610d3f3370540700019b0833","55 Prince St, Unit 2F")</f>
        <v>55 Prince St, Unit 2F</v>
      </c>
      <c r="C2516" s="25" t="s">
        <v>364</v>
      </c>
      <c r="D2516" s="26" t="s">
        <v>23</v>
      </c>
      <c r="E2516" s="27" t="str">
        <f>HYPERLINK("https://www.compass.com/building/55-prince-st-manhattan-ny-10012/307460052587646469/","55 Prince St")</f>
        <v>55 Prince St</v>
      </c>
      <c r="F2516" s="25" t="s">
        <v>101</v>
      </c>
      <c r="G2516" s="29"/>
      <c r="H2516" s="29"/>
      <c r="I2516" s="28">
        <v>0.0</v>
      </c>
      <c r="J2516" s="29"/>
      <c r="K2516" s="25" t="s">
        <v>25</v>
      </c>
      <c r="L2516" s="26">
        <v>4.0</v>
      </c>
      <c r="M2516" s="26">
        <v>2.0</v>
      </c>
      <c r="N2516" s="26">
        <v>1.0</v>
      </c>
      <c r="O2516" s="26">
        <v>0.0</v>
      </c>
      <c r="P2516" s="30"/>
      <c r="Q2516" s="31"/>
      <c r="R2516" s="32">
        <v>44581.0</v>
      </c>
      <c r="S2516" s="33"/>
      <c r="T2516" s="29"/>
      <c r="U2516" s="33"/>
      <c r="V2516" s="1"/>
    </row>
    <row r="2517" ht="24.0" customHeight="1">
      <c r="A2517" s="1"/>
      <c r="B2517" s="24" t="str">
        <f>HYPERLINK("https://www.compass.com/listing/22-mercer-street-unit-4d-manhattan-ny-10013/79075442312618529/view?agent_id=610d3f3370540700019b0833","22 Mercer St, Unit 4D")</f>
        <v>22 Mercer St, Unit 4D</v>
      </c>
      <c r="C2517" s="25" t="s">
        <v>364</v>
      </c>
      <c r="D2517" s="26" t="s">
        <v>23</v>
      </c>
      <c r="E2517" s="27" t="str">
        <f>HYPERLINK("https://www.compass.com/building/22-mercer-st-manhattan-ny-10013/282061323901109445/","22 Mercer St")</f>
        <v>22 Mercer St</v>
      </c>
      <c r="F2517" s="25" t="s">
        <v>53</v>
      </c>
      <c r="G2517" s="28">
        <v>4500000.0</v>
      </c>
      <c r="H2517" s="28">
        <v>1881.0</v>
      </c>
      <c r="I2517" s="28">
        <v>3892.0</v>
      </c>
      <c r="J2517" s="28">
        <v>18000.0</v>
      </c>
      <c r="K2517" s="25" t="s">
        <v>28</v>
      </c>
      <c r="L2517" s="26">
        <v>4.0</v>
      </c>
      <c r="M2517" s="26">
        <v>2.0</v>
      </c>
      <c r="N2517" s="26">
        <v>0.0</v>
      </c>
      <c r="O2517" s="26">
        <v>0.0</v>
      </c>
      <c r="P2517" s="34">
        <v>2392.0</v>
      </c>
      <c r="Q2517" s="31"/>
      <c r="R2517" s="32">
        <v>45636.0</v>
      </c>
      <c r="S2517" s="33"/>
      <c r="T2517" s="29"/>
      <c r="U2517" s="33"/>
      <c r="V2517" s="1"/>
    </row>
    <row r="2518" ht="24.0" customHeight="1">
      <c r="A2518" s="1"/>
      <c r="B2518" s="24" t="str">
        <f>HYPERLINK("https://www.compass.com/listing/315-east-70th-street-unit-8k-manhattan-ny-10021/1043364824236234201/view?agent_id=610d3f3370540700019b0833","315 E 70th St, Unit 8K")</f>
        <v>315 E 70th St, Unit 8K</v>
      </c>
      <c r="C2518" s="25" t="s">
        <v>364</v>
      </c>
      <c r="D2518" s="26" t="s">
        <v>23</v>
      </c>
      <c r="E2518" s="27" t="str">
        <f>HYPERLINK("https://www.compass.com/building/315-e-70th-st-manhattan-ny-10021/281950264477418933/","315 E 70th St")</f>
        <v>315 E 70th St</v>
      </c>
      <c r="F2518" s="25" t="s">
        <v>64</v>
      </c>
      <c r="G2518" s="28">
        <v>950000.0</v>
      </c>
      <c r="H2518" s="28">
        <v>950.0</v>
      </c>
      <c r="I2518" s="28">
        <v>2156.0</v>
      </c>
      <c r="J2518" s="28">
        <v>0.0</v>
      </c>
      <c r="K2518" s="25" t="s">
        <v>25</v>
      </c>
      <c r="L2518" s="26">
        <v>4.0</v>
      </c>
      <c r="M2518" s="26">
        <v>2.0</v>
      </c>
      <c r="N2518" s="26">
        <v>1.0</v>
      </c>
      <c r="O2518" s="30"/>
      <c r="P2518" s="34">
        <v>1000.0</v>
      </c>
      <c r="Q2518" s="35">
        <v>233.0</v>
      </c>
      <c r="R2518" s="32">
        <v>44926.0</v>
      </c>
      <c r="S2518" s="32">
        <v>44692.0</v>
      </c>
      <c r="T2518" s="29"/>
      <c r="U2518" s="33"/>
      <c r="V2518" s="1"/>
    </row>
    <row r="2519" ht="24.0" customHeight="1">
      <c r="A2519" s="1"/>
      <c r="B2519" s="24" t="str">
        <f>HYPERLINK("https://www.compass.com/listing/345-east-73rd-street-unit-2b-manhattan-ny-10021/1132043657520647409/view?agent_id=610d3f3370540700019b0833","345 E 73rd St, Unit 2B")</f>
        <v>345 E 73rd St, Unit 2B</v>
      </c>
      <c r="C2519" s="25" t="s">
        <v>370</v>
      </c>
      <c r="D2519" s="26" t="s">
        <v>23</v>
      </c>
      <c r="E2519" s="27" t="str">
        <f>HYPERLINK("https://www.compass.com/building/345-e-73rd-st-manhattan-ny-10021/281950686726389941/","345 E 73rd St")</f>
        <v>345 E 73rd St</v>
      </c>
      <c r="F2519" s="25" t="s">
        <v>64</v>
      </c>
      <c r="G2519" s="28">
        <v>829000.0</v>
      </c>
      <c r="H2519" s="29"/>
      <c r="I2519" s="28">
        <v>1875.0</v>
      </c>
      <c r="J2519" s="28">
        <v>0.0</v>
      </c>
      <c r="K2519" s="25" t="s">
        <v>25</v>
      </c>
      <c r="L2519" s="26">
        <v>4.0</v>
      </c>
      <c r="M2519" s="26">
        <v>2.0</v>
      </c>
      <c r="N2519" s="26">
        <v>1.0</v>
      </c>
      <c r="O2519" s="26">
        <v>0.0</v>
      </c>
      <c r="P2519" s="30"/>
      <c r="Q2519" s="31"/>
      <c r="R2519" s="32">
        <v>45139.0</v>
      </c>
      <c r="S2519" s="33"/>
      <c r="T2519" s="29"/>
      <c r="U2519" s="33"/>
      <c r="V2519" s="1"/>
    </row>
    <row r="2520" ht="24.0" customHeight="1">
      <c r="A2520" s="1"/>
      <c r="B2520" s="24" t="str">
        <f>HYPERLINK("https://www.compass.com/listing/55-berry-street-unit-4f-brooklyn-ny-11249/919044326465918201/view?agent_id=610d3f3370540700019b0833","55 Berry St, Unit 4F")</f>
        <v>55 Berry St, Unit 4F</v>
      </c>
      <c r="C2520" s="25" t="s">
        <v>364</v>
      </c>
      <c r="D2520" s="26" t="s">
        <v>23</v>
      </c>
      <c r="E2520" s="27" t="str">
        <f>HYPERLINK("https://www.compass.com/building/berry-street-lofts-brooklyn-ny/293420218213005589/","Berry Street Lofts")</f>
        <v>Berry Street Lofts</v>
      </c>
      <c r="F2520" s="25" t="s">
        <v>46</v>
      </c>
      <c r="G2520" s="28">
        <v>1625000.0</v>
      </c>
      <c r="H2520" s="28">
        <v>1197.0</v>
      </c>
      <c r="I2520" s="28">
        <v>844.0</v>
      </c>
      <c r="J2520" s="28">
        <v>12.0</v>
      </c>
      <c r="K2520" s="25" t="s">
        <v>28</v>
      </c>
      <c r="L2520" s="26">
        <v>5.0</v>
      </c>
      <c r="M2520" s="26">
        <v>2.0</v>
      </c>
      <c r="N2520" s="26">
        <v>0.0</v>
      </c>
      <c r="O2520" s="26">
        <v>0.0</v>
      </c>
      <c r="P2520" s="34">
        <v>1357.0</v>
      </c>
      <c r="Q2520" s="35">
        <v>55.0</v>
      </c>
      <c r="R2520" s="32">
        <v>45636.0</v>
      </c>
      <c r="S2520" s="32">
        <v>41529.0</v>
      </c>
      <c r="T2520" s="29"/>
      <c r="U2520" s="33"/>
      <c r="V2520" s="1"/>
    </row>
    <row r="2521" ht="24.0" customHeight="1">
      <c r="A2521" s="1"/>
      <c r="B2521" s="24" t="str">
        <f>HYPERLINK("https://www.compass.com/listing/8-west-65th-street-unit-1a-manhattan-ny-10023/29391298515561073/view?agent_id=610d3f3370540700019b0833","8 W 65th St, Unit 1A")</f>
        <v>8 W 65th St, Unit 1A</v>
      </c>
      <c r="C2521" s="25" t="s">
        <v>370</v>
      </c>
      <c r="D2521" s="26" t="s">
        <v>23</v>
      </c>
      <c r="E2521" s="27" t="str">
        <f>HYPERLINK("https://www.compass.com/building/8-w-65th-st-manhattan-ny-10023/281924473584654949/","8 W 65th St")</f>
        <v>8 W 65th St</v>
      </c>
      <c r="F2521" s="25" t="s">
        <v>29</v>
      </c>
      <c r="G2521" s="28">
        <v>949000.0</v>
      </c>
      <c r="H2521" s="28">
        <v>1291.0</v>
      </c>
      <c r="I2521" s="28">
        <v>1585.0</v>
      </c>
      <c r="J2521" s="28">
        <v>7404.0</v>
      </c>
      <c r="K2521" s="25" t="s">
        <v>28</v>
      </c>
      <c r="L2521" s="26">
        <v>4.0</v>
      </c>
      <c r="M2521" s="26">
        <v>2.0</v>
      </c>
      <c r="N2521" s="26">
        <v>1.0</v>
      </c>
      <c r="O2521" s="26">
        <v>0.0</v>
      </c>
      <c r="P2521" s="26">
        <v>735.0</v>
      </c>
      <c r="Q2521" s="35">
        <v>139.0</v>
      </c>
      <c r="R2521" s="32">
        <v>45636.0</v>
      </c>
      <c r="S2521" s="32">
        <v>42809.0</v>
      </c>
      <c r="T2521" s="29"/>
      <c r="U2521" s="33"/>
      <c r="V2521" s="1"/>
    </row>
    <row r="2522" ht="24.0" customHeight="1">
      <c r="A2522" s="1"/>
      <c r="B2522" s="24" t="str">
        <f>HYPERLINK("https://www.compass.com/listing/429-kent-avenue-unit-829-brooklyn-ny-11249/921051138224862585/view?agent_id=610d3f3370540700019b0833","429 Kent Ave, Unit 829")</f>
        <v>429 Kent Ave, Unit 829</v>
      </c>
      <c r="C2522" s="25" t="s">
        <v>364</v>
      </c>
      <c r="D2522" s="26" t="s">
        <v>23</v>
      </c>
      <c r="E2522" s="27" t="str">
        <f>HYPERLINK("https://www.compass.com/building/the-oosten-brooklyn-ny/293425863259659349/","The Oosten")</f>
        <v>The Oosten</v>
      </c>
      <c r="F2522" s="25" t="s">
        <v>46</v>
      </c>
      <c r="G2522" s="28">
        <v>2325000.0</v>
      </c>
      <c r="H2522" s="28">
        <v>1705.0</v>
      </c>
      <c r="I2522" s="28">
        <v>1817.0</v>
      </c>
      <c r="J2522" s="28">
        <v>9504.0</v>
      </c>
      <c r="K2522" s="25" t="s">
        <v>28</v>
      </c>
      <c r="L2522" s="26">
        <v>6.0</v>
      </c>
      <c r="M2522" s="26">
        <v>2.0</v>
      </c>
      <c r="N2522" s="26">
        <v>0.0</v>
      </c>
      <c r="O2522" s="26">
        <v>0.0</v>
      </c>
      <c r="P2522" s="34">
        <v>1364.0</v>
      </c>
      <c r="Q2522" s="35">
        <v>1897.0</v>
      </c>
      <c r="R2522" s="32">
        <v>45636.0</v>
      </c>
      <c r="S2522" s="32">
        <v>42683.0</v>
      </c>
      <c r="T2522" s="29"/>
      <c r="U2522" s="33"/>
      <c r="V2522" s="1"/>
    </row>
    <row r="2523" ht="24.0" customHeight="1">
      <c r="A2523" s="1"/>
      <c r="B2523" s="24" t="str">
        <f>HYPERLINK("https://www.compass.com/listing/207-east-74th-street-unit-8h-manhattan-ny-10021/1415325655503306913/view?agent_id=610d3f3370540700019b0833","207 E 74th St, Unit 8H")</f>
        <v>207 E 74th St, Unit 8H</v>
      </c>
      <c r="C2523" s="25" t="s">
        <v>365</v>
      </c>
      <c r="D2523" s="26" t="s">
        <v>23</v>
      </c>
      <c r="E2523" s="27" t="str">
        <f>HYPERLINK("https://www.compass.com/building/the-mayfair-manhattan-ny/281949407421725269/","The Mayfair ")</f>
        <v>The Mayfair </v>
      </c>
      <c r="F2523" s="25" t="s">
        <v>64</v>
      </c>
      <c r="G2523" s="28">
        <v>1195000.0</v>
      </c>
      <c r="H2523" s="29"/>
      <c r="I2523" s="28">
        <v>1962.0</v>
      </c>
      <c r="J2523" s="28">
        <v>0.0</v>
      </c>
      <c r="K2523" s="25" t="s">
        <v>25</v>
      </c>
      <c r="L2523" s="26">
        <v>4.0</v>
      </c>
      <c r="M2523" s="26">
        <v>2.0</v>
      </c>
      <c r="N2523" s="26">
        <v>1.0</v>
      </c>
      <c r="O2523" s="26">
        <v>0.0</v>
      </c>
      <c r="P2523" s="30"/>
      <c r="Q2523" s="35">
        <v>239.0</v>
      </c>
      <c r="R2523" s="32">
        <v>45445.0</v>
      </c>
      <c r="S2523" s="32">
        <v>45204.0</v>
      </c>
      <c r="T2523" s="29"/>
      <c r="U2523" s="33"/>
      <c r="V2523" s="1"/>
    </row>
    <row r="2524" ht="24.0" customHeight="1">
      <c r="A2524" s="1"/>
      <c r="B2524" s="24" t="str">
        <f>HYPERLINK("https://www.compass.com/listing/55-berry-street-unit-5e-brooklyn-ny-11249/4852350484897341041/view?agent_id=610d3f3370540700019b0833","55 Berry St, Unit 5E")</f>
        <v>55 Berry St, Unit 5E</v>
      </c>
      <c r="C2524" s="25" t="s">
        <v>370</v>
      </c>
      <c r="D2524" s="26" t="s">
        <v>23</v>
      </c>
      <c r="E2524" s="27" t="str">
        <f>HYPERLINK("https://www.compass.com/building/berry-street-lofts-brooklyn-ny/293420218213005589/","Berry Street Lofts")</f>
        <v>Berry Street Lofts</v>
      </c>
      <c r="F2524" s="25" t="s">
        <v>46</v>
      </c>
      <c r="G2524" s="28">
        <v>1735000.0</v>
      </c>
      <c r="H2524" s="28">
        <v>1299.0</v>
      </c>
      <c r="I2524" s="28">
        <v>1031.0</v>
      </c>
      <c r="J2524" s="28">
        <v>180.0</v>
      </c>
      <c r="K2524" s="25" t="s">
        <v>28</v>
      </c>
      <c r="L2524" s="26">
        <v>4.0</v>
      </c>
      <c r="M2524" s="26">
        <v>2.0</v>
      </c>
      <c r="N2524" s="26">
        <v>0.0</v>
      </c>
      <c r="O2524" s="26">
        <v>0.0</v>
      </c>
      <c r="P2524" s="34">
        <v>1336.0</v>
      </c>
      <c r="Q2524" s="35">
        <v>176.0</v>
      </c>
      <c r="R2524" s="32">
        <v>45636.0</v>
      </c>
      <c r="S2524" s="32">
        <v>42488.0</v>
      </c>
      <c r="T2524" s="29"/>
      <c r="U2524" s="33"/>
      <c r="V2524" s="1"/>
    </row>
    <row r="2525" ht="24.0" customHeight="1">
      <c r="A2525" s="1"/>
      <c r="B2525" s="24" t="str">
        <f>HYPERLINK("https://www.compass.com/listing/207-east-74th-street-unit-11j-manhattan-ny-10021/590489882689015177/view?agent_id=610d3f3370540700019b0833","207 E 74th St, Unit 11J")</f>
        <v>207 E 74th St, Unit 11J</v>
      </c>
      <c r="C2525" s="25" t="s">
        <v>370</v>
      </c>
      <c r="D2525" s="26" t="s">
        <v>23</v>
      </c>
      <c r="E2525" s="27" t="str">
        <f>HYPERLINK("https://www.compass.com/building/the-mayfair-manhattan-ny/281949407421725269/","The Mayfair ")</f>
        <v>The Mayfair </v>
      </c>
      <c r="F2525" s="25" t="s">
        <v>64</v>
      </c>
      <c r="G2525" s="28">
        <v>995000.0</v>
      </c>
      <c r="H2525" s="29"/>
      <c r="I2525" s="28">
        <v>1765.0</v>
      </c>
      <c r="J2525" s="28">
        <v>0.0</v>
      </c>
      <c r="K2525" s="25" t="s">
        <v>25</v>
      </c>
      <c r="L2525" s="26">
        <v>4.0</v>
      </c>
      <c r="M2525" s="26">
        <v>2.0</v>
      </c>
      <c r="N2525" s="26">
        <v>1.0</v>
      </c>
      <c r="O2525" s="30"/>
      <c r="P2525" s="30"/>
      <c r="Q2525" s="35">
        <v>112.0</v>
      </c>
      <c r="R2525" s="32">
        <v>44179.0</v>
      </c>
      <c r="S2525" s="32">
        <v>44066.0</v>
      </c>
      <c r="T2525" s="29"/>
      <c r="U2525" s="33"/>
      <c r="V2525" s="1"/>
    </row>
    <row r="2526" ht="24.0" customHeight="1">
      <c r="A2526" s="1"/>
      <c r="B2526" s="24" t="str">
        <f>HYPERLINK("https://www.compass.com/listing/538-washington-avenue-unit-2b-brooklyn-ny-11238/101383938957734433/view?agent_id=610d3f3370540700019b0833","538 Washington Ave, Unit 2B")</f>
        <v>538 Washington Ave, Unit 2B</v>
      </c>
      <c r="C2526" s="25" t="s">
        <v>364</v>
      </c>
      <c r="D2526" s="26" t="s">
        <v>23</v>
      </c>
      <c r="E2526" s="27" t="str">
        <f>HYPERLINK("https://www.compass.com/building/aperture-538-brooklyn-ny/293417188029738581/","Aperture 538")</f>
        <v>Aperture 538</v>
      </c>
      <c r="F2526" s="25" t="s">
        <v>30</v>
      </c>
      <c r="G2526" s="28">
        <v>1575000.0</v>
      </c>
      <c r="H2526" s="28">
        <v>1057.0</v>
      </c>
      <c r="I2526" s="28">
        <v>1735.0</v>
      </c>
      <c r="J2526" s="28">
        <v>10092.0</v>
      </c>
      <c r="K2526" s="25" t="s">
        <v>28</v>
      </c>
      <c r="L2526" s="26">
        <v>6.0</v>
      </c>
      <c r="M2526" s="26">
        <v>2.0</v>
      </c>
      <c r="N2526" s="26">
        <v>0.0</v>
      </c>
      <c r="O2526" s="26">
        <v>0.0</v>
      </c>
      <c r="P2526" s="34">
        <v>1490.0</v>
      </c>
      <c r="Q2526" s="35">
        <v>147.0</v>
      </c>
      <c r="R2526" s="32">
        <v>45636.0</v>
      </c>
      <c r="S2526" s="32">
        <v>42797.0</v>
      </c>
      <c r="T2526" s="29"/>
      <c r="U2526" s="33"/>
      <c r="V2526" s="1"/>
    </row>
    <row r="2527" ht="24.0" customHeight="1">
      <c r="A2527" s="1"/>
      <c r="B2527" s="24" t="str">
        <f>HYPERLINK("https://www.compass.com/listing/191-luquer-street-unit-3a-brooklyn-ny-11231/120258989656166161/view?agent_id=610d3f3370540700019b0833","191 Luquer St, Unit 3A")</f>
        <v>191 Luquer St, Unit 3A</v>
      </c>
      <c r="C2527" s="25" t="s">
        <v>370</v>
      </c>
      <c r="D2527" s="26" t="s">
        <v>23</v>
      </c>
      <c r="E2527" s="27" t="str">
        <f>HYPERLINK("https://www.compass.com/building/191-luquer-st-brooklyn-ny-11231/294839064930823941/","191 Luquer St")</f>
        <v>191 Luquer St</v>
      </c>
      <c r="F2527" s="25" t="s">
        <v>65</v>
      </c>
      <c r="G2527" s="28">
        <v>1175000.0</v>
      </c>
      <c r="H2527" s="28">
        <v>1382.0</v>
      </c>
      <c r="I2527" s="28">
        <v>427.0</v>
      </c>
      <c r="J2527" s="28">
        <v>1116.0</v>
      </c>
      <c r="K2527" s="25" t="s">
        <v>28</v>
      </c>
      <c r="L2527" s="26">
        <v>5.0</v>
      </c>
      <c r="M2527" s="26">
        <v>2.0</v>
      </c>
      <c r="N2527" s="26">
        <v>1.0</v>
      </c>
      <c r="O2527" s="26">
        <v>0.0</v>
      </c>
      <c r="P2527" s="26">
        <v>850.0</v>
      </c>
      <c r="Q2527" s="35">
        <v>144.0</v>
      </c>
      <c r="R2527" s="32">
        <v>45636.0</v>
      </c>
      <c r="S2527" s="32">
        <v>43417.0</v>
      </c>
      <c r="T2527" s="29"/>
      <c r="U2527" s="33"/>
      <c r="V2527" s="1"/>
    </row>
    <row r="2528" ht="24.0" customHeight="1">
      <c r="A2528" s="1"/>
      <c r="B2528" s="24" t="str">
        <f>HYPERLINK("https://www.compass.com/listing/161-maspeth-avenue-brooklyn-ny-11211/177414496342510737/view?agent_id=610d3f3370540700019b0833","161 Maspeth Ave")</f>
        <v>161 Maspeth Ave</v>
      </c>
      <c r="C2528" s="25" t="s">
        <v>364</v>
      </c>
      <c r="D2528" s="26" t="s">
        <v>23</v>
      </c>
      <c r="E2528" s="27" t="str">
        <f>HYPERLINK("https://www.compass.com/building/161-maspeth-ave-brooklyn-ny-11211/282407546868809029/","161 Maspeth Ave")</f>
        <v>161 Maspeth Ave</v>
      </c>
      <c r="F2528" s="25" t="s">
        <v>376</v>
      </c>
      <c r="G2528" s="28">
        <v>1150000.0</v>
      </c>
      <c r="H2528" s="29"/>
      <c r="I2528" s="28">
        <v>353.0</v>
      </c>
      <c r="J2528" s="28">
        <v>4236.0</v>
      </c>
      <c r="K2528" s="25" t="s">
        <v>36</v>
      </c>
      <c r="L2528" s="26">
        <v>5.0</v>
      </c>
      <c r="M2528" s="26">
        <v>2.0</v>
      </c>
      <c r="N2528" s="26">
        <v>1.0</v>
      </c>
      <c r="O2528" s="26">
        <v>0.0</v>
      </c>
      <c r="P2528" s="30"/>
      <c r="Q2528" s="35">
        <v>150.0</v>
      </c>
      <c r="R2528" s="32">
        <v>43646.0</v>
      </c>
      <c r="S2528" s="32">
        <v>43496.0</v>
      </c>
      <c r="T2528" s="29"/>
      <c r="U2528" s="33"/>
      <c r="V2528" s="1"/>
    </row>
    <row r="2529" ht="24.0" customHeight="1">
      <c r="A2529" s="1"/>
      <c r="B2529" s="24" t="str">
        <f>HYPERLINK("https://www.compass.com/listing/402-2nd-street-unit-4l-brooklyn-ny-11215/558783519189980809/view?agent_id=610d3f3370540700019b0833","402 2nd St, Unit 4L")</f>
        <v>402 2nd St, Unit 4L</v>
      </c>
      <c r="C2529" s="25" t="s">
        <v>364</v>
      </c>
      <c r="D2529" s="26" t="s">
        <v>23</v>
      </c>
      <c r="E2529" s="27" t="str">
        <f>HYPERLINK("https://www.compass.com/building/402-2nd-st-brooklyn-ny-11215/282496346869539653/","402 2nd St")</f>
        <v>402 2nd St</v>
      </c>
      <c r="F2529" s="25" t="s">
        <v>40</v>
      </c>
      <c r="G2529" s="28">
        <v>745000.0</v>
      </c>
      <c r="H2529" s="28">
        <v>1120.0</v>
      </c>
      <c r="I2529" s="28">
        <v>540.0</v>
      </c>
      <c r="J2529" s="28">
        <v>0.0</v>
      </c>
      <c r="K2529" s="25" t="s">
        <v>25</v>
      </c>
      <c r="L2529" s="26">
        <v>4.0</v>
      </c>
      <c r="M2529" s="26">
        <v>2.0</v>
      </c>
      <c r="N2529" s="26">
        <v>1.0</v>
      </c>
      <c r="O2529" s="30"/>
      <c r="P2529" s="26">
        <v>665.0</v>
      </c>
      <c r="Q2529" s="35">
        <v>0.0</v>
      </c>
      <c r="R2529" s="32">
        <v>44022.0</v>
      </c>
      <c r="S2529" s="32">
        <v>44022.0</v>
      </c>
      <c r="T2529" s="29"/>
      <c r="U2529" s="33"/>
      <c r="V2529" s="1"/>
    </row>
    <row r="2530" ht="24.0" customHeight="1">
      <c r="A2530" s="1"/>
      <c r="B2530" s="24" t="str">
        <f>HYPERLINK("https://www.compass.com/listing/155-east-73rd-street-unit-7b-manhattan-ny-10021/687892013982929065/view?agent_id=610d3f3370540700019b0833","155 E 73rd St, Unit 7B")</f>
        <v>155 E 73rd St, Unit 7B</v>
      </c>
      <c r="C2530" s="25" t="s">
        <v>365</v>
      </c>
      <c r="D2530" s="26" t="s">
        <v>23</v>
      </c>
      <c r="E2530" s="27" t="str">
        <f>HYPERLINK("https://www.compass.com/building/155-e-73rd-st-manhattan-ny-10021/292851090502783829/","155 E 73rd St")</f>
        <v>155 E 73rd St</v>
      </c>
      <c r="F2530" s="25" t="s">
        <v>64</v>
      </c>
      <c r="G2530" s="28">
        <v>975000.0</v>
      </c>
      <c r="H2530" s="28">
        <v>975.0</v>
      </c>
      <c r="I2530" s="28">
        <v>3012.0</v>
      </c>
      <c r="J2530" s="28">
        <v>0.0</v>
      </c>
      <c r="K2530" s="25" t="s">
        <v>25</v>
      </c>
      <c r="L2530" s="26">
        <v>4.0</v>
      </c>
      <c r="M2530" s="26">
        <v>2.0</v>
      </c>
      <c r="N2530" s="26">
        <v>1.0</v>
      </c>
      <c r="O2530" s="26">
        <v>0.0</v>
      </c>
      <c r="P2530" s="34">
        <v>1000.0</v>
      </c>
      <c r="Q2530" s="35">
        <v>186.0</v>
      </c>
      <c r="R2530" s="32">
        <v>44389.0</v>
      </c>
      <c r="S2530" s="32">
        <v>44202.0</v>
      </c>
      <c r="T2530" s="29"/>
      <c r="U2530" s="33"/>
      <c r="V2530" s="1"/>
    </row>
    <row r="2531" ht="24.0" customHeight="1">
      <c r="A2531" s="1"/>
      <c r="B2531" s="24" t="str">
        <f>HYPERLINK("https://www.compass.com/listing/257-central-park-west-unit-8bh-manhattan-ny-10024/1809622667192098833/view?agent_id=610d3f3370540700019b0833","257 Central Park W, Unit 8BH")</f>
        <v>257 Central Park W, Unit 8BH</v>
      </c>
      <c r="C2531" s="25" t="s">
        <v>364</v>
      </c>
      <c r="D2531" s="26" t="s">
        <v>23</v>
      </c>
      <c r="E2531" s="27" t="str">
        <f>HYPERLINK("https://www.compass.com/building/the-orwell-house-manhattan-ny/281924826568891253/","The Orwell House")</f>
        <v>The Orwell House</v>
      </c>
      <c r="F2531" s="25" t="s">
        <v>29</v>
      </c>
      <c r="G2531" s="28">
        <v>1225000.0</v>
      </c>
      <c r="H2531" s="29"/>
      <c r="I2531" s="28">
        <v>2399.0</v>
      </c>
      <c r="J2531" s="29"/>
      <c r="K2531" s="25" t="s">
        <v>25</v>
      </c>
      <c r="L2531" s="26">
        <v>4.0</v>
      </c>
      <c r="M2531" s="26">
        <v>2.0</v>
      </c>
      <c r="N2531" s="26">
        <v>0.0</v>
      </c>
      <c r="O2531" s="26">
        <v>0.0</v>
      </c>
      <c r="P2531" s="30"/>
      <c r="Q2531" s="35">
        <v>0.0</v>
      </c>
      <c r="R2531" s="32">
        <v>44581.0</v>
      </c>
      <c r="S2531" s="32">
        <v>41537.0</v>
      </c>
      <c r="T2531" s="29"/>
      <c r="U2531" s="33"/>
      <c r="V2531" s="1"/>
    </row>
    <row r="2532" ht="24.0" customHeight="1">
      <c r="A2532" s="1"/>
      <c r="B2532" s="24" t="str">
        <f>HYPERLINK("https://www.compass.com/listing/429-kent-avenue-unit-830-brooklyn-ny-11249/28815654324854785/view?agent_id=610d3f3370540700019b0833","429 Kent Ave, Unit 830")</f>
        <v>429 Kent Ave, Unit 830</v>
      </c>
      <c r="C2532" s="25" t="s">
        <v>364</v>
      </c>
      <c r="D2532" s="26" t="s">
        <v>23</v>
      </c>
      <c r="E2532" s="27" t="str">
        <f>HYPERLINK("https://www.compass.com/building/the-oosten-brooklyn-ny/293425863259659349/","The Oosten")</f>
        <v>The Oosten</v>
      </c>
      <c r="F2532" s="25" t="s">
        <v>46</v>
      </c>
      <c r="G2532" s="28">
        <v>1825000.0</v>
      </c>
      <c r="H2532" s="28">
        <v>1665.0</v>
      </c>
      <c r="I2532" s="28">
        <v>1208.0</v>
      </c>
      <c r="J2532" s="28">
        <v>4644.0</v>
      </c>
      <c r="K2532" s="25" t="s">
        <v>28</v>
      </c>
      <c r="L2532" s="26">
        <v>3.0</v>
      </c>
      <c r="M2532" s="26">
        <v>2.0</v>
      </c>
      <c r="N2532" s="26">
        <v>0.0</v>
      </c>
      <c r="O2532" s="26">
        <v>0.0</v>
      </c>
      <c r="P2532" s="34">
        <v>1096.0</v>
      </c>
      <c r="Q2532" s="35">
        <v>854.0</v>
      </c>
      <c r="R2532" s="32">
        <v>45636.0</v>
      </c>
      <c r="S2532" s="32">
        <v>42436.0</v>
      </c>
      <c r="T2532" s="29"/>
      <c r="U2532" s="33"/>
      <c r="V2532" s="1"/>
    </row>
    <row r="2533" ht="24.0" customHeight="1">
      <c r="A2533" s="1"/>
      <c r="B2533" s="24" t="str">
        <f>HYPERLINK("https://www.compass.com/listing/205-west-76th-street-unit-1401pom-manhattan-ny-10023/921896771668249033/view?agent_id=610d3f3370540700019b0833","205 W 76th St, Unit 1401POM")</f>
        <v>205 W 76th St, Unit 1401POM</v>
      </c>
      <c r="C2533" s="25" t="s">
        <v>364</v>
      </c>
      <c r="D2533" s="26" t="s">
        <v>23</v>
      </c>
      <c r="E2533" s="27" t="str">
        <f>HYPERLINK("https://www.compass.com/building/the-harrison-manhattan-ny/294841597577246933/","The Harrison")</f>
        <v>The Harrison</v>
      </c>
      <c r="F2533" s="25" t="s">
        <v>29</v>
      </c>
      <c r="G2533" s="28">
        <v>3995000.0</v>
      </c>
      <c r="H2533" s="29"/>
      <c r="I2533" s="28">
        <v>3102.0</v>
      </c>
      <c r="J2533" s="28">
        <v>15000.0</v>
      </c>
      <c r="K2533" s="25" t="s">
        <v>28</v>
      </c>
      <c r="L2533" s="26">
        <v>4.0</v>
      </c>
      <c r="M2533" s="26">
        <v>2.0</v>
      </c>
      <c r="N2533" s="26">
        <v>0.0</v>
      </c>
      <c r="O2533" s="26">
        <v>1.0</v>
      </c>
      <c r="P2533" s="30"/>
      <c r="Q2533" s="35">
        <v>0.0</v>
      </c>
      <c r="R2533" s="32">
        <v>44581.0</v>
      </c>
      <c r="S2533" s="32">
        <v>43195.0</v>
      </c>
      <c r="T2533" s="29"/>
      <c r="U2533" s="33"/>
      <c r="V2533" s="1"/>
    </row>
    <row r="2534" ht="24.0" customHeight="1">
      <c r="A2534" s="1"/>
      <c r="B2534" s="24" t="str">
        <f>HYPERLINK("https://www.compass.com/listing/85-north-3rd-street-unit-211-brooklyn-ny-11249/282595736833507953/view?agent_id=610d3f3370540700019b0833","85 N 3rd St, Unit 211")</f>
        <v>85 N 3rd St, Unit 211</v>
      </c>
      <c r="C2534" s="25" t="s">
        <v>364</v>
      </c>
      <c r="D2534" s="26" t="s">
        <v>23</v>
      </c>
      <c r="E2534" s="27" t="str">
        <f>HYPERLINK("https://www.compass.com/building/the-mill-building-brooklyn-ny/307452399484232421/","The Mill Building")</f>
        <v>The Mill Building</v>
      </c>
      <c r="F2534" s="25" t="s">
        <v>46</v>
      </c>
      <c r="G2534" s="28">
        <v>1725000.0</v>
      </c>
      <c r="H2534" s="28">
        <v>1192.0</v>
      </c>
      <c r="I2534" s="28">
        <v>967.0</v>
      </c>
      <c r="J2534" s="28">
        <v>237.0</v>
      </c>
      <c r="K2534" s="25" t="s">
        <v>28</v>
      </c>
      <c r="L2534" s="26">
        <v>3.0</v>
      </c>
      <c r="M2534" s="26">
        <v>2.0</v>
      </c>
      <c r="N2534" s="26">
        <v>1.0</v>
      </c>
      <c r="O2534" s="26">
        <v>0.0</v>
      </c>
      <c r="P2534" s="34">
        <v>1447.0</v>
      </c>
      <c r="Q2534" s="35">
        <v>113.0</v>
      </c>
      <c r="R2534" s="32">
        <v>43768.0</v>
      </c>
      <c r="S2534" s="32">
        <v>43654.0</v>
      </c>
      <c r="T2534" s="29"/>
      <c r="U2534" s="33"/>
      <c r="V2534" s="1"/>
    </row>
    <row r="2535" ht="24.0" customHeight="1">
      <c r="A2535" s="1"/>
      <c r="B2535" s="24" t="str">
        <f>HYPERLINK("https://www.compass.com/listing/11-worth-street-unit-3a-manhattan-ny-10013/70922051375915713/view?agent_id=610d3f3370540700019b0833","11 Worth St, Unit 3A")</f>
        <v>11 Worth St, Unit 3A</v>
      </c>
      <c r="C2535" s="25" t="s">
        <v>364</v>
      </c>
      <c r="D2535" s="26" t="s">
        <v>23</v>
      </c>
      <c r="E2535" s="27" t="str">
        <f>HYPERLINK("https://www.compass.com/building/11-worth-st-manhattan-ny-10013/307442087158643989/","11 Worth St")</f>
        <v>11 Worth St</v>
      </c>
      <c r="F2535" s="25" t="s">
        <v>60</v>
      </c>
      <c r="G2535" s="28">
        <v>2600000.0</v>
      </c>
      <c r="H2535" s="29"/>
      <c r="I2535" s="28">
        <v>2688.0</v>
      </c>
      <c r="J2535" s="29"/>
      <c r="K2535" s="25" t="s">
        <v>25</v>
      </c>
      <c r="L2535" s="26">
        <v>5.0</v>
      </c>
      <c r="M2535" s="26">
        <v>2.0</v>
      </c>
      <c r="N2535" s="26">
        <v>0.0</v>
      </c>
      <c r="O2535" s="26">
        <v>0.0</v>
      </c>
      <c r="P2535" s="30"/>
      <c r="Q2535" s="35">
        <v>74.0</v>
      </c>
      <c r="R2535" s="32">
        <v>44581.0</v>
      </c>
      <c r="S2535" s="32">
        <v>41537.0</v>
      </c>
      <c r="T2535" s="29"/>
      <c r="U2535" s="33"/>
      <c r="V2535" s="1"/>
    </row>
    <row r="2536" ht="24.0" customHeight="1">
      <c r="A2536" s="1"/>
      <c r="B2536" s="24" t="str">
        <f>HYPERLINK("https://www.compass.com/listing/329-grand-avenue-unit-b-brooklyn-ny-11238/848974922289334537/view?agent_id=610d3f3370540700019b0833","329 Grand Ave, Unit B")</f>
        <v>329 Grand Ave, Unit B</v>
      </c>
      <c r="C2536" s="25" t="s">
        <v>364</v>
      </c>
      <c r="D2536" s="26" t="s">
        <v>23</v>
      </c>
      <c r="E2536" s="27" t="str">
        <f>HYPERLINK("https://www.compass.com/building/329-grand-ave-brooklyn-ny-11238/293424371882594821/","329 Grand Ave")</f>
        <v>329 Grand Ave</v>
      </c>
      <c r="F2536" s="25" t="s">
        <v>30</v>
      </c>
      <c r="G2536" s="28">
        <v>879000.0</v>
      </c>
      <c r="H2536" s="28">
        <v>870.0</v>
      </c>
      <c r="I2536" s="28">
        <v>839.0</v>
      </c>
      <c r="J2536" s="28">
        <v>6456.0</v>
      </c>
      <c r="K2536" s="25" t="s">
        <v>28</v>
      </c>
      <c r="L2536" s="26">
        <v>6.0</v>
      </c>
      <c r="M2536" s="26">
        <v>2.0</v>
      </c>
      <c r="N2536" s="26">
        <v>0.0</v>
      </c>
      <c r="O2536" s="26">
        <v>0.0</v>
      </c>
      <c r="P2536" s="34">
        <v>1010.0</v>
      </c>
      <c r="Q2536" s="35">
        <v>14.0</v>
      </c>
      <c r="R2536" s="32">
        <v>45636.0</v>
      </c>
      <c r="S2536" s="32">
        <v>43126.0</v>
      </c>
      <c r="T2536" s="29"/>
      <c r="U2536" s="33"/>
      <c r="V2536" s="1"/>
    </row>
    <row r="2537" ht="24.0" customHeight="1">
      <c r="A2537" s="1"/>
      <c r="B2537" s="24" t="str">
        <f>HYPERLINK("https://www.compass.com/listing/363-east-76th-street-unit-2h-manhattan-ny-10021/805772010836307953/view?agent_id=610d3f3370540700019b0833","363 E 76th St, Unit 2H")</f>
        <v>363 E 76th St, Unit 2H</v>
      </c>
      <c r="C2537" s="25" t="s">
        <v>370</v>
      </c>
      <c r="D2537" s="26" t="s">
        <v>23</v>
      </c>
      <c r="E2537" s="27" t="str">
        <f>HYPERLINK("https://www.compass.com/building/sherman-towers-manhattan-ny/282059553435058005/","Sherman Towers")</f>
        <v>Sherman Towers</v>
      </c>
      <c r="F2537" s="25" t="s">
        <v>64</v>
      </c>
      <c r="G2537" s="28">
        <v>870000.0</v>
      </c>
      <c r="H2537" s="29"/>
      <c r="I2537" s="28">
        <v>1716.0</v>
      </c>
      <c r="J2537" s="29"/>
      <c r="K2537" s="25" t="s">
        <v>25</v>
      </c>
      <c r="L2537" s="26">
        <v>4.0</v>
      </c>
      <c r="M2537" s="26">
        <v>2.0</v>
      </c>
      <c r="N2537" s="26">
        <v>1.0</v>
      </c>
      <c r="O2537" s="30"/>
      <c r="P2537" s="30"/>
      <c r="Q2537" s="35">
        <v>48.0</v>
      </c>
      <c r="R2537" s="32">
        <v>45027.0</v>
      </c>
      <c r="S2537" s="32">
        <v>44363.0</v>
      </c>
      <c r="T2537" s="29"/>
      <c r="U2537" s="33"/>
      <c r="V2537" s="1"/>
    </row>
    <row r="2538" ht="24.0" customHeight="1">
      <c r="A2538" s="1"/>
      <c r="B2538" s="24" t="str">
        <f>HYPERLINK("https://www.compass.com/listing/471-washington-street-unit-1c-manhattan-ny-10013/29366918561515937/view?agent_id=610d3f3370540700019b0833","471 Washington St, Unit 1C")</f>
        <v>471 Washington St, Unit 1C</v>
      </c>
      <c r="C2538" s="25" t="s">
        <v>364</v>
      </c>
      <c r="D2538" s="26" t="s">
        <v>23</v>
      </c>
      <c r="E2538" s="27" t="str">
        <f>HYPERLINK("https://www.compass.com/building/471-washington-st-manhattan-ny-10013/281920125668462549/","471 Washington St")</f>
        <v>471 Washington St</v>
      </c>
      <c r="F2538" s="25" t="s">
        <v>60</v>
      </c>
      <c r="G2538" s="28">
        <v>4000000.0</v>
      </c>
      <c r="H2538" s="28">
        <v>1516.0</v>
      </c>
      <c r="I2538" s="28">
        <v>2692.0</v>
      </c>
      <c r="J2538" s="28">
        <v>3528.0</v>
      </c>
      <c r="K2538" s="25" t="s">
        <v>28</v>
      </c>
      <c r="L2538" s="26">
        <v>5.0</v>
      </c>
      <c r="M2538" s="26">
        <v>2.0</v>
      </c>
      <c r="N2538" s="26">
        <v>0.0</v>
      </c>
      <c r="O2538" s="26">
        <v>0.0</v>
      </c>
      <c r="P2538" s="34">
        <v>2639.0</v>
      </c>
      <c r="Q2538" s="35">
        <v>125.0</v>
      </c>
      <c r="R2538" s="32">
        <v>45636.0</v>
      </c>
      <c r="S2538" s="32">
        <v>42037.0</v>
      </c>
      <c r="T2538" s="29"/>
      <c r="U2538" s="33"/>
      <c r="V2538" s="1"/>
    </row>
    <row r="2539" ht="24.0" customHeight="1">
      <c r="A2539" s="1"/>
      <c r="B2539" s="24" t="str">
        <f>HYPERLINK("https://www.compass.com/listing/155-east-73rd-street-unit-3b-manhattan-ny-10021/369536940394830353/view?agent_id=610d3f3370540700019b0833","155 E 73rd St, Unit 3B")</f>
        <v>155 E 73rd St, Unit 3B</v>
      </c>
      <c r="C2539" s="25" t="s">
        <v>364</v>
      </c>
      <c r="D2539" s="26" t="s">
        <v>23</v>
      </c>
      <c r="E2539" s="27" t="str">
        <f>HYPERLINK("https://www.compass.com/building/155-e-73rd-st-manhattan-ny-10021/292851090502783829/","155 E 73rd St")</f>
        <v>155 E 73rd St</v>
      </c>
      <c r="F2539" s="25" t="s">
        <v>64</v>
      </c>
      <c r="G2539" s="28">
        <v>825000.0</v>
      </c>
      <c r="H2539" s="29"/>
      <c r="I2539" s="28">
        <v>2837.0</v>
      </c>
      <c r="J2539" s="28">
        <v>0.0</v>
      </c>
      <c r="K2539" s="25" t="s">
        <v>25</v>
      </c>
      <c r="L2539" s="26">
        <v>4.0</v>
      </c>
      <c r="M2539" s="26">
        <v>2.0</v>
      </c>
      <c r="N2539" s="26">
        <v>1.0</v>
      </c>
      <c r="O2539" s="26">
        <v>0.0</v>
      </c>
      <c r="P2539" s="30"/>
      <c r="Q2539" s="35">
        <v>148.0</v>
      </c>
      <c r="R2539" s="32">
        <v>43994.0</v>
      </c>
      <c r="S2539" s="32">
        <v>43761.0</v>
      </c>
      <c r="T2539" s="29"/>
      <c r="U2539" s="33"/>
      <c r="V2539" s="1"/>
    </row>
    <row r="2540" ht="24.0" customHeight="1">
      <c r="A2540" s="1"/>
      <c r="B2540" s="24" t="str">
        <f>HYPERLINK("https://www.compass.com/listing/538-washington-avenue-unit-2b-brooklyn-ny-11238/921032064593282569/view?agent_id=610d3f3370540700019b0833","538 Washington Ave, Unit 2B")</f>
        <v>538 Washington Ave, Unit 2B</v>
      </c>
      <c r="C2540" s="25" t="s">
        <v>364</v>
      </c>
      <c r="D2540" s="26" t="s">
        <v>23</v>
      </c>
      <c r="E2540" s="27" t="str">
        <f>HYPERLINK("https://www.compass.com/building/aperture-538-brooklyn-ny/293417188029738581/","Aperture 538")</f>
        <v>Aperture 538</v>
      </c>
      <c r="F2540" s="25" t="s">
        <v>30</v>
      </c>
      <c r="G2540" s="28">
        <v>1650000.0</v>
      </c>
      <c r="H2540" s="28">
        <v>1107.0</v>
      </c>
      <c r="I2540" s="28">
        <v>1320.0</v>
      </c>
      <c r="J2540" s="28">
        <v>5784.0</v>
      </c>
      <c r="K2540" s="25" t="s">
        <v>28</v>
      </c>
      <c r="L2540" s="26">
        <v>6.0</v>
      </c>
      <c r="M2540" s="26">
        <v>2.0</v>
      </c>
      <c r="N2540" s="26">
        <v>0.0</v>
      </c>
      <c r="O2540" s="26">
        <v>0.0</v>
      </c>
      <c r="P2540" s="34">
        <v>1490.0</v>
      </c>
      <c r="Q2540" s="35">
        <v>108.0</v>
      </c>
      <c r="R2540" s="32">
        <v>45636.0</v>
      </c>
      <c r="S2540" s="32">
        <v>42255.0</v>
      </c>
      <c r="T2540" s="29"/>
      <c r="U2540" s="33"/>
      <c r="V2540" s="1"/>
    </row>
    <row r="2541" ht="24.0" customHeight="1">
      <c r="A2541" s="1"/>
      <c r="B2541" s="24" t="str">
        <f>HYPERLINK("https://www.compass.com/listing/82-irving-place-unit-7b-brooklyn-ny-11238/548587269345402025/view?agent_id=610d3f3370540700019b0833","82 Irving Pl, Unit 7B")</f>
        <v>82 Irving Pl, Unit 7B</v>
      </c>
      <c r="C2541" s="25" t="s">
        <v>364</v>
      </c>
      <c r="D2541" s="26" t="s">
        <v>23</v>
      </c>
      <c r="E2541" s="27" t="str">
        <f>HYPERLINK("https://www.compass.com/building/the-carlton-brooklyn-ny/293419150687138453/","The Carlton")</f>
        <v>The Carlton</v>
      </c>
      <c r="F2541" s="25" t="s">
        <v>30</v>
      </c>
      <c r="G2541" s="28">
        <v>920000.0</v>
      </c>
      <c r="H2541" s="28">
        <v>1117.0</v>
      </c>
      <c r="I2541" s="28">
        <v>1039.0</v>
      </c>
      <c r="J2541" s="28">
        <v>5524.0</v>
      </c>
      <c r="K2541" s="25" t="s">
        <v>28</v>
      </c>
      <c r="L2541" s="26">
        <v>5.0</v>
      </c>
      <c r="M2541" s="26">
        <v>2.0</v>
      </c>
      <c r="N2541" s="26">
        <v>1.0</v>
      </c>
      <c r="O2541" s="30"/>
      <c r="P2541" s="26">
        <v>824.0</v>
      </c>
      <c r="Q2541" s="35">
        <v>79.0</v>
      </c>
      <c r="R2541" s="32">
        <v>44091.0</v>
      </c>
      <c r="S2541" s="32">
        <v>44011.0</v>
      </c>
      <c r="T2541" s="29"/>
      <c r="U2541" s="33"/>
      <c r="V2541" s="1"/>
    </row>
    <row r="2542" ht="24.0" customHeight="1">
      <c r="A2542" s="1"/>
      <c r="B2542" s="24" t="str">
        <f>HYPERLINK("https://www.compass.com/listing/90-hudson-street-unit-6f-manhattan-ny-10013/212170342179813121/view?agent_id=610d3f3370540700019b0833","90 Hudson St, Unit 6F")</f>
        <v>90 Hudson St, Unit 6F</v>
      </c>
      <c r="C2542" s="25" t="s">
        <v>370</v>
      </c>
      <c r="D2542" s="26" t="s">
        <v>23</v>
      </c>
      <c r="E2542" s="27" t="str">
        <f>HYPERLINK("https://www.compass.com/building/90-hudson-st-manhattan-ny-10013/292819329169271189/","90 Hudson St")</f>
        <v>90 Hudson St</v>
      </c>
      <c r="F2542" s="25" t="s">
        <v>60</v>
      </c>
      <c r="G2542" s="28">
        <v>1595000.0</v>
      </c>
      <c r="H2542" s="28">
        <v>1418.0</v>
      </c>
      <c r="I2542" s="28">
        <v>1852.0</v>
      </c>
      <c r="J2542" s="28">
        <v>0.0</v>
      </c>
      <c r="K2542" s="25" t="s">
        <v>25</v>
      </c>
      <c r="L2542" s="26">
        <v>4.0</v>
      </c>
      <c r="M2542" s="26">
        <v>2.0</v>
      </c>
      <c r="N2542" s="26">
        <v>1.0</v>
      </c>
      <c r="O2542" s="26">
        <v>0.0</v>
      </c>
      <c r="P2542" s="34">
        <v>1125.0</v>
      </c>
      <c r="Q2542" s="35">
        <v>213.0</v>
      </c>
      <c r="R2542" s="32">
        <v>43822.0</v>
      </c>
      <c r="S2542" s="32">
        <v>43546.0</v>
      </c>
      <c r="T2542" s="29"/>
      <c r="U2542" s="33"/>
      <c r="V2542" s="1"/>
    </row>
    <row r="2543" ht="24.0" customHeight="1">
      <c r="A2543" s="1"/>
      <c r="B2543" s="24" t="str">
        <f>HYPERLINK("https://www.compass.com/listing/710-park-avenue-unit-14c-manhattan-ny-10021/70922238148319073/view?agent_id=610d3f3370540700019b0833","710 Park Ave, Unit 14C")</f>
        <v>710 Park Ave, Unit 14C</v>
      </c>
      <c r="C2543" s="25" t="s">
        <v>364</v>
      </c>
      <c r="D2543" s="26" t="s">
        <v>23</v>
      </c>
      <c r="E2543" s="27" t="str">
        <f>HYPERLINK("https://www.compass.com/building/710-park-ave-manhattan-ny-10021/281951768118627173/","710 Park Ave")</f>
        <v>710 Park Ave</v>
      </c>
      <c r="F2543" s="25" t="s">
        <v>64</v>
      </c>
      <c r="G2543" s="28">
        <v>2850000.0</v>
      </c>
      <c r="H2543" s="29"/>
      <c r="I2543" s="28">
        <v>3527.0</v>
      </c>
      <c r="J2543" s="29"/>
      <c r="K2543" s="25" t="s">
        <v>25</v>
      </c>
      <c r="L2543" s="26">
        <v>4.0</v>
      </c>
      <c r="M2543" s="26">
        <v>2.0</v>
      </c>
      <c r="N2543" s="26">
        <v>0.0</v>
      </c>
      <c r="O2543" s="26">
        <v>0.0</v>
      </c>
      <c r="P2543" s="30"/>
      <c r="Q2543" s="35">
        <v>443.0</v>
      </c>
      <c r="R2543" s="32">
        <v>44581.0</v>
      </c>
      <c r="S2543" s="32">
        <v>42039.0</v>
      </c>
      <c r="T2543" s="29"/>
      <c r="U2543" s="33"/>
      <c r="V2543" s="1"/>
    </row>
    <row r="2544" ht="24.0" customHeight="1">
      <c r="A2544" s="1"/>
      <c r="B2544" s="24" t="str">
        <f>HYPERLINK("https://www.compass.com/listing/363-east-76th-street-unit-16g-manhattan-ny-10021/1821966309466229201/view?agent_id=610d3f3370540700019b0833","363 E 76th St, Unit 16G")</f>
        <v>363 E 76th St, Unit 16G</v>
      </c>
      <c r="C2544" s="25" t="s">
        <v>370</v>
      </c>
      <c r="D2544" s="26" t="s">
        <v>23</v>
      </c>
      <c r="E2544" s="27" t="str">
        <f>HYPERLINK("https://www.compass.com/building/sherman-towers-manhattan-ny/282059553435058005/","Sherman Towers")</f>
        <v>Sherman Towers</v>
      </c>
      <c r="F2544" s="25" t="s">
        <v>64</v>
      </c>
      <c r="G2544" s="28">
        <v>999000.0</v>
      </c>
      <c r="H2544" s="29"/>
      <c r="I2544" s="28">
        <v>1934.0</v>
      </c>
      <c r="J2544" s="29"/>
      <c r="K2544" s="25" t="s">
        <v>25</v>
      </c>
      <c r="L2544" s="26">
        <v>4.0</v>
      </c>
      <c r="M2544" s="26">
        <v>2.0</v>
      </c>
      <c r="N2544" s="26">
        <v>1.0</v>
      </c>
      <c r="O2544" s="30"/>
      <c r="P2544" s="30"/>
      <c r="Q2544" s="35">
        <v>65.0</v>
      </c>
      <c r="R2544" s="32">
        <v>45371.0</v>
      </c>
      <c r="S2544" s="32">
        <v>44943.0</v>
      </c>
      <c r="T2544" s="29"/>
      <c r="U2544" s="33"/>
      <c r="V2544" s="1"/>
    </row>
    <row r="2545" ht="24.0" customHeight="1">
      <c r="A2545" s="1"/>
      <c r="B2545" s="24" t="str">
        <f>HYPERLINK("https://www.compass.com/listing/139-jackson-street-unit-4b-brooklyn-ny-11211/29486303754089953/view?agent_id=610d3f3370540700019b0833","139 Jackson St, Unit 4B")</f>
        <v>139 Jackson St, Unit 4B</v>
      </c>
      <c r="C2545" s="25" t="s">
        <v>370</v>
      </c>
      <c r="D2545" s="26" t="s">
        <v>23</v>
      </c>
      <c r="E2545" s="27" t="str">
        <f>HYPERLINK("https://www.compass.com/building/the-jacksonia-brooklyn-ny/293423370878389589/","The Jacksonia")</f>
        <v>The Jacksonia</v>
      </c>
      <c r="F2545" s="25" t="s">
        <v>46</v>
      </c>
      <c r="G2545" s="28">
        <v>1149000.0</v>
      </c>
      <c r="H2545" s="28">
        <v>1040.0</v>
      </c>
      <c r="I2545" s="28">
        <v>324.0</v>
      </c>
      <c r="J2545" s="28">
        <v>804.0</v>
      </c>
      <c r="K2545" s="25" t="s">
        <v>28</v>
      </c>
      <c r="L2545" s="26">
        <v>5.0</v>
      </c>
      <c r="M2545" s="26">
        <v>2.0</v>
      </c>
      <c r="N2545" s="26">
        <v>1.0</v>
      </c>
      <c r="O2545" s="26">
        <v>0.0</v>
      </c>
      <c r="P2545" s="34">
        <v>1105.0</v>
      </c>
      <c r="Q2545" s="35">
        <v>15.0</v>
      </c>
      <c r="R2545" s="32">
        <v>45636.0</v>
      </c>
      <c r="S2545" s="32">
        <v>42130.0</v>
      </c>
      <c r="T2545" s="29"/>
      <c r="U2545" s="33"/>
      <c r="V2545" s="1"/>
    </row>
    <row r="2546" ht="24.0" customHeight="1">
      <c r="A2546" s="1"/>
      <c r="B2546" s="24" t="str">
        <f>HYPERLINK("https://www.compass.com/listing/363-east-76th-street-unit-5m-manhattan-ny-10021/1074716923315119105/view?agent_id=610d3f3370540700019b0833","363 E 76th St, Unit 5M")</f>
        <v>363 E 76th St, Unit 5M</v>
      </c>
      <c r="C2546" s="25" t="s">
        <v>370</v>
      </c>
      <c r="D2546" s="26" t="s">
        <v>23</v>
      </c>
      <c r="E2546" s="27" t="str">
        <f>HYPERLINK("https://www.compass.com/building/sherman-towers-manhattan-ny/282059553435058005/","Sherman Towers")</f>
        <v>Sherman Towers</v>
      </c>
      <c r="F2546" s="25" t="s">
        <v>64</v>
      </c>
      <c r="G2546" s="28">
        <v>850000.0</v>
      </c>
      <c r="H2546" s="29"/>
      <c r="I2546" s="28">
        <v>1826.0</v>
      </c>
      <c r="J2546" s="28">
        <v>0.0</v>
      </c>
      <c r="K2546" s="25" t="s">
        <v>25</v>
      </c>
      <c r="L2546" s="26">
        <v>4.0</v>
      </c>
      <c r="M2546" s="26">
        <v>2.0</v>
      </c>
      <c r="N2546" s="26">
        <v>1.0</v>
      </c>
      <c r="O2546" s="26">
        <v>0.0</v>
      </c>
      <c r="P2546" s="30"/>
      <c r="Q2546" s="35">
        <v>200.0</v>
      </c>
      <c r="R2546" s="32">
        <v>44935.0</v>
      </c>
      <c r="S2546" s="32">
        <v>44734.0</v>
      </c>
      <c r="T2546" s="29"/>
      <c r="U2546" s="33"/>
      <c r="V2546" s="1"/>
    </row>
    <row r="2547" ht="24.0" customHeight="1">
      <c r="A2547" s="1"/>
      <c r="B2547" s="24" t="str">
        <f>HYPERLINK("https://www.compass.com/listing/1-quincy-street-unit-3b-brooklyn-ny-11238/919594449641373049/view?agent_id=610d3f3370540700019b0833","1 Quincy St, Unit 3B")</f>
        <v>1 Quincy St, Unit 3B</v>
      </c>
      <c r="C2547" s="25" t="s">
        <v>364</v>
      </c>
      <c r="D2547" s="26" t="s">
        <v>23</v>
      </c>
      <c r="E2547" s="27" t="str">
        <f>HYPERLINK("https://www.compass.com/building/1-quincy-st-brooklyn-ny-11238/293418327336920581/","1 Quincy St")</f>
        <v>1 Quincy St</v>
      </c>
      <c r="F2547" s="25" t="s">
        <v>30</v>
      </c>
      <c r="G2547" s="28">
        <v>799000.0</v>
      </c>
      <c r="H2547" s="28">
        <v>1027.0</v>
      </c>
      <c r="I2547" s="28">
        <v>635.0</v>
      </c>
      <c r="J2547" s="28">
        <v>3108.0</v>
      </c>
      <c r="K2547" s="25" t="s">
        <v>28</v>
      </c>
      <c r="L2547" s="26">
        <v>4.0</v>
      </c>
      <c r="M2547" s="26">
        <v>2.0</v>
      </c>
      <c r="N2547" s="26">
        <v>0.0</v>
      </c>
      <c r="O2547" s="26">
        <v>0.0</v>
      </c>
      <c r="P2547" s="26">
        <v>778.0</v>
      </c>
      <c r="Q2547" s="35">
        <v>46.0</v>
      </c>
      <c r="R2547" s="32">
        <v>45636.0</v>
      </c>
      <c r="S2547" s="32">
        <v>42291.0</v>
      </c>
      <c r="T2547" s="29"/>
      <c r="U2547" s="33"/>
      <c r="V2547" s="1"/>
    </row>
    <row r="2548" ht="24.0" customHeight="1">
      <c r="A2548" s="1"/>
      <c r="B2548" s="24" t="str">
        <f>HYPERLINK("https://www.compass.com/listing/85-north-3rd-street-unit-413-brooklyn-ny-11249/216565462660558145/view?agent_id=610d3f3370540700019b0833","85 N 3rd St, Unit 413")</f>
        <v>85 N 3rd St, Unit 413</v>
      </c>
      <c r="C2548" s="25" t="s">
        <v>364</v>
      </c>
      <c r="D2548" s="26" t="s">
        <v>23</v>
      </c>
      <c r="E2548" s="27" t="str">
        <f>HYPERLINK("https://www.compass.com/building/the-mill-building-brooklyn-ny/307452399484232421/","The Mill Building")</f>
        <v>The Mill Building</v>
      </c>
      <c r="F2548" s="25" t="s">
        <v>46</v>
      </c>
      <c r="G2548" s="28">
        <v>2385000.0</v>
      </c>
      <c r="H2548" s="28">
        <v>1363.0</v>
      </c>
      <c r="I2548" s="28">
        <v>1414.0</v>
      </c>
      <c r="J2548" s="28">
        <v>4074.0</v>
      </c>
      <c r="K2548" s="25" t="s">
        <v>28</v>
      </c>
      <c r="L2548" s="26">
        <v>5.0</v>
      </c>
      <c r="M2548" s="26">
        <v>2.0</v>
      </c>
      <c r="N2548" s="26">
        <v>1.0</v>
      </c>
      <c r="O2548" s="26">
        <v>0.0</v>
      </c>
      <c r="P2548" s="34">
        <v>1750.0</v>
      </c>
      <c r="Q2548" s="35">
        <v>322.0</v>
      </c>
      <c r="R2548" s="32">
        <v>43872.0</v>
      </c>
      <c r="S2548" s="32">
        <v>43550.0</v>
      </c>
      <c r="T2548" s="29"/>
      <c r="U2548" s="33"/>
      <c r="V2548" s="1"/>
    </row>
    <row r="2549" ht="24.0" customHeight="1">
      <c r="A2549" s="1"/>
      <c r="B2549" s="24" t="str">
        <f>HYPERLINK("https://www.compass.com/listing/315-east-70th-street-unit-8j-manhattan-ny-10021/1055818602904403361/view?agent_id=610d3f3370540700019b0833","315 E 70th St, Unit 8J")</f>
        <v>315 E 70th St, Unit 8J</v>
      </c>
      <c r="C2549" s="25" t="s">
        <v>365</v>
      </c>
      <c r="D2549" s="26" t="s">
        <v>23</v>
      </c>
      <c r="E2549" s="27" t="str">
        <f>HYPERLINK("https://www.compass.com/building/315-e-70th-st-manhattan-ny-10021/281950264477418933/","315 E 70th St")</f>
        <v>315 E 70th St</v>
      </c>
      <c r="F2549" s="25" t="s">
        <v>64</v>
      </c>
      <c r="G2549" s="28">
        <v>800000.0</v>
      </c>
      <c r="H2549" s="28">
        <v>889.0</v>
      </c>
      <c r="I2549" s="28">
        <v>2123.0</v>
      </c>
      <c r="J2549" s="28">
        <v>0.0</v>
      </c>
      <c r="K2549" s="25" t="s">
        <v>25</v>
      </c>
      <c r="L2549" s="26">
        <v>5.0</v>
      </c>
      <c r="M2549" s="26">
        <v>2.0</v>
      </c>
      <c r="N2549" s="26">
        <v>1.0</v>
      </c>
      <c r="O2549" s="30"/>
      <c r="P2549" s="26">
        <v>900.0</v>
      </c>
      <c r="Q2549" s="35">
        <v>226.0</v>
      </c>
      <c r="R2549" s="32">
        <v>44934.0</v>
      </c>
      <c r="S2549" s="32">
        <v>44708.0</v>
      </c>
      <c r="T2549" s="29"/>
      <c r="U2549" s="33"/>
      <c r="V2549" s="1"/>
    </row>
    <row r="2550" ht="24.0" customHeight="1">
      <c r="A2550" s="1"/>
      <c r="B2550" s="24" t="str">
        <f>HYPERLINK("https://www.compass.com/listing/325-east-77th-street-unit-1e-manhattan-ny-10075/1803615883350902521/view?agent_id=610d3f3370540700019b0833","325 E 77th St, Unit 1E")</f>
        <v>325 E 77th St, Unit 1E</v>
      </c>
      <c r="C2550" s="25" t="s">
        <v>364</v>
      </c>
      <c r="D2550" s="26" t="s">
        <v>23</v>
      </c>
      <c r="E2550" s="27" t="str">
        <f>HYPERLINK("https://www.compass.com/building/325-e-77th-st-manhattan-ny-10075/282044024427142853/","325 E 77th St")</f>
        <v>325 E 77th St</v>
      </c>
      <c r="F2550" s="25" t="s">
        <v>44</v>
      </c>
      <c r="G2550" s="28">
        <v>775000.0</v>
      </c>
      <c r="H2550" s="29"/>
      <c r="I2550" s="28">
        <v>1451.0</v>
      </c>
      <c r="J2550" s="28">
        <v>0.0</v>
      </c>
      <c r="K2550" s="25" t="s">
        <v>25</v>
      </c>
      <c r="L2550" s="26">
        <v>4.0</v>
      </c>
      <c r="M2550" s="26">
        <v>2.0</v>
      </c>
      <c r="N2550" s="26">
        <v>1.0</v>
      </c>
      <c r="O2550" s="30"/>
      <c r="P2550" s="30"/>
      <c r="Q2550" s="35">
        <v>69.0</v>
      </c>
      <c r="R2550" s="32">
        <v>45825.0</v>
      </c>
      <c r="S2550" s="32">
        <v>45755.0</v>
      </c>
      <c r="T2550" s="29"/>
      <c r="U2550" s="33"/>
      <c r="V2550" s="1"/>
    </row>
    <row r="2551" ht="24.0" customHeight="1">
      <c r="A2551" s="1"/>
      <c r="B2551" s="24" t="str">
        <f>HYPERLINK("https://www.compass.com/listing/135-west-70th-street-unit-4g-manhattan-ny-10023/187400323072081345/view?agent_id=610d3f3370540700019b0833","135 W 70th St, Unit 4G")</f>
        <v>135 W 70th St, Unit 4G</v>
      </c>
      <c r="C2551" s="25" t="s">
        <v>364</v>
      </c>
      <c r="D2551" s="26" t="s">
        <v>23</v>
      </c>
      <c r="E2551" s="27" t="str">
        <f>HYPERLINK("https://www.compass.com/building/the-pythian-manhattan-ny/281957009195078933/","The Pythian")</f>
        <v>The Pythian</v>
      </c>
      <c r="F2551" s="25" t="s">
        <v>29</v>
      </c>
      <c r="G2551" s="28">
        <v>2600000.0</v>
      </c>
      <c r="H2551" s="28">
        <v>1363.0</v>
      </c>
      <c r="I2551" s="28">
        <v>3655.0</v>
      </c>
      <c r="J2551" s="28">
        <v>20088.0</v>
      </c>
      <c r="K2551" s="25" t="s">
        <v>28</v>
      </c>
      <c r="L2551" s="26">
        <v>5.0</v>
      </c>
      <c r="M2551" s="26">
        <v>2.0</v>
      </c>
      <c r="N2551" s="26">
        <v>0.0</v>
      </c>
      <c r="O2551" s="26">
        <v>0.0</v>
      </c>
      <c r="P2551" s="34">
        <v>1907.0</v>
      </c>
      <c r="Q2551" s="35">
        <v>140.0</v>
      </c>
      <c r="R2551" s="32">
        <v>45636.0</v>
      </c>
      <c r="S2551" s="32">
        <v>43011.0</v>
      </c>
      <c r="T2551" s="29"/>
      <c r="U2551" s="33"/>
      <c r="V2551" s="1"/>
    </row>
    <row r="2552" ht="24.0" customHeight="1">
      <c r="A2552" s="1"/>
      <c r="B2552" s="24" t="str">
        <f>HYPERLINK("https://www.compass.com/listing/94-lefferts-place-unit-2-brooklyn-ny-11238/841412989337402849/view?agent_id=610d3f3370540700019b0833","94 Lefferts Pl, Unit 2")</f>
        <v>94 Lefferts Pl, Unit 2</v>
      </c>
      <c r="C2552" s="25" t="s">
        <v>364</v>
      </c>
      <c r="D2552" s="26" t="s">
        <v>23</v>
      </c>
      <c r="E2552" s="27" t="str">
        <f>HYPERLINK("https://www.compass.com/building/94-lefferts-pl-brooklyn-ny-11238/293425088143890325/","94 Lefferts Pl")</f>
        <v>94 Lefferts Pl</v>
      </c>
      <c r="F2552" s="25" t="s">
        <v>30</v>
      </c>
      <c r="G2552" s="28">
        <v>999000.0</v>
      </c>
      <c r="H2552" s="28">
        <v>965.0</v>
      </c>
      <c r="I2552" s="28">
        <v>557.0</v>
      </c>
      <c r="J2552" s="28">
        <v>3444.0</v>
      </c>
      <c r="K2552" s="25" t="s">
        <v>28</v>
      </c>
      <c r="L2552" s="26">
        <v>5.0</v>
      </c>
      <c r="M2552" s="26">
        <v>2.0</v>
      </c>
      <c r="N2552" s="26">
        <v>0.0</v>
      </c>
      <c r="O2552" s="26">
        <v>0.0</v>
      </c>
      <c r="P2552" s="34">
        <v>1035.0</v>
      </c>
      <c r="Q2552" s="35">
        <v>1.0</v>
      </c>
      <c r="R2552" s="32">
        <v>45636.0</v>
      </c>
      <c r="S2552" s="32">
        <v>42705.0</v>
      </c>
      <c r="T2552" s="29"/>
      <c r="U2552" s="33"/>
      <c r="V2552" s="1"/>
    </row>
    <row r="2553" ht="24.0" customHeight="1">
      <c r="A2553" s="1"/>
      <c r="B2553" s="24" t="str">
        <f>HYPERLINK("https://www.compass.com/listing/401-east-74th-street-unit-5j-manhattan-ny-10021/555572396285904001/view?agent_id=610d3f3370540700019b0833","401 E 74th St, Unit 5J")</f>
        <v>401 E 74th St, Unit 5J</v>
      </c>
      <c r="C2553" s="25" t="s">
        <v>365</v>
      </c>
      <c r="D2553" s="26" t="s">
        <v>23</v>
      </c>
      <c r="E2553" s="27" t="str">
        <f>HYPERLINK("https://www.compass.com/building/the-amherst-manhattan-ny/281950960136292373/","The Amherst")</f>
        <v>The Amherst</v>
      </c>
      <c r="F2553" s="25" t="s">
        <v>64</v>
      </c>
      <c r="G2553" s="28">
        <v>1075000.0</v>
      </c>
      <c r="H2553" s="29"/>
      <c r="I2553" s="28">
        <v>1606.0</v>
      </c>
      <c r="J2553" s="28">
        <v>0.0</v>
      </c>
      <c r="K2553" s="25" t="s">
        <v>25</v>
      </c>
      <c r="L2553" s="26">
        <v>4.0</v>
      </c>
      <c r="M2553" s="26">
        <v>2.0</v>
      </c>
      <c r="N2553" s="26">
        <v>1.0</v>
      </c>
      <c r="O2553" s="26">
        <v>0.0</v>
      </c>
      <c r="P2553" s="30"/>
      <c r="Q2553" s="35">
        <v>93.0</v>
      </c>
      <c r="R2553" s="32">
        <v>44115.0</v>
      </c>
      <c r="S2553" s="32">
        <v>44021.0</v>
      </c>
      <c r="T2553" s="29"/>
      <c r="U2553" s="33"/>
      <c r="V2553" s="1"/>
    </row>
    <row r="2554" ht="24.0" customHeight="1">
      <c r="A2554" s="1"/>
      <c r="B2554" s="24" t="str">
        <f>HYPERLINK("https://www.compass.com/listing/475-washington-avenue-unit-4c-brooklyn-ny-11238/380992116381362097/view?agent_id=610d3f3370540700019b0833","475 Washington Ave, Unit 4C")</f>
        <v>475 Washington Ave, Unit 4C</v>
      </c>
      <c r="C2554" s="25" t="s">
        <v>364</v>
      </c>
      <c r="D2554" s="26" t="s">
        <v>23</v>
      </c>
      <c r="E2554" s="27" t="str">
        <f>HYPERLINK("https://www.compass.com/building/475-washington-brooklyn-ny/293424086334378117/","475 Washington")</f>
        <v>475 Washington</v>
      </c>
      <c r="F2554" s="25" t="s">
        <v>30</v>
      </c>
      <c r="G2554" s="28">
        <v>748000.0</v>
      </c>
      <c r="H2554" s="28">
        <v>1036.0</v>
      </c>
      <c r="I2554" s="28">
        <v>708.0</v>
      </c>
      <c r="J2554" s="28">
        <v>4632.0</v>
      </c>
      <c r="K2554" s="25" t="s">
        <v>28</v>
      </c>
      <c r="L2554" s="26">
        <v>3.0</v>
      </c>
      <c r="M2554" s="26">
        <v>2.0</v>
      </c>
      <c r="N2554" s="26">
        <v>1.0</v>
      </c>
      <c r="O2554" s="26">
        <v>0.0</v>
      </c>
      <c r="P2554" s="26">
        <v>722.0</v>
      </c>
      <c r="Q2554" s="31"/>
      <c r="R2554" s="32">
        <v>43858.0</v>
      </c>
      <c r="S2554" s="33"/>
      <c r="T2554" s="29"/>
      <c r="U2554" s="33"/>
      <c r="V2554" s="1"/>
    </row>
    <row r="2555" ht="24.0" customHeight="1">
      <c r="A2555" s="1"/>
      <c r="B2555" s="24" t="str">
        <f>HYPERLINK("https://www.compass.com/listing/60-beach-street-unit-5a-manhattan-ny-10013/29358844886954449/view?agent_id=610d3f3370540700019b0833","60 Beach St, Unit 5A")</f>
        <v>60 Beach St, Unit 5A</v>
      </c>
      <c r="C2555" s="25" t="s">
        <v>370</v>
      </c>
      <c r="D2555" s="26" t="s">
        <v>23</v>
      </c>
      <c r="E2555" s="27" t="str">
        <f>HYPERLINK("https://www.compass.com/building/60-beach-st-manhattan-ny-10013/292817859787137605/","60 Beach St")</f>
        <v>60 Beach St</v>
      </c>
      <c r="F2555" s="25" t="s">
        <v>60</v>
      </c>
      <c r="G2555" s="28">
        <v>4495000.0</v>
      </c>
      <c r="H2555" s="28">
        <v>1961.0</v>
      </c>
      <c r="I2555" s="28">
        <v>4210.0</v>
      </c>
      <c r="J2555" s="28">
        <v>26244.0</v>
      </c>
      <c r="K2555" s="25" t="s">
        <v>28</v>
      </c>
      <c r="L2555" s="26">
        <v>4.0</v>
      </c>
      <c r="M2555" s="26">
        <v>2.0</v>
      </c>
      <c r="N2555" s="26">
        <v>0.0</v>
      </c>
      <c r="O2555" s="26">
        <v>0.0</v>
      </c>
      <c r="P2555" s="34">
        <v>2292.0</v>
      </c>
      <c r="Q2555" s="35">
        <v>120.0</v>
      </c>
      <c r="R2555" s="32">
        <v>45636.0</v>
      </c>
      <c r="S2555" s="32">
        <v>42441.0</v>
      </c>
      <c r="T2555" s="29"/>
      <c r="U2555" s="33"/>
      <c r="V2555" s="1"/>
    </row>
    <row r="2556" ht="24.0" customHeight="1">
      <c r="A2556" s="1"/>
      <c r="B2556" s="24" t="str">
        <f>HYPERLINK("https://www.compass.com/listing/131-145-jackson-street-unit-143-1b-brooklyn-ny-11211/192567425739294593/view?agent_id=610d3f3370540700019b0833","131-145 Jackson St, Unit 143/1B")</f>
        <v>131-145 Jackson St, Unit 143/1B</v>
      </c>
      <c r="C2556" s="25" t="s">
        <v>364</v>
      </c>
      <c r="D2556" s="26" t="s">
        <v>23</v>
      </c>
      <c r="E2556" s="27" t="str">
        <f>HYPERLINK("https://www.compass.com/building/131-145-jackson-st-brooklyn-ny-11211/455663501600697397/","131-145 Jackson St")</f>
        <v>131-145 Jackson St</v>
      </c>
      <c r="F2556" s="25" t="s">
        <v>46</v>
      </c>
      <c r="G2556" s="28">
        <v>975000.0</v>
      </c>
      <c r="H2556" s="28">
        <v>704.0</v>
      </c>
      <c r="I2556" s="28">
        <v>343.0</v>
      </c>
      <c r="J2556" s="28">
        <v>864.0</v>
      </c>
      <c r="K2556" s="25" t="s">
        <v>28</v>
      </c>
      <c r="L2556" s="26">
        <v>4.0</v>
      </c>
      <c r="M2556" s="26">
        <v>2.0</v>
      </c>
      <c r="N2556" s="26">
        <v>0.0</v>
      </c>
      <c r="O2556" s="26">
        <v>0.0</v>
      </c>
      <c r="P2556" s="34">
        <v>1384.0</v>
      </c>
      <c r="Q2556" s="35">
        <v>160.0</v>
      </c>
      <c r="R2556" s="32">
        <v>45636.0</v>
      </c>
      <c r="S2556" s="32">
        <v>41565.0</v>
      </c>
      <c r="T2556" s="29"/>
      <c r="U2556" s="33"/>
      <c r="V2556" s="1"/>
    </row>
    <row r="2557" ht="24.0" customHeight="1">
      <c r="A2557" s="1"/>
      <c r="B2557" s="24" t="str">
        <f>HYPERLINK("https://www.compass.com/listing/264-greene-avenue-unit-2-brooklyn-ny-11238/1838974727092329153/view?agent_id=610d3f3370540700019b0833","264 Greene Ave, Unit 2")</f>
        <v>264 Greene Ave, Unit 2</v>
      </c>
      <c r="C2557" s="25" t="s">
        <v>364</v>
      </c>
      <c r="D2557" s="26" t="s">
        <v>23</v>
      </c>
      <c r="E2557" s="27" t="str">
        <f>HYPERLINK("https://www.compass.com/building/264-greene-ave-brooklyn-ny-11238/293532604521563045/","264 Greene Ave")</f>
        <v>264 Greene Ave</v>
      </c>
      <c r="F2557" s="25" t="s">
        <v>30</v>
      </c>
      <c r="G2557" s="28">
        <v>1175000.0</v>
      </c>
      <c r="H2557" s="28">
        <v>1127.0</v>
      </c>
      <c r="I2557" s="28">
        <v>885.0</v>
      </c>
      <c r="J2557" s="28">
        <v>6300.0</v>
      </c>
      <c r="K2557" s="25" t="s">
        <v>28</v>
      </c>
      <c r="L2557" s="26">
        <v>4.0</v>
      </c>
      <c r="M2557" s="26">
        <v>2.0</v>
      </c>
      <c r="N2557" s="26">
        <v>0.0</v>
      </c>
      <c r="O2557" s="26">
        <v>0.0</v>
      </c>
      <c r="P2557" s="34">
        <v>1043.0</v>
      </c>
      <c r="Q2557" s="35">
        <v>0.0</v>
      </c>
      <c r="R2557" s="32">
        <v>44581.0</v>
      </c>
      <c r="S2557" s="32">
        <v>43024.0</v>
      </c>
      <c r="T2557" s="29"/>
      <c r="U2557" s="33"/>
      <c r="V2557" s="1"/>
    </row>
    <row r="2558" ht="24.0" customHeight="1">
      <c r="A2558" s="1"/>
      <c r="B2558" s="24" t="str">
        <f>HYPERLINK("https://www.compass.com/listing/181-east-73rd-street-unit-17f-manhattan-ny-10021/536072463613323665/view?agent_id=610d3f3370540700019b0833","181 E 73rd St, Unit 17F")</f>
        <v>181 E 73rd St, Unit 17F</v>
      </c>
      <c r="C2558" s="25" t="s">
        <v>364</v>
      </c>
      <c r="D2558" s="26" t="s">
        <v>23</v>
      </c>
      <c r="E2558" s="27" t="str">
        <f>HYPERLINK("https://www.compass.com/building/181-e-73rd-st-manhattan-ny-10021/292849972636881221/","181 E 73rd St")</f>
        <v>181 E 73rd St</v>
      </c>
      <c r="F2558" s="25" t="s">
        <v>64</v>
      </c>
      <c r="G2558" s="28">
        <v>865000.0</v>
      </c>
      <c r="H2558" s="29"/>
      <c r="I2558" s="28">
        <v>2172.0</v>
      </c>
      <c r="J2558" s="28">
        <v>0.0</v>
      </c>
      <c r="K2558" s="25" t="s">
        <v>25</v>
      </c>
      <c r="L2558" s="26">
        <v>4.0</v>
      </c>
      <c r="M2558" s="26">
        <v>2.0</v>
      </c>
      <c r="N2558" s="26">
        <v>1.0</v>
      </c>
      <c r="O2558" s="30"/>
      <c r="P2558" s="30"/>
      <c r="Q2558" s="35">
        <v>0.0</v>
      </c>
      <c r="R2558" s="32">
        <v>44186.0</v>
      </c>
      <c r="S2558" s="32">
        <v>44001.0</v>
      </c>
      <c r="T2558" s="29"/>
      <c r="U2558" s="33"/>
      <c r="V2558" s="1"/>
    </row>
    <row r="2559" ht="24.0" customHeight="1">
      <c r="A2559" s="1"/>
      <c r="B2559" s="24" t="str">
        <f>HYPERLINK("https://www.compass.com/listing/250-west-89th-street-unit-4l-manhattan-ny-10024/29401044458984737/view?agent_id=610d3f3370540700019b0833","250 W 89th St, Unit 4L")</f>
        <v>250 W 89th St, Unit 4L</v>
      </c>
      <c r="C2559" s="25" t="s">
        <v>364</v>
      </c>
      <c r="D2559" s="26" t="s">
        <v>23</v>
      </c>
      <c r="E2559" s="27" t="str">
        <f>HYPERLINK("https://www.compass.com/building/savannah-manhattan-ny/281964368772543925/","Savannah")</f>
        <v>Savannah</v>
      </c>
      <c r="F2559" s="25" t="s">
        <v>29</v>
      </c>
      <c r="G2559" s="28">
        <v>1095000.0</v>
      </c>
      <c r="H2559" s="29"/>
      <c r="I2559" s="28">
        <v>2311.0</v>
      </c>
      <c r="J2559" s="29"/>
      <c r="K2559" s="25" t="s">
        <v>49</v>
      </c>
      <c r="L2559" s="26">
        <v>4.0</v>
      </c>
      <c r="M2559" s="26">
        <v>2.0</v>
      </c>
      <c r="N2559" s="26">
        <v>0.0</v>
      </c>
      <c r="O2559" s="26">
        <v>0.0</v>
      </c>
      <c r="P2559" s="30"/>
      <c r="Q2559" s="35">
        <v>755.0</v>
      </c>
      <c r="R2559" s="32">
        <v>44581.0</v>
      </c>
      <c r="S2559" s="32">
        <v>41172.0</v>
      </c>
      <c r="T2559" s="29"/>
      <c r="U2559" s="33"/>
      <c r="V2559" s="1"/>
    </row>
    <row r="2560" ht="24.0" customHeight="1">
      <c r="A2560" s="1"/>
      <c r="B2560" s="24" t="str">
        <f>HYPERLINK("https://www.compass.com/listing/429-kent-avenue-unit-207-brooklyn-ny-11249/4852277123190097457/view?agent_id=610d3f3370540700019b0833","429 Kent Ave, Unit 207")</f>
        <v>429 Kent Ave, Unit 207</v>
      </c>
      <c r="C2560" s="25" t="s">
        <v>364</v>
      </c>
      <c r="D2560" s="26" t="s">
        <v>23</v>
      </c>
      <c r="E2560" s="27" t="str">
        <f>HYPERLINK("https://www.compass.com/building/the-oosten-brooklyn-ny/293425863259659349/","The Oosten")</f>
        <v>The Oosten</v>
      </c>
      <c r="F2560" s="25" t="s">
        <v>46</v>
      </c>
      <c r="G2560" s="28">
        <v>1185000.0</v>
      </c>
      <c r="H2560" s="28">
        <v>1119.0</v>
      </c>
      <c r="I2560" s="28">
        <v>1025.0</v>
      </c>
      <c r="J2560" s="28">
        <v>3180.0</v>
      </c>
      <c r="K2560" s="25" t="s">
        <v>28</v>
      </c>
      <c r="L2560" s="26">
        <v>4.0</v>
      </c>
      <c r="M2560" s="26">
        <v>2.0</v>
      </c>
      <c r="N2560" s="26">
        <v>0.0</v>
      </c>
      <c r="O2560" s="26">
        <v>0.0</v>
      </c>
      <c r="P2560" s="34">
        <v>1059.0</v>
      </c>
      <c r="Q2560" s="35">
        <v>915.0</v>
      </c>
      <c r="R2560" s="32">
        <v>45636.0</v>
      </c>
      <c r="S2560" s="32">
        <v>41897.0</v>
      </c>
      <c r="T2560" s="29"/>
      <c r="U2560" s="33"/>
      <c r="V2560" s="1"/>
    </row>
    <row r="2561" ht="24.0" customHeight="1">
      <c r="A2561" s="1"/>
      <c r="B2561" s="24" t="str">
        <f>HYPERLINK("https://www.compass.com/listing/121-rapelye-street-unit-4-brooklyn-ny-11231/1171339211647799249/view?agent_id=610d3f3370540700019b0833","121 Rapelye St, Unit 4")</f>
        <v>121 Rapelye St, Unit 4</v>
      </c>
      <c r="C2561" s="25" t="s">
        <v>364</v>
      </c>
      <c r="D2561" s="26" t="s">
        <v>23</v>
      </c>
      <c r="E2561" s="27" t="str">
        <f>HYPERLINK("https://www.compass.com/building/121-rapelye-st-brooklyn-ny-11231/282509600366876213/","121 Rapelye St")</f>
        <v>121 Rapelye St</v>
      </c>
      <c r="F2561" s="25" t="s">
        <v>65</v>
      </c>
      <c r="G2561" s="28">
        <v>1099000.0</v>
      </c>
      <c r="H2561" s="28">
        <v>1340.0</v>
      </c>
      <c r="I2561" s="28">
        <v>594.0</v>
      </c>
      <c r="J2561" s="28">
        <v>4176.0</v>
      </c>
      <c r="K2561" s="25" t="s">
        <v>28</v>
      </c>
      <c r="L2561" s="26">
        <v>4.0</v>
      </c>
      <c r="M2561" s="26">
        <v>2.0</v>
      </c>
      <c r="N2561" s="26">
        <v>1.0</v>
      </c>
      <c r="O2561" s="26">
        <v>0.0</v>
      </c>
      <c r="P2561" s="26">
        <v>820.0</v>
      </c>
      <c r="Q2561" s="35">
        <v>138.0</v>
      </c>
      <c r="R2561" s="32">
        <v>45012.0</v>
      </c>
      <c r="S2561" s="32">
        <v>44868.0</v>
      </c>
      <c r="T2561" s="29"/>
      <c r="U2561" s="33"/>
      <c r="V2561" s="1"/>
    </row>
    <row r="2562" ht="24.0" customHeight="1">
      <c r="A2562" s="1"/>
      <c r="B2562" s="24" t="str">
        <f>HYPERLINK("https://www.compass.com/listing/169-lexington-avenue-unit-1-brooklyn-ny-11216/848974177254879569/view?agent_id=610d3f3370540700019b0833","169 Lexington Ave, Unit 1")</f>
        <v>169 Lexington Ave, Unit 1</v>
      </c>
      <c r="C2562" s="25" t="s">
        <v>364</v>
      </c>
      <c r="D2562" s="26" t="s">
        <v>23</v>
      </c>
      <c r="E2562" s="27" t="str">
        <f>HYPERLINK("https://www.compass.com/building/169-lexington-ave-brooklyn-ny-11216/293425498598480117/","169 Lexington Ave")</f>
        <v>169 Lexington Ave</v>
      </c>
      <c r="F2562" s="25" t="s">
        <v>51</v>
      </c>
      <c r="G2562" s="28">
        <v>1099000.0</v>
      </c>
      <c r="H2562" s="29"/>
      <c r="I2562" s="28">
        <v>1274.0</v>
      </c>
      <c r="J2562" s="28">
        <v>9204.0</v>
      </c>
      <c r="K2562" s="25" t="s">
        <v>28</v>
      </c>
      <c r="L2562" s="26">
        <v>4.0</v>
      </c>
      <c r="M2562" s="26">
        <v>2.0</v>
      </c>
      <c r="N2562" s="26">
        <v>0.0</v>
      </c>
      <c r="O2562" s="26">
        <v>0.0</v>
      </c>
      <c r="P2562" s="30"/>
      <c r="Q2562" s="35">
        <v>26.0</v>
      </c>
      <c r="R2562" s="32">
        <v>45636.0</v>
      </c>
      <c r="S2562" s="32">
        <v>42670.0</v>
      </c>
      <c r="T2562" s="29"/>
      <c r="U2562" s="33"/>
      <c r="V2562" s="1"/>
    </row>
    <row r="2563" ht="24.0" customHeight="1">
      <c r="A2563" s="1"/>
      <c r="B2563" s="24" t="str">
        <f>HYPERLINK("https://www.compass.com/listing/225-east-74th-street-unit-2f-manhattan-ny-10021/91046134776075505/view?agent_id=610d3f3370540700019b0833","225 E 74th St, Unit 2F")</f>
        <v>225 E 74th St, Unit 2F</v>
      </c>
      <c r="C2563" s="25" t="s">
        <v>364</v>
      </c>
      <c r="D2563" s="26" t="s">
        <v>23</v>
      </c>
      <c r="E2563" s="27" t="str">
        <f>HYPERLINK("https://www.compass.com/building/225-e-74th-st-manhattan-ny-10021/281949668475206469/","225 E 74th St")</f>
        <v>225 E 74th St</v>
      </c>
      <c r="F2563" s="25" t="s">
        <v>64</v>
      </c>
      <c r="G2563" s="28">
        <v>925000.0</v>
      </c>
      <c r="H2563" s="29"/>
      <c r="I2563" s="28">
        <v>2378.0</v>
      </c>
      <c r="J2563" s="28">
        <v>0.0</v>
      </c>
      <c r="K2563" s="25" t="s">
        <v>25</v>
      </c>
      <c r="L2563" s="26">
        <v>4.0</v>
      </c>
      <c r="M2563" s="26">
        <v>2.0</v>
      </c>
      <c r="N2563" s="26">
        <v>1.0</v>
      </c>
      <c r="O2563" s="26">
        <v>0.0</v>
      </c>
      <c r="P2563" s="30"/>
      <c r="Q2563" s="35">
        <v>767.0</v>
      </c>
      <c r="R2563" s="32">
        <v>44328.0</v>
      </c>
      <c r="S2563" s="32">
        <v>43377.0</v>
      </c>
      <c r="T2563" s="29"/>
      <c r="U2563" s="33"/>
      <c r="V2563" s="1"/>
    </row>
    <row r="2564" ht="24.0" customHeight="1">
      <c r="A2564" s="1"/>
      <c r="B2564" s="24" t="str">
        <f>HYPERLINK("https://www.compass.com/listing/45-plaza-street-west-unit-1f-brooklyn-ny-11217/462832915708130273/view?agent_id=610d3f3370540700019b0833","45 Plaza St W, Unit 1F")</f>
        <v>45 Plaza St W, Unit 1F</v>
      </c>
      <c r="C2564" s="25" t="s">
        <v>365</v>
      </c>
      <c r="D2564" s="26" t="s">
        <v>23</v>
      </c>
      <c r="E2564" s="27" t="str">
        <f>HYPERLINK("https://www.compass.com/building/45-plaza-st-w-brooklyn-ny-11217/282504476982591925/","45 Plaza St W")</f>
        <v>45 Plaza St W</v>
      </c>
      <c r="F2564" s="25" t="s">
        <v>40</v>
      </c>
      <c r="G2564" s="28">
        <v>925000.0</v>
      </c>
      <c r="H2564" s="29"/>
      <c r="I2564" s="28">
        <v>1018.0</v>
      </c>
      <c r="J2564" s="28">
        <v>0.0</v>
      </c>
      <c r="K2564" s="25" t="s">
        <v>25</v>
      </c>
      <c r="L2564" s="26">
        <v>4.0</v>
      </c>
      <c r="M2564" s="26">
        <v>2.0</v>
      </c>
      <c r="N2564" s="26">
        <v>1.0</v>
      </c>
      <c r="O2564" s="26">
        <v>0.0</v>
      </c>
      <c r="P2564" s="30"/>
      <c r="Q2564" s="31"/>
      <c r="R2564" s="32">
        <v>43907.0</v>
      </c>
      <c r="S2564" s="33"/>
      <c r="T2564" s="29"/>
      <c r="U2564" s="33"/>
      <c r="V2564" s="1"/>
    </row>
    <row r="2565" ht="24.0" customHeight="1">
      <c r="A2565" s="1"/>
      <c r="B2565" s="24" t="str">
        <f>HYPERLINK("https://www.compass.com/listing/1-plaza-street-west-unit-11d-brooklyn-ny-11217/29468249892601281/view?agent_id=610d3f3370540700019b0833","1 Plaza St W, Unit 11D")</f>
        <v>1 Plaza St W, Unit 11D</v>
      </c>
      <c r="C2565" s="25" t="s">
        <v>364</v>
      </c>
      <c r="D2565" s="26" t="s">
        <v>23</v>
      </c>
      <c r="E2565" s="27" t="str">
        <f t="shared" ref="E2565:E2566" si="57">HYPERLINK("https://www.compass.com/building/1-plaza-st-w-brooklyn-ny-11217/294836879455081925/","1 Plaza St W")</f>
        <v>1 Plaza St W</v>
      </c>
      <c r="F2565" s="25" t="s">
        <v>40</v>
      </c>
      <c r="G2565" s="28">
        <v>1100000.0</v>
      </c>
      <c r="H2565" s="29"/>
      <c r="I2565" s="28">
        <v>1591.0</v>
      </c>
      <c r="J2565" s="29"/>
      <c r="K2565" s="25" t="s">
        <v>25</v>
      </c>
      <c r="L2565" s="26">
        <v>4.0</v>
      </c>
      <c r="M2565" s="26">
        <v>2.0</v>
      </c>
      <c r="N2565" s="26">
        <v>1.0</v>
      </c>
      <c r="O2565" s="26">
        <v>0.0</v>
      </c>
      <c r="P2565" s="30"/>
      <c r="Q2565" s="35">
        <v>17.0</v>
      </c>
      <c r="R2565" s="32">
        <v>45636.0</v>
      </c>
      <c r="S2565" s="32">
        <v>42205.0</v>
      </c>
      <c r="T2565" s="29"/>
      <c r="U2565" s="33"/>
      <c r="V2565" s="1"/>
    </row>
    <row r="2566" ht="24.0" customHeight="1">
      <c r="A2566" s="1"/>
      <c r="B2566" s="24" t="str">
        <f>HYPERLINK("https://www.compass.com/listing/1-plaza-street-west-unit-11d-brooklyn-ny-11217/920840218277216073/view?agent_id=610d3f3370540700019b0833","1 Plaza St W, Unit 11D")</f>
        <v>1 Plaza St W, Unit 11D</v>
      </c>
      <c r="C2566" s="25" t="s">
        <v>364</v>
      </c>
      <c r="D2566" s="26" t="s">
        <v>23</v>
      </c>
      <c r="E2566" s="27" t="str">
        <f t="shared" si="57"/>
        <v>1 Plaza St W</v>
      </c>
      <c r="F2566" s="25" t="s">
        <v>40</v>
      </c>
      <c r="G2566" s="28">
        <v>1200000.0</v>
      </c>
      <c r="H2566" s="29"/>
      <c r="I2566" s="28">
        <v>1842.0</v>
      </c>
      <c r="J2566" s="29"/>
      <c r="K2566" s="25" t="s">
        <v>25</v>
      </c>
      <c r="L2566" s="26">
        <v>4.0</v>
      </c>
      <c r="M2566" s="26">
        <v>2.0</v>
      </c>
      <c r="N2566" s="26">
        <v>1.0</v>
      </c>
      <c r="O2566" s="26">
        <v>0.0</v>
      </c>
      <c r="P2566" s="30"/>
      <c r="Q2566" s="35">
        <v>69.0</v>
      </c>
      <c r="R2566" s="32">
        <v>45636.0</v>
      </c>
      <c r="S2566" s="32">
        <v>42626.0</v>
      </c>
      <c r="T2566" s="29"/>
      <c r="U2566" s="33"/>
      <c r="V2566" s="1"/>
    </row>
    <row r="2567" ht="24.0" customHeight="1">
      <c r="A2567" s="1"/>
      <c r="B2567" s="24" t="str">
        <f>HYPERLINK("https://www.compass.com/listing/186-prospect-park-west-unit-a-brooklyn-ny-11215/1838897770488976129/view?agent_id=610d3f3370540700019b0833","186 Prospect Park W, Unit A")</f>
        <v>186 Prospect Park W, Unit A</v>
      </c>
      <c r="C2567" s="25" t="s">
        <v>364</v>
      </c>
      <c r="D2567" s="26" t="s">
        <v>23</v>
      </c>
      <c r="E2567" s="27" t="str">
        <f>HYPERLINK("https://www.compass.com/building/186-prospect-park-w-brooklyn-ny-11215/282500839807987637/","186 Prospect Park W")</f>
        <v>186 Prospect Park W</v>
      </c>
      <c r="F2567" s="25" t="s">
        <v>40</v>
      </c>
      <c r="G2567" s="28">
        <v>699000.0</v>
      </c>
      <c r="H2567" s="29"/>
      <c r="I2567" s="28">
        <v>780.0</v>
      </c>
      <c r="J2567" s="29"/>
      <c r="K2567" s="25" t="s">
        <v>25</v>
      </c>
      <c r="L2567" s="26">
        <v>4.0</v>
      </c>
      <c r="M2567" s="26">
        <v>2.0</v>
      </c>
      <c r="N2567" s="26">
        <v>0.0</v>
      </c>
      <c r="O2567" s="26">
        <v>0.0</v>
      </c>
      <c r="P2567" s="30"/>
      <c r="Q2567" s="35">
        <v>201.0</v>
      </c>
      <c r="R2567" s="32">
        <v>44581.0</v>
      </c>
      <c r="S2567" s="32">
        <v>41194.0</v>
      </c>
      <c r="T2567" s="29"/>
      <c r="U2567" s="33"/>
      <c r="V2567" s="1"/>
    </row>
    <row r="2568" ht="24.0" customHeight="1">
      <c r="A2568" s="1"/>
      <c r="B2568" s="24" t="str">
        <f>HYPERLINK("https://www.compass.com/listing/401-east-74th-street-unit-6e-manhattan-ny-10021/220934851648372833/view?agent_id=610d3f3370540700019b0833","401 E 74th St, Unit 6E")</f>
        <v>401 E 74th St, Unit 6E</v>
      </c>
      <c r="C2568" s="25" t="s">
        <v>364</v>
      </c>
      <c r="D2568" s="26" t="s">
        <v>23</v>
      </c>
      <c r="E2568" s="27" t="str">
        <f>HYPERLINK("https://www.compass.com/building/the-amherst-manhattan-ny/281950960136292373/","The Amherst")</f>
        <v>The Amherst</v>
      </c>
      <c r="F2568" s="25" t="s">
        <v>64</v>
      </c>
      <c r="G2568" s="28">
        <v>940000.0</v>
      </c>
      <c r="H2568" s="28">
        <v>1003.0</v>
      </c>
      <c r="I2568" s="28">
        <v>1575.0</v>
      </c>
      <c r="J2568" s="28">
        <v>0.0</v>
      </c>
      <c r="K2568" s="25" t="s">
        <v>25</v>
      </c>
      <c r="L2568" s="26">
        <v>4.0</v>
      </c>
      <c r="M2568" s="26">
        <v>2.0</v>
      </c>
      <c r="N2568" s="26">
        <v>1.0</v>
      </c>
      <c r="O2568" s="30"/>
      <c r="P2568" s="26">
        <v>937.0</v>
      </c>
      <c r="Q2568" s="35">
        <v>118.0</v>
      </c>
      <c r="R2568" s="32">
        <v>43676.0</v>
      </c>
      <c r="S2568" s="32">
        <v>43558.0</v>
      </c>
      <c r="T2568" s="29"/>
      <c r="U2568" s="33"/>
      <c r="V2568" s="1"/>
    </row>
    <row r="2569" ht="24.0" customHeight="1">
      <c r="A2569" s="1"/>
      <c r="B2569" s="24" t="str">
        <f>HYPERLINK("https://www.compass.com/listing/345-east-73rd-street-unit-7j-manhattan-ny-10021/536037922540577497/view?agent_id=610d3f3370540700019b0833","345 E 73rd St, Unit 7J")</f>
        <v>345 E 73rd St, Unit 7J</v>
      </c>
      <c r="C2569" s="25" t="s">
        <v>370</v>
      </c>
      <c r="D2569" s="26" t="s">
        <v>23</v>
      </c>
      <c r="E2569" s="27" t="str">
        <f>HYPERLINK("https://www.compass.com/building/345-e-73rd-st-manhattan-ny-10021/281950686726389941/","345 E 73rd St")</f>
        <v>345 E 73rd St</v>
      </c>
      <c r="F2569" s="25" t="s">
        <v>64</v>
      </c>
      <c r="G2569" s="28">
        <v>799000.0</v>
      </c>
      <c r="H2569" s="29"/>
      <c r="I2569" s="28">
        <v>1793.0</v>
      </c>
      <c r="J2569" s="28">
        <v>0.0</v>
      </c>
      <c r="K2569" s="25" t="s">
        <v>25</v>
      </c>
      <c r="L2569" s="26">
        <v>5.0</v>
      </c>
      <c r="M2569" s="26">
        <v>2.0</v>
      </c>
      <c r="N2569" s="26">
        <v>1.0</v>
      </c>
      <c r="O2569" s="30"/>
      <c r="P2569" s="30"/>
      <c r="Q2569" s="35">
        <v>186.0</v>
      </c>
      <c r="R2569" s="32">
        <v>44197.0</v>
      </c>
      <c r="S2569" s="32">
        <v>43991.0</v>
      </c>
      <c r="T2569" s="29"/>
      <c r="U2569" s="33"/>
      <c r="V2569" s="1"/>
    </row>
    <row r="2570" ht="24.0" customHeight="1">
      <c r="A2570" s="1"/>
      <c r="B2570" s="24" t="str">
        <f>HYPERLINK("https://www.compass.com/listing/66-north-1st-street-unit-1e-brooklyn-ny-11249/848967707138720217/view?agent_id=610d3f3370540700019b0833","66 N 1st St, Unit 1E")</f>
        <v>66 N 1st St, Unit 1E</v>
      </c>
      <c r="C2570" s="25" t="s">
        <v>364</v>
      </c>
      <c r="D2570" s="26" t="s">
        <v>23</v>
      </c>
      <c r="E2570" s="27" t="str">
        <f>HYPERLINK("https://www.compass.com/building/factory-lofts-brooklyn-ny/293423164770290709/","Factory Lofts")</f>
        <v>Factory Lofts</v>
      </c>
      <c r="F2570" s="25" t="s">
        <v>46</v>
      </c>
      <c r="G2570" s="28">
        <v>1450000.0</v>
      </c>
      <c r="H2570" s="28">
        <v>1554.0</v>
      </c>
      <c r="I2570" s="28">
        <v>496.0</v>
      </c>
      <c r="J2570" s="28">
        <v>420.0</v>
      </c>
      <c r="K2570" s="25" t="s">
        <v>28</v>
      </c>
      <c r="L2570" s="26">
        <v>5.0</v>
      </c>
      <c r="M2570" s="26">
        <v>2.0</v>
      </c>
      <c r="N2570" s="26">
        <v>0.0</v>
      </c>
      <c r="O2570" s="26">
        <v>0.0</v>
      </c>
      <c r="P2570" s="26">
        <v>933.0</v>
      </c>
      <c r="Q2570" s="35">
        <v>32.0</v>
      </c>
      <c r="R2570" s="32">
        <v>45636.0</v>
      </c>
      <c r="S2570" s="32">
        <v>42523.0</v>
      </c>
      <c r="T2570" s="29"/>
      <c r="U2570" s="33"/>
      <c r="V2570" s="1"/>
    </row>
    <row r="2571" ht="24.0" customHeight="1">
      <c r="A2571" s="1"/>
      <c r="B2571" s="24" t="str">
        <f>HYPERLINK("https://www.compass.com/listing/133-conselyea-street-unit-3f-brooklyn-ny-11211/757197000668454545/view?agent_id=610d3f3370540700019b0833","133 Conselyea St, Unit 3F")</f>
        <v>133 Conselyea St, Unit 3F</v>
      </c>
      <c r="C2571" s="25" t="s">
        <v>365</v>
      </c>
      <c r="D2571" s="26" t="s">
        <v>23</v>
      </c>
      <c r="E2571" s="27" t="str">
        <f>HYPERLINK("https://www.compass.com/building/133-conselyea-st-brooklyn-ny-11211/282394946709812965/","133 Conselyea St")</f>
        <v>133 Conselyea St</v>
      </c>
      <c r="F2571" s="25" t="s">
        <v>46</v>
      </c>
      <c r="G2571" s="28">
        <v>649000.0</v>
      </c>
      <c r="H2571" s="28">
        <v>1149.0</v>
      </c>
      <c r="I2571" s="28">
        <v>782.0</v>
      </c>
      <c r="J2571" s="28">
        <v>6684.0</v>
      </c>
      <c r="K2571" s="25" t="s">
        <v>28</v>
      </c>
      <c r="L2571" s="26">
        <v>4.0</v>
      </c>
      <c r="M2571" s="26">
        <v>2.0</v>
      </c>
      <c r="N2571" s="26">
        <v>1.0</v>
      </c>
      <c r="O2571" s="30"/>
      <c r="P2571" s="26">
        <v>565.0</v>
      </c>
      <c r="Q2571" s="35">
        <v>236.0</v>
      </c>
      <c r="R2571" s="32">
        <v>44532.0</v>
      </c>
      <c r="S2571" s="32">
        <v>44296.0</v>
      </c>
      <c r="T2571" s="29"/>
      <c r="U2571" s="33"/>
      <c r="V2571" s="1"/>
    </row>
    <row r="2572" ht="24.0" customHeight="1">
      <c r="A2572" s="1"/>
      <c r="B2572" s="24" t="str">
        <f>HYPERLINK("https://www.compass.com/listing/497-greenwich-street-unit-6b-manhattan-ny-10013/29510342660880289/view?agent_id=610d3f3370540700019b0833","497 Greenwich St, Unit 6B")</f>
        <v>497 Greenwich St, Unit 6B</v>
      </c>
      <c r="C2572" s="25" t="s">
        <v>365</v>
      </c>
      <c r="D2572" s="26" t="s">
        <v>23</v>
      </c>
      <c r="E2572" s="27" t="str">
        <f>HYPERLINK("https://www.compass.com/building/the-491-497-greenwich-street-condominium-manhattan-ny/292817977009545893/","The 491-497 Greenwich Street Condominium")</f>
        <v>The 491-497 Greenwich Street Condominium</v>
      </c>
      <c r="F2572" s="25" t="s">
        <v>135</v>
      </c>
      <c r="G2572" s="28">
        <v>2795000.0</v>
      </c>
      <c r="H2572" s="28">
        <v>1683.0</v>
      </c>
      <c r="I2572" s="28">
        <v>2570.0</v>
      </c>
      <c r="J2572" s="28">
        <v>15756.0</v>
      </c>
      <c r="K2572" s="25" t="s">
        <v>28</v>
      </c>
      <c r="L2572" s="26">
        <v>4.0</v>
      </c>
      <c r="M2572" s="26">
        <v>2.0</v>
      </c>
      <c r="N2572" s="30"/>
      <c r="O2572" s="30"/>
      <c r="P2572" s="34">
        <v>1661.0</v>
      </c>
      <c r="Q2572" s="35">
        <v>751.0</v>
      </c>
      <c r="R2572" s="32">
        <v>43910.0</v>
      </c>
      <c r="S2572" s="32">
        <v>43158.0</v>
      </c>
      <c r="T2572" s="29"/>
      <c r="U2572" s="33"/>
      <c r="V2572" s="1"/>
    </row>
    <row r="2573" ht="24.0" customHeight="1">
      <c r="A2573" s="1"/>
      <c r="B2573" s="24" t="str">
        <f>HYPERLINK("https://www.compass.com/listing/250-west-street-unit-j-manhattan-ny-10013/29359304431689953/view?agent_id=610d3f3370540700019b0833","250 West St, Unit J")</f>
        <v>250 West St, Unit J</v>
      </c>
      <c r="C2573" s="25" t="s">
        <v>370</v>
      </c>
      <c r="D2573" s="26" t="s">
        <v>23</v>
      </c>
      <c r="E2573" s="27" t="str">
        <f>HYPERLINK("https://www.compass.com/building/250-west-st-manhattan-ny-10013/307454078892140501/","250 West St")</f>
        <v>250 West St</v>
      </c>
      <c r="F2573" s="25" t="s">
        <v>60</v>
      </c>
      <c r="G2573" s="28">
        <v>1501919.0</v>
      </c>
      <c r="H2573" s="28">
        <v>1086.0</v>
      </c>
      <c r="I2573" s="28">
        <v>2226.0</v>
      </c>
      <c r="J2573" s="28">
        <v>16788.0</v>
      </c>
      <c r="K2573" s="25" t="s">
        <v>28</v>
      </c>
      <c r="L2573" s="26">
        <v>4.0</v>
      </c>
      <c r="M2573" s="26">
        <v>2.0</v>
      </c>
      <c r="N2573" s="26">
        <v>0.0</v>
      </c>
      <c r="O2573" s="26">
        <v>0.0</v>
      </c>
      <c r="P2573" s="34">
        <v>1383.0</v>
      </c>
      <c r="Q2573" s="35">
        <v>9.0</v>
      </c>
      <c r="R2573" s="32">
        <v>44581.0</v>
      </c>
      <c r="S2573" s="32">
        <v>41537.0</v>
      </c>
      <c r="T2573" s="29"/>
      <c r="U2573" s="33"/>
      <c r="V2573" s="1"/>
    </row>
    <row r="2574" ht="24.0" customHeight="1">
      <c r="A2574" s="1"/>
      <c r="B2574" s="24" t="str">
        <f>HYPERLINK("https://www.compass.com/listing/410-7th-avenue-unit-2f-brooklyn-ny-11215/574491772892548201/view?agent_id=610d3f3370540700019b0833","410 7th Ave, Unit 2F")</f>
        <v>410 7th Ave, Unit 2F</v>
      </c>
      <c r="C2574" s="25" t="s">
        <v>365</v>
      </c>
      <c r="D2574" s="26" t="s">
        <v>23</v>
      </c>
      <c r="E2574" s="27" t="str">
        <f>HYPERLINK("https://www.compass.com/building/410-7th-ave-brooklyn-ny-11215/282511949319723349/","410 7th Ave")</f>
        <v>410 7th Ave</v>
      </c>
      <c r="F2574" s="25" t="s">
        <v>40</v>
      </c>
      <c r="G2574" s="28">
        <v>725000.0</v>
      </c>
      <c r="H2574" s="29"/>
      <c r="I2574" s="28">
        <v>613.0</v>
      </c>
      <c r="J2574" s="28">
        <v>0.0</v>
      </c>
      <c r="K2574" s="25" t="s">
        <v>25</v>
      </c>
      <c r="L2574" s="26">
        <v>5.0</v>
      </c>
      <c r="M2574" s="26">
        <v>2.0</v>
      </c>
      <c r="N2574" s="26">
        <v>1.0</v>
      </c>
      <c r="O2574" s="26">
        <v>0.0</v>
      </c>
      <c r="P2574" s="30"/>
      <c r="Q2574" s="35">
        <v>14.0</v>
      </c>
      <c r="R2574" s="32">
        <v>44060.0</v>
      </c>
      <c r="S2574" s="32">
        <v>44046.0</v>
      </c>
      <c r="T2574" s="29"/>
      <c r="U2574" s="33"/>
      <c r="V2574" s="1"/>
    </row>
    <row r="2575" ht="24.0" customHeight="1">
      <c r="A2575" s="1"/>
      <c r="B2575" s="24" t="str">
        <f>HYPERLINK("https://www.compass.com/listing/333-3rd-street-unit-2l-brooklyn-ny-11215/70911053785066033/view?agent_id=610d3f3370540700019b0833","333 3rd St, Unit 2L")</f>
        <v>333 3rd St, Unit 2L</v>
      </c>
      <c r="C2575" s="25" t="s">
        <v>370</v>
      </c>
      <c r="D2575" s="26" t="s">
        <v>23</v>
      </c>
      <c r="E2575" s="27" t="str">
        <f>HYPERLINK("https://www.compass.com/building/333-3rd-st-brooklyn-ny-11215/282501568568308981/","333 3rd St")</f>
        <v>333 3rd St</v>
      </c>
      <c r="F2575" s="25" t="s">
        <v>40</v>
      </c>
      <c r="G2575" s="28">
        <v>630000.0</v>
      </c>
      <c r="H2575" s="28">
        <v>630.0</v>
      </c>
      <c r="I2575" s="28">
        <v>792.0</v>
      </c>
      <c r="J2575" s="29"/>
      <c r="K2575" s="25" t="s">
        <v>25</v>
      </c>
      <c r="L2575" s="26">
        <v>4.0</v>
      </c>
      <c r="M2575" s="26">
        <v>2.0</v>
      </c>
      <c r="N2575" s="26">
        <v>0.0</v>
      </c>
      <c r="O2575" s="26">
        <v>0.0</v>
      </c>
      <c r="P2575" s="34">
        <v>1000.0</v>
      </c>
      <c r="Q2575" s="35">
        <v>0.0</v>
      </c>
      <c r="R2575" s="32">
        <v>44581.0</v>
      </c>
      <c r="S2575" s="32">
        <v>41513.0</v>
      </c>
      <c r="T2575" s="29"/>
      <c r="U2575" s="33"/>
      <c r="V2575" s="1"/>
    </row>
    <row r="2576" ht="24.0" customHeight="1">
      <c r="A2576" s="1"/>
      <c r="B2576" s="24" t="str">
        <f>HYPERLINK("https://www.compass.com/listing/370-east-76th-street-unit-c207-manhattan-ny-10021/1838986932349265217/view?agent_id=610d3f3370540700019b0833","370 E 76th St, Unit C207")</f>
        <v>370 E 76th St, Unit C207</v>
      </c>
      <c r="C2576" s="25" t="s">
        <v>364</v>
      </c>
      <c r="D2576" s="26" t="s">
        <v>23</v>
      </c>
      <c r="E2576" s="27" t="str">
        <f>HYPERLINK("https://www.compass.com/building/newport-east-manhattan-ny/292850926413222581/","Newport East")</f>
        <v>Newport East</v>
      </c>
      <c r="F2576" s="25" t="s">
        <v>64</v>
      </c>
      <c r="G2576" s="28">
        <v>920000.0</v>
      </c>
      <c r="H2576" s="28">
        <v>979.0</v>
      </c>
      <c r="I2576" s="28">
        <v>1133.0</v>
      </c>
      <c r="J2576" s="29"/>
      <c r="K2576" s="25" t="s">
        <v>25</v>
      </c>
      <c r="L2576" s="26">
        <v>4.0</v>
      </c>
      <c r="M2576" s="26">
        <v>2.0</v>
      </c>
      <c r="N2576" s="26">
        <v>0.0</v>
      </c>
      <c r="O2576" s="26">
        <v>0.0</v>
      </c>
      <c r="P2576" s="26">
        <v>940.0</v>
      </c>
      <c r="Q2576" s="35">
        <v>80.0</v>
      </c>
      <c r="R2576" s="32">
        <v>45636.0</v>
      </c>
      <c r="S2576" s="32">
        <v>42404.0</v>
      </c>
      <c r="T2576" s="29"/>
      <c r="U2576" s="33"/>
      <c r="V2576" s="1"/>
    </row>
    <row r="2577" ht="24.0" customHeight="1">
      <c r="A2577" s="1"/>
      <c r="B2577" s="24" t="str">
        <f>HYPERLINK("https://www.compass.com/listing/351-south-3rd-street-unit-2b-brooklyn-ny-11211/551658431370075913/view?agent_id=610d3f3370540700019b0833","351 S 3rd St, Unit 2B")</f>
        <v>351 S 3rd St, Unit 2B</v>
      </c>
      <c r="C2577" s="25" t="s">
        <v>365</v>
      </c>
      <c r="D2577" s="26" t="s">
        <v>23</v>
      </c>
      <c r="E2577" s="27" t="str">
        <f>HYPERLINK("https://www.compass.com/building/351-s-3rd-st-brooklyn-ny-11211/282399647073374341/","351 S 3rd St")</f>
        <v>351 S 3rd St</v>
      </c>
      <c r="F2577" s="25" t="s">
        <v>46</v>
      </c>
      <c r="G2577" s="28">
        <v>999000.0</v>
      </c>
      <c r="H2577" s="28">
        <v>999.0</v>
      </c>
      <c r="I2577" s="28">
        <v>438.0</v>
      </c>
      <c r="J2577" s="28">
        <v>840.0</v>
      </c>
      <c r="K2577" s="25" t="s">
        <v>28</v>
      </c>
      <c r="L2577" s="26">
        <v>4.0</v>
      </c>
      <c r="M2577" s="26">
        <v>2.0</v>
      </c>
      <c r="N2577" s="26">
        <v>1.0</v>
      </c>
      <c r="O2577" s="30"/>
      <c r="P2577" s="34">
        <v>1000.0</v>
      </c>
      <c r="Q2577" s="31"/>
      <c r="R2577" s="32">
        <v>44018.0</v>
      </c>
      <c r="S2577" s="33"/>
      <c r="T2577" s="29"/>
      <c r="U2577" s="33"/>
      <c r="V2577" s="1"/>
    </row>
    <row r="2578" ht="24.0" customHeight="1">
      <c r="A2578" s="1"/>
      <c r="B2578" s="24" t="str">
        <f>HYPERLINK("https://www.compass.com/listing/273-275-manhattan-avenue-unit-3a-brooklyn-ny-11211/4852262076158051921/view?agent_id=610d3f3370540700019b0833","273-275 Manhattan Ave, Unit 3A")</f>
        <v>273-275 Manhattan Ave, Unit 3A</v>
      </c>
      <c r="C2578" s="25" t="s">
        <v>364</v>
      </c>
      <c r="D2578" s="26" t="s">
        <v>23</v>
      </c>
      <c r="E2578" s="27" t="str">
        <f>HYPERLINK("https://www.compass.com/building/the-evry-brooklyn-ny/436389410507051325/","The Evry")</f>
        <v>The Evry</v>
      </c>
      <c r="F2578" s="25" t="s">
        <v>46</v>
      </c>
      <c r="G2578" s="28">
        <v>1099000.0</v>
      </c>
      <c r="H2578" s="29"/>
      <c r="I2578" s="28">
        <v>614.0</v>
      </c>
      <c r="J2578" s="28">
        <v>340.0</v>
      </c>
      <c r="K2578" s="25" t="s">
        <v>28</v>
      </c>
      <c r="L2578" s="26">
        <v>4.0</v>
      </c>
      <c r="M2578" s="26">
        <v>2.0</v>
      </c>
      <c r="N2578" s="26">
        <v>1.0</v>
      </c>
      <c r="O2578" s="26">
        <v>0.0</v>
      </c>
      <c r="P2578" s="30"/>
      <c r="Q2578" s="35">
        <v>0.0</v>
      </c>
      <c r="R2578" s="32">
        <v>44581.0</v>
      </c>
      <c r="S2578" s="32">
        <v>42621.0</v>
      </c>
      <c r="T2578" s="29"/>
      <c r="U2578" s="33"/>
      <c r="V2578" s="1"/>
    </row>
    <row r="2579" ht="24.0" customHeight="1">
      <c r="A2579" s="1"/>
      <c r="B2579" s="24" t="str">
        <f>HYPERLINK("https://www.compass.com/listing/250-west-street-unit-1j-manhattan-ny-10013/4852271460435114081/view?agent_id=610d3f3370540700019b0833","250 West St, Unit 1J")</f>
        <v>250 West St, Unit 1J</v>
      </c>
      <c r="C2579" s="25" t="s">
        <v>370</v>
      </c>
      <c r="D2579" s="26" t="s">
        <v>23</v>
      </c>
      <c r="E2579" s="27" t="str">
        <f>HYPERLINK("https://www.compass.com/building/250-west-st-manhattan-ny-10013/307454078892140501/","250 West St")</f>
        <v>250 West St</v>
      </c>
      <c r="F2579" s="25" t="s">
        <v>60</v>
      </c>
      <c r="G2579" s="28">
        <v>2450000.0</v>
      </c>
      <c r="H2579" s="28">
        <v>1772.0</v>
      </c>
      <c r="I2579" s="28">
        <v>2224.0</v>
      </c>
      <c r="J2579" s="28">
        <v>16776.0</v>
      </c>
      <c r="K2579" s="25" t="s">
        <v>28</v>
      </c>
      <c r="L2579" s="26">
        <v>5.0</v>
      </c>
      <c r="M2579" s="26">
        <v>2.0</v>
      </c>
      <c r="N2579" s="26">
        <v>0.0</v>
      </c>
      <c r="O2579" s="26">
        <v>0.0</v>
      </c>
      <c r="P2579" s="34">
        <v>1383.0</v>
      </c>
      <c r="Q2579" s="35">
        <v>232.0</v>
      </c>
      <c r="R2579" s="32">
        <v>45636.0</v>
      </c>
      <c r="S2579" s="32">
        <v>41548.0</v>
      </c>
      <c r="T2579" s="29"/>
      <c r="U2579" s="33"/>
      <c r="V2579" s="1"/>
    </row>
    <row r="2580" ht="24.0" customHeight="1">
      <c r="A2580" s="1"/>
      <c r="B2580" s="24" t="str">
        <f>HYPERLINK("https://www.compass.com/listing/345-east-73rd-street-unit-2e-manhattan-ny-10021/29416926207884033/view?agent_id=610d3f3370540700019b0833","345 East 73rd Street, Unit 2E")</f>
        <v>345 East 73rd Street, Unit 2E</v>
      </c>
      <c r="C2580" s="25" t="s">
        <v>364</v>
      </c>
      <c r="D2580" s="26" t="s">
        <v>23</v>
      </c>
      <c r="E2580" s="27" t="str">
        <f>HYPERLINK("https://www.compass.com/building/345-e-73rd-st-manhattan-ny-10021/281950686726389941/","345 E 73rd St")</f>
        <v>345 E 73rd St</v>
      </c>
      <c r="F2580" s="25" t="s">
        <v>64</v>
      </c>
      <c r="G2580" s="28">
        <v>699000.0</v>
      </c>
      <c r="H2580" s="29"/>
      <c r="I2580" s="28">
        <v>1953.0</v>
      </c>
      <c r="J2580" s="29"/>
      <c r="K2580" s="25" t="s">
        <v>25</v>
      </c>
      <c r="L2580" s="26">
        <v>4.0</v>
      </c>
      <c r="M2580" s="26">
        <v>2.0</v>
      </c>
      <c r="N2580" s="26">
        <v>0.0</v>
      </c>
      <c r="O2580" s="26">
        <v>0.0</v>
      </c>
      <c r="P2580" s="30"/>
      <c r="Q2580" s="35">
        <v>120.0</v>
      </c>
      <c r="R2580" s="32">
        <v>45636.0</v>
      </c>
      <c r="S2580" s="32">
        <v>42425.0</v>
      </c>
      <c r="T2580" s="29"/>
      <c r="U2580" s="33"/>
      <c r="V2580" s="1"/>
    </row>
    <row r="2581" ht="24.0" customHeight="1">
      <c r="A2581" s="1"/>
      <c r="B2581" s="24" t="str">
        <f>HYPERLINK("https://www.compass.com/listing/133-mulberry-street-unit-3b-manhattan-ny-10013/192573665135659361/view?agent_id=610d3f3370540700019b0833","133 Mulberry Street, Unit 3B")</f>
        <v>133 Mulberry Street, Unit 3B</v>
      </c>
      <c r="C2581" s="25" t="s">
        <v>364</v>
      </c>
      <c r="D2581" s="26" t="s">
        <v>23</v>
      </c>
      <c r="E2581" s="27" t="str">
        <f>HYPERLINK("https://www.compass.com/building/133-mulberry-street-condominium-manhattan-ny/281916941336083477/","133 Mulberry Street Condominium")</f>
        <v>133 Mulberry Street Condominium</v>
      </c>
      <c r="F2581" s="25" t="s">
        <v>120</v>
      </c>
      <c r="G2581" s="28">
        <v>2427600.0</v>
      </c>
      <c r="H2581" s="28">
        <v>1797.0</v>
      </c>
      <c r="I2581" s="28">
        <v>1828.0</v>
      </c>
      <c r="J2581" s="28">
        <v>16272.0</v>
      </c>
      <c r="K2581" s="25" t="s">
        <v>28</v>
      </c>
      <c r="L2581" s="26">
        <v>6.0</v>
      </c>
      <c r="M2581" s="26">
        <v>2.0</v>
      </c>
      <c r="N2581" s="26">
        <v>0.0</v>
      </c>
      <c r="O2581" s="26">
        <v>0.0</v>
      </c>
      <c r="P2581" s="34">
        <v>1351.0</v>
      </c>
      <c r="Q2581" s="35">
        <v>12.0</v>
      </c>
      <c r="R2581" s="32">
        <v>45636.0</v>
      </c>
      <c r="S2581" s="32">
        <v>41970.0</v>
      </c>
      <c r="T2581" s="29"/>
      <c r="U2581" s="33"/>
      <c r="V2581" s="1"/>
    </row>
    <row r="2582" ht="24.0" customHeight="1">
      <c r="A2582" s="1"/>
      <c r="B2582" s="24" t="str">
        <f>HYPERLINK("https://www.compass.com/listing/35-st-marks-avenue-unit-1-brooklyn-ny-11217/1838955158575116321/view?agent_id=610d3f3370540700019b0833","35 St Marks Avenue, Unit 1")</f>
        <v>35 St Marks Avenue, Unit 1</v>
      </c>
      <c r="C2582" s="25" t="s">
        <v>364</v>
      </c>
      <c r="D2582" s="26" t="s">
        <v>23</v>
      </c>
      <c r="E2582" s="27" t="str">
        <f>HYPERLINK("https://www.compass.com/building/35-st-marks-ave-brooklyn-ny-11217/282506278327109429/","35 St Marks Ave")</f>
        <v>35 St Marks Ave</v>
      </c>
      <c r="F2582" s="25" t="s">
        <v>40</v>
      </c>
      <c r="G2582" s="28">
        <v>1950000.0</v>
      </c>
      <c r="H2582" s="28">
        <v>939.0</v>
      </c>
      <c r="I2582" s="28">
        <v>717.0</v>
      </c>
      <c r="J2582" s="28">
        <v>3108.0</v>
      </c>
      <c r="K2582" s="25" t="s">
        <v>28</v>
      </c>
      <c r="L2582" s="26">
        <v>4.0</v>
      </c>
      <c r="M2582" s="26">
        <v>2.0</v>
      </c>
      <c r="N2582" s="26">
        <v>1.0</v>
      </c>
      <c r="O2582" s="26">
        <v>0.0</v>
      </c>
      <c r="P2582" s="34">
        <v>2076.0</v>
      </c>
      <c r="Q2582" s="35">
        <v>94.0</v>
      </c>
      <c r="R2582" s="32">
        <v>45636.0</v>
      </c>
      <c r="S2582" s="32">
        <v>42295.0</v>
      </c>
      <c r="T2582" s="29"/>
      <c r="U2582" s="33"/>
      <c r="V2582" s="1"/>
    </row>
    <row r="2583" ht="24.0" customHeight="1">
      <c r="A2583" s="1"/>
      <c r="B2583" s="24" t="str">
        <f>HYPERLINK("https://www.compass.com/listing/35-saint-marks-avenue-unit-1-brooklyn-ny-11217/849005066424927585/view?agent_id=610d3f3370540700019b0833","35 Saint Marks Avenue, Unit 1")</f>
        <v>35 Saint Marks Avenue, Unit 1</v>
      </c>
      <c r="C2583" s="25" t="s">
        <v>364</v>
      </c>
      <c r="D2583" s="26" t="s">
        <v>23</v>
      </c>
      <c r="E2583" s="27" t="str">
        <f>HYPERLINK("https://www.compass.com/building/35-saint-marks-ave-brooklyn-ny-11217/282506278327109429/","35 Saint Marks Ave")</f>
        <v>35 Saint Marks Ave</v>
      </c>
      <c r="F2583" s="25" t="s">
        <v>40</v>
      </c>
      <c r="G2583" s="28">
        <v>1950000.0</v>
      </c>
      <c r="H2583" s="28">
        <v>939.0</v>
      </c>
      <c r="I2583" s="28">
        <v>717.0</v>
      </c>
      <c r="J2583" s="28">
        <v>3108.0</v>
      </c>
      <c r="K2583" s="25" t="s">
        <v>28</v>
      </c>
      <c r="L2583" s="26">
        <v>5.0</v>
      </c>
      <c r="M2583" s="26">
        <v>2.0</v>
      </c>
      <c r="N2583" s="26">
        <v>1.0</v>
      </c>
      <c r="O2583" s="30"/>
      <c r="P2583" s="34">
        <v>2076.0</v>
      </c>
      <c r="Q2583" s="35">
        <v>95.0</v>
      </c>
      <c r="R2583" s="32">
        <v>44581.0</v>
      </c>
      <c r="S2583" s="32">
        <v>42295.0</v>
      </c>
      <c r="T2583" s="29"/>
      <c r="U2583" s="33"/>
      <c r="V2583" s="1"/>
    </row>
    <row r="2584" ht="24.0" customHeight="1">
      <c r="A2584" s="1"/>
      <c r="B2584" s="24" t="str">
        <f>HYPERLINK("https://www.compass.com/listing/33-east-end-avenue-unit-9f-manhattan-ny-10075/1657256232781032801/view?agent_id=610d3f3370540700019b0833","33 East End Avenue, Unit 9F")</f>
        <v>33 East End Avenue, Unit 9F</v>
      </c>
      <c r="C2584" s="25" t="s">
        <v>364</v>
      </c>
      <c r="D2584" s="26" t="s">
        <v>23</v>
      </c>
      <c r="E2584" s="27" t="str">
        <f>HYPERLINK("https://www.compass.com/building/33-e-end-ave-manhattan-ny-10075/281986290260483797/","33 E End Ave")</f>
        <v>33 E End Ave</v>
      </c>
      <c r="F2584" s="25" t="s">
        <v>44</v>
      </c>
      <c r="G2584" s="28">
        <v>800000.0</v>
      </c>
      <c r="H2584" s="29"/>
      <c r="I2584" s="28">
        <v>2690.0</v>
      </c>
      <c r="J2584" s="28">
        <v>0.0</v>
      </c>
      <c r="K2584" s="25" t="s">
        <v>25</v>
      </c>
      <c r="L2584" s="26">
        <v>4.0</v>
      </c>
      <c r="M2584" s="26">
        <v>2.0</v>
      </c>
      <c r="N2584" s="26">
        <v>1.0</v>
      </c>
      <c r="O2584" s="30"/>
      <c r="P2584" s="30"/>
      <c r="Q2584" s="35">
        <v>236.0</v>
      </c>
      <c r="R2584" s="32">
        <v>45776.0</v>
      </c>
      <c r="S2584" s="32">
        <v>45538.0</v>
      </c>
      <c r="T2584" s="29"/>
      <c r="U2584" s="33"/>
      <c r="V2584" s="1"/>
    </row>
    <row r="2585" ht="24.0" customHeight="1">
      <c r="A2585" s="1"/>
      <c r="B2585" s="24" t="str">
        <f>HYPERLINK("https://www.compass.com/listing/233-east-70th-street-unit-17t-manhattan-ny-10021/1500926631977041929/view?agent_id=610d3f3370540700019b0833","233 East 70th Street, Unit 17T")</f>
        <v>233 East 70th Street, Unit 17T</v>
      </c>
      <c r="C2585" s="25" t="s">
        <v>365</v>
      </c>
      <c r="D2585" s="26" t="s">
        <v>23</v>
      </c>
      <c r="E2585" s="27" t="str">
        <f>HYPERLINK("https://www.compass.com/building/233-e-70th-st-manhattan-ny-10021/292850354536648837/","233 E 70th St")</f>
        <v>233 E 70th St</v>
      </c>
      <c r="F2585" s="25" t="s">
        <v>64</v>
      </c>
      <c r="G2585" s="28">
        <v>799000.0</v>
      </c>
      <c r="H2585" s="28">
        <v>940.0</v>
      </c>
      <c r="I2585" s="28">
        <v>2179.0</v>
      </c>
      <c r="J2585" s="28">
        <v>0.0</v>
      </c>
      <c r="K2585" s="25" t="s">
        <v>25</v>
      </c>
      <c r="L2585" s="26">
        <v>3.0</v>
      </c>
      <c r="M2585" s="26">
        <v>2.0</v>
      </c>
      <c r="N2585" s="26">
        <v>1.0</v>
      </c>
      <c r="O2585" s="30"/>
      <c r="P2585" s="26">
        <v>850.0</v>
      </c>
      <c r="Q2585" s="35">
        <v>139.0</v>
      </c>
      <c r="R2585" s="32">
        <v>45462.0</v>
      </c>
      <c r="S2585" s="32">
        <v>45322.0</v>
      </c>
      <c r="T2585" s="29"/>
      <c r="U2585" s="33"/>
      <c r="V2585" s="1"/>
    </row>
    <row r="2586" ht="24.0" customHeight="1">
      <c r="A2586" s="1"/>
      <c r="B2586" s="24" t="str">
        <f>HYPERLINK("https://www.compass.com/listing/15-east-69th-street-unit-12d-manhattan-ny-10021/826880701188119529/view?agent_id=610d3f3370540700019b0833","15 East 69th Street, Unit 12D")</f>
        <v>15 East 69th Street, Unit 12D</v>
      </c>
      <c r="C2586" s="25" t="s">
        <v>364</v>
      </c>
      <c r="D2586" s="26" t="s">
        <v>23</v>
      </c>
      <c r="E2586" s="27" t="str">
        <f>HYPERLINK("https://www.compass.com/building/15-e-69th-st-manhattan-ny-10021/281948806805780309/","15 E 69th St")</f>
        <v>15 E 69th St</v>
      </c>
      <c r="F2586" s="25" t="s">
        <v>64</v>
      </c>
      <c r="G2586" s="28">
        <v>8750000.0</v>
      </c>
      <c r="H2586" s="29"/>
      <c r="I2586" s="28">
        <v>6965.0</v>
      </c>
      <c r="J2586" s="28">
        <v>36180.0</v>
      </c>
      <c r="K2586" s="25" t="s">
        <v>28</v>
      </c>
      <c r="L2586" s="26">
        <v>6.0</v>
      </c>
      <c r="M2586" s="26">
        <v>2.0</v>
      </c>
      <c r="N2586" s="26">
        <v>0.0</v>
      </c>
      <c r="O2586" s="26">
        <v>0.0</v>
      </c>
      <c r="P2586" s="30"/>
      <c r="Q2586" s="35">
        <v>151.0</v>
      </c>
      <c r="R2586" s="32">
        <v>44581.0</v>
      </c>
      <c r="S2586" s="32">
        <v>41550.0</v>
      </c>
      <c r="T2586" s="29"/>
      <c r="U2586" s="33"/>
      <c r="V2586" s="1"/>
    </row>
    <row r="2587" ht="24.0" customHeight="1">
      <c r="A2587" s="1"/>
      <c r="B2587" s="24" t="str">
        <f>HYPERLINK("https://www.compass.com/listing/251-south-3rd-street-unit-3a-brooklyn-ny-11211/29484941200929985/view?agent_id=610d3f3370540700019b0833","251 South 3rd Street, Unit 3A")</f>
        <v>251 South 3rd Street, Unit 3A</v>
      </c>
      <c r="C2587" s="25" t="s">
        <v>364</v>
      </c>
      <c r="D2587" s="26" t="s">
        <v>23</v>
      </c>
      <c r="E2587" s="27" t="str">
        <f>HYPERLINK("https://www.compass.com/building/251-s-3rd-st-brooklyn-ny-11211/282401455405603205/","251 S 3rd St")</f>
        <v>251 S 3rd St</v>
      </c>
      <c r="F2587" s="25" t="s">
        <v>46</v>
      </c>
      <c r="G2587" s="28">
        <v>949000.0</v>
      </c>
      <c r="H2587" s="29"/>
      <c r="I2587" s="28">
        <v>363.0</v>
      </c>
      <c r="J2587" s="28">
        <v>252.0</v>
      </c>
      <c r="K2587" s="25" t="s">
        <v>28</v>
      </c>
      <c r="L2587" s="26">
        <v>4.0</v>
      </c>
      <c r="M2587" s="26">
        <v>2.0</v>
      </c>
      <c r="N2587" s="26">
        <v>1.0</v>
      </c>
      <c r="O2587" s="26">
        <v>0.0</v>
      </c>
      <c r="P2587" s="30"/>
      <c r="Q2587" s="35">
        <v>25.0</v>
      </c>
      <c r="R2587" s="32">
        <v>45636.0</v>
      </c>
      <c r="S2587" s="32">
        <v>44232.0</v>
      </c>
      <c r="T2587" s="29"/>
      <c r="U2587" s="33"/>
      <c r="V2587" s="1"/>
    </row>
    <row r="2588" ht="24.0" customHeight="1">
      <c r="A2588" s="1"/>
      <c r="B2588" s="24" t="str">
        <f>HYPERLINK("https://www.compass.com/listing/30-east-76th-street-unit-7a-manhattan-ny-10021/325255260595270305/view?agent_id=610d3f3370540700019b0833","30 East 76th Street, Unit 7A")</f>
        <v>30 East 76th Street, Unit 7A</v>
      </c>
      <c r="C2588" s="25" t="s">
        <v>364</v>
      </c>
      <c r="D2588" s="26" t="s">
        <v>23</v>
      </c>
      <c r="E2588" s="27" t="str">
        <f>HYPERLINK("https://www.compass.com/building/30-e-76th-st-manhattan-ny-10021/294837226290481221/","30 E 76th St")</f>
        <v>30 E 76th St</v>
      </c>
      <c r="F2588" s="25" t="s">
        <v>64</v>
      </c>
      <c r="G2588" s="28">
        <v>2235500.0</v>
      </c>
      <c r="H2588" s="28">
        <v>2032.0</v>
      </c>
      <c r="I2588" s="28">
        <v>2832.0</v>
      </c>
      <c r="J2588" s="28">
        <v>14448.0</v>
      </c>
      <c r="K2588" s="25" t="s">
        <v>28</v>
      </c>
      <c r="L2588" s="26">
        <v>4.0</v>
      </c>
      <c r="M2588" s="26">
        <v>2.0</v>
      </c>
      <c r="N2588" s="26">
        <v>1.0</v>
      </c>
      <c r="O2588" s="26">
        <v>0.0</v>
      </c>
      <c r="P2588" s="34">
        <v>1100.0</v>
      </c>
      <c r="Q2588" s="35">
        <v>271.0</v>
      </c>
      <c r="R2588" s="32">
        <v>45636.0</v>
      </c>
      <c r="S2588" s="32">
        <v>41772.0</v>
      </c>
      <c r="T2588" s="29"/>
      <c r="U2588" s="33"/>
      <c r="V2588" s="1"/>
    </row>
    <row r="2589" ht="24.0" customHeight="1">
      <c r="A2589" s="1"/>
      <c r="B2589" s="24" t="str">
        <f>HYPERLINK("https://www.compass.com/listing/325-east-77th-street-unit-2d-manhattan-ny-10075/1311664528651722097/view?agent_id=610d3f3370540700019b0833","325 East 77th Street, Unit 2D")</f>
        <v>325 East 77th Street, Unit 2D</v>
      </c>
      <c r="C2589" s="25" t="s">
        <v>364</v>
      </c>
      <c r="D2589" s="26" t="s">
        <v>23</v>
      </c>
      <c r="E2589" s="27" t="str">
        <f>HYPERLINK("https://www.compass.com/building/325-e-77th-st-manhattan-ny-10075/282044024427142853/","325 E 77th St")</f>
        <v>325 E 77th St</v>
      </c>
      <c r="F2589" s="25" t="s">
        <v>44</v>
      </c>
      <c r="G2589" s="28">
        <v>979000.0</v>
      </c>
      <c r="H2589" s="28">
        <v>890.0</v>
      </c>
      <c r="I2589" s="28">
        <v>1939.0</v>
      </c>
      <c r="J2589" s="28">
        <v>0.0</v>
      </c>
      <c r="K2589" s="25" t="s">
        <v>25</v>
      </c>
      <c r="L2589" s="26">
        <v>5.0</v>
      </c>
      <c r="M2589" s="26">
        <v>2.0</v>
      </c>
      <c r="N2589" s="26">
        <v>1.0</v>
      </c>
      <c r="O2589" s="26">
        <v>0.0</v>
      </c>
      <c r="P2589" s="34">
        <v>1100.0</v>
      </c>
      <c r="Q2589" s="35">
        <v>178.0</v>
      </c>
      <c r="R2589" s="32">
        <v>45299.0</v>
      </c>
      <c r="S2589" s="32">
        <v>45061.0</v>
      </c>
      <c r="T2589" s="29"/>
      <c r="U2589" s="33"/>
      <c r="V2589" s="1"/>
    </row>
    <row r="2590" ht="24.0" customHeight="1">
      <c r="A2590" s="1"/>
      <c r="B2590" s="24" t="str">
        <f>HYPERLINK("https://www.compass.com/listing/155-east-73rd-street-unit-3b-manhattan-ny-10021/232534274354545953/view?agent_id=610d3f3370540700019b0833","155 East 73rd Street, Unit 3B")</f>
        <v>155 East 73rd Street, Unit 3B</v>
      </c>
      <c r="C2590" s="25" t="s">
        <v>364</v>
      </c>
      <c r="D2590" s="26" t="s">
        <v>23</v>
      </c>
      <c r="E2590" s="27" t="str">
        <f t="shared" ref="E2590:E2591" si="58">HYPERLINK("https://www.compass.com/building/155-e-73rd-st-manhattan-ny-10021/292851090502783829/","155 E 73rd St")</f>
        <v>155 E 73rd St</v>
      </c>
      <c r="F2590" s="25" t="s">
        <v>64</v>
      </c>
      <c r="G2590" s="28">
        <v>1095000.0</v>
      </c>
      <c r="H2590" s="29"/>
      <c r="I2590" s="28">
        <v>2677.0</v>
      </c>
      <c r="J2590" s="29"/>
      <c r="K2590" s="25" t="s">
        <v>25</v>
      </c>
      <c r="L2590" s="26">
        <v>4.0</v>
      </c>
      <c r="M2590" s="26">
        <v>2.0</v>
      </c>
      <c r="N2590" s="26">
        <v>1.0</v>
      </c>
      <c r="O2590" s="26">
        <v>0.0</v>
      </c>
      <c r="P2590" s="30"/>
      <c r="Q2590" s="35">
        <v>89.0</v>
      </c>
      <c r="R2590" s="32">
        <v>45636.0</v>
      </c>
      <c r="S2590" s="32">
        <v>43572.0</v>
      </c>
      <c r="T2590" s="29"/>
      <c r="U2590" s="33"/>
      <c r="V2590" s="1"/>
    </row>
    <row r="2591" ht="24.0" customHeight="1">
      <c r="A2591" s="1"/>
      <c r="B2591" s="24" t="str">
        <f>HYPERLINK("https://www.compass.com/listing/155-east-73rd-street-unit-3b-manhattan-ny-10021/297055318630650737/view?agent_id=610d3f3370540700019b0833","155 East 73rd Street, Unit 3B")</f>
        <v>155 East 73rd Street, Unit 3B</v>
      </c>
      <c r="C2591" s="25" t="s">
        <v>364</v>
      </c>
      <c r="D2591" s="26" t="s">
        <v>23</v>
      </c>
      <c r="E2591" s="27" t="str">
        <f t="shared" si="58"/>
        <v>155 E 73rd St</v>
      </c>
      <c r="F2591" s="25" t="s">
        <v>64</v>
      </c>
      <c r="G2591" s="28">
        <v>975000.0</v>
      </c>
      <c r="H2591" s="29"/>
      <c r="I2591" s="28">
        <v>2677.0</v>
      </c>
      <c r="J2591" s="28">
        <v>0.0</v>
      </c>
      <c r="K2591" s="25" t="s">
        <v>25</v>
      </c>
      <c r="L2591" s="26">
        <v>4.0</v>
      </c>
      <c r="M2591" s="26">
        <v>2.0</v>
      </c>
      <c r="N2591" s="26">
        <v>1.0</v>
      </c>
      <c r="O2591" s="30"/>
      <c r="P2591" s="30"/>
      <c r="Q2591" s="35">
        <v>0.0</v>
      </c>
      <c r="R2591" s="32">
        <v>43742.0</v>
      </c>
      <c r="S2591" s="32">
        <v>43661.0</v>
      </c>
      <c r="T2591" s="29"/>
      <c r="U2591" s="33"/>
      <c r="V2591" s="1"/>
    </row>
    <row r="2592" ht="24.0" customHeight="1">
      <c r="A2592" s="1"/>
      <c r="B2592" s="24" t="str">
        <f>HYPERLINK("https://www.compass.com/listing/449-putnam-avenue-unit-2-brooklyn-ny-11221/70927589283222385/view?agent_id=610d3f3370540700019b0833","449 Putnam Avenue, Unit 2")</f>
        <v>449 Putnam Avenue, Unit 2</v>
      </c>
      <c r="C2592" s="25" t="s">
        <v>364</v>
      </c>
      <c r="D2592" s="26" t="s">
        <v>23</v>
      </c>
      <c r="E2592" s="27" t="str">
        <f>HYPERLINK("https://www.compass.com/building/449-putnam-ave-brooklyn-ny-11221/293416840749755557/","449 Putnam Ave")</f>
        <v>449 Putnam Ave</v>
      </c>
      <c r="F2592" s="25" t="s">
        <v>51</v>
      </c>
      <c r="G2592" s="28">
        <v>799000.0</v>
      </c>
      <c r="H2592" s="29"/>
      <c r="I2592" s="28">
        <v>614.0</v>
      </c>
      <c r="J2592" s="28">
        <v>2988.0</v>
      </c>
      <c r="K2592" s="25" t="s">
        <v>28</v>
      </c>
      <c r="L2592" s="26">
        <v>4.0</v>
      </c>
      <c r="M2592" s="26">
        <v>2.0</v>
      </c>
      <c r="N2592" s="26">
        <v>1.0</v>
      </c>
      <c r="O2592" s="26">
        <v>0.0</v>
      </c>
      <c r="P2592" s="30"/>
      <c r="Q2592" s="35">
        <v>37.0</v>
      </c>
      <c r="R2592" s="32">
        <v>45636.0</v>
      </c>
      <c r="S2592" s="32">
        <v>43032.0</v>
      </c>
      <c r="T2592" s="29"/>
      <c r="U2592" s="33"/>
      <c r="V2592" s="1"/>
    </row>
    <row r="2593" ht="24.0" customHeight="1">
      <c r="A2593" s="1"/>
      <c r="B2593" s="24" t="str">
        <f>HYPERLINK("https://www.compass.com/listing/60-broadway-unit-10k-brooklyn-ny-11249/849018422640265393/view?agent_id=610d3f3370540700019b0833","60 Broadway, Unit 10K")</f>
        <v>60 Broadway, Unit 10K</v>
      </c>
      <c r="C2593" s="25" t="s">
        <v>364</v>
      </c>
      <c r="D2593" s="26" t="s">
        <v>23</v>
      </c>
      <c r="E2593" s="27" t="str">
        <f>HYPERLINK("https://www.compass.com/building/the-gretsch-brooklyn-ny/293425935435242341/","The Gretsch")</f>
        <v>The Gretsch</v>
      </c>
      <c r="F2593" s="25" t="s">
        <v>46</v>
      </c>
      <c r="G2593" s="28">
        <v>3050000.0</v>
      </c>
      <c r="H2593" s="28">
        <v>1480.0</v>
      </c>
      <c r="I2593" s="28">
        <v>2003.0</v>
      </c>
      <c r="J2593" s="28">
        <v>1428.0</v>
      </c>
      <c r="K2593" s="25" t="s">
        <v>28</v>
      </c>
      <c r="L2593" s="26">
        <v>5.0</v>
      </c>
      <c r="M2593" s="26">
        <v>2.0</v>
      </c>
      <c r="N2593" s="26">
        <v>0.0</v>
      </c>
      <c r="O2593" s="26">
        <v>0.0</v>
      </c>
      <c r="P2593" s="34">
        <v>2061.0</v>
      </c>
      <c r="Q2593" s="35">
        <v>109.0</v>
      </c>
      <c r="R2593" s="32">
        <v>44581.0</v>
      </c>
      <c r="S2593" s="32">
        <v>43002.0</v>
      </c>
      <c r="T2593" s="29"/>
      <c r="U2593" s="33"/>
      <c r="V2593" s="1"/>
    </row>
    <row r="2594" ht="24.0" customHeight="1">
      <c r="A2594" s="1"/>
      <c r="B2594" s="24" t="str">
        <f>HYPERLINK("https://www.compass.com/listing/170-broadway-unit-4b-brooklyn-ny-11211/1552430635967259185/view?agent_id=610d3f3370540700019b0833","170 Broadway, Unit 4B")</f>
        <v>170 Broadway, Unit 4B</v>
      </c>
      <c r="C2594" s="25" t="s">
        <v>364</v>
      </c>
      <c r="D2594" s="26" t="s">
        <v>23</v>
      </c>
      <c r="E2594" s="27" t="str">
        <f>HYPERLINK("https://www.compass.com/building/170-broadway-brooklyn-ny-11211/282400301124754645/","170 Broadway")</f>
        <v>170 Broadway</v>
      </c>
      <c r="F2594" s="25" t="s">
        <v>46</v>
      </c>
      <c r="G2594" s="28">
        <v>1100000.0</v>
      </c>
      <c r="H2594" s="28">
        <v>1363.0</v>
      </c>
      <c r="I2594" s="28">
        <v>840.0</v>
      </c>
      <c r="J2594" s="28">
        <v>600.0</v>
      </c>
      <c r="K2594" s="25" t="s">
        <v>28</v>
      </c>
      <c r="L2594" s="26">
        <v>4.0</v>
      </c>
      <c r="M2594" s="26">
        <v>2.0</v>
      </c>
      <c r="N2594" s="26">
        <v>1.0</v>
      </c>
      <c r="O2594" s="30"/>
      <c r="P2594" s="26">
        <v>807.0</v>
      </c>
      <c r="Q2594" s="35">
        <v>24.0</v>
      </c>
      <c r="R2594" s="32">
        <v>45418.0</v>
      </c>
      <c r="S2594" s="32">
        <v>45393.0</v>
      </c>
      <c r="T2594" s="29"/>
      <c r="U2594" s="33"/>
      <c r="V2594" s="1"/>
    </row>
    <row r="2595" ht="24.0" customHeight="1">
      <c r="A2595" s="1"/>
      <c r="B2595" s="24" t="str">
        <f>HYPERLINK("https://www.compass.com/listing/400-east-77th-street-unit-4e-manhattan-ny-10075/1271728079432996529/view?agent_id=610d3f3370540700019b0833","400 East 77th Street, Unit 4E")</f>
        <v>400 East 77th Street, Unit 4E</v>
      </c>
      <c r="C2595" s="25" t="s">
        <v>364</v>
      </c>
      <c r="D2595" s="26" t="s">
        <v>23</v>
      </c>
      <c r="E2595" s="27" t="str">
        <f>HYPERLINK("https://www.compass.com/building/emery-towers-manhattan-ny/292927467528678229/","Emery Towers")</f>
        <v>Emery Towers</v>
      </c>
      <c r="F2595" s="25" t="s">
        <v>64</v>
      </c>
      <c r="G2595" s="28">
        <v>799000.0</v>
      </c>
      <c r="H2595" s="29"/>
      <c r="I2595" s="28">
        <v>2177.0</v>
      </c>
      <c r="J2595" s="28">
        <v>0.0</v>
      </c>
      <c r="K2595" s="25" t="s">
        <v>25</v>
      </c>
      <c r="L2595" s="26">
        <v>4.0</v>
      </c>
      <c r="M2595" s="26">
        <v>2.0</v>
      </c>
      <c r="N2595" s="26">
        <v>1.0</v>
      </c>
      <c r="O2595" s="26">
        <v>0.0</v>
      </c>
      <c r="P2595" s="30"/>
      <c r="Q2595" s="35">
        <v>210.0</v>
      </c>
      <c r="R2595" s="32">
        <v>45281.0</v>
      </c>
      <c r="S2595" s="32">
        <v>45006.0</v>
      </c>
      <c r="T2595" s="29"/>
      <c r="U2595" s="33"/>
      <c r="V2595" s="1"/>
    </row>
    <row r="2596" ht="24.0" customHeight="1">
      <c r="A2596" s="1"/>
      <c r="B2596" s="24" t="str">
        <f>HYPERLINK("https://www.compass.com/listing/315-east-77th-street-unit-1h-manhattan-ny-10075/192566723226954177/view?agent_id=610d3f3370540700019b0833","315 East 77th Street, Unit 1H")</f>
        <v>315 East 77th Street, Unit 1H</v>
      </c>
      <c r="C2596" s="25" t="s">
        <v>370</v>
      </c>
      <c r="D2596" s="26" t="s">
        <v>23</v>
      </c>
      <c r="E2596" s="27" t="str">
        <f>HYPERLINK("https://www.compass.com/building/315-e-77th-st-manhattan-ny-10075/282043902096070453/","315 E 77th St")</f>
        <v>315 E 77th St</v>
      </c>
      <c r="F2596" s="25" t="s">
        <v>44</v>
      </c>
      <c r="G2596" s="28">
        <v>599000.0</v>
      </c>
      <c r="H2596" s="29"/>
      <c r="I2596" s="28">
        <v>1283.0</v>
      </c>
      <c r="J2596" s="29"/>
      <c r="K2596" s="25" t="s">
        <v>25</v>
      </c>
      <c r="L2596" s="26">
        <v>4.0</v>
      </c>
      <c r="M2596" s="26">
        <v>2.0</v>
      </c>
      <c r="N2596" s="26">
        <v>0.0</v>
      </c>
      <c r="O2596" s="26">
        <v>0.0</v>
      </c>
      <c r="P2596" s="30"/>
      <c r="Q2596" s="35">
        <v>104.0</v>
      </c>
      <c r="R2596" s="32">
        <v>45636.0</v>
      </c>
      <c r="S2596" s="32">
        <v>43138.0</v>
      </c>
      <c r="T2596" s="29"/>
      <c r="U2596" s="33"/>
      <c r="V2596" s="1"/>
    </row>
    <row r="2597" ht="24.0" customHeight="1">
      <c r="A2597" s="1"/>
      <c r="B2597" s="24" t="str">
        <f>HYPERLINK("https://www.compass.com/listing/133-mulberry-street-unit-6b-manhattan-ny-10013/192573689747842945/view?agent_id=610d3f3370540700019b0833","133 Mulberry Street, Unit 6B")</f>
        <v>133 Mulberry Street, Unit 6B</v>
      </c>
      <c r="C2597" s="25" t="s">
        <v>364</v>
      </c>
      <c r="D2597" s="26" t="s">
        <v>23</v>
      </c>
      <c r="E2597" s="27" t="str">
        <f>HYPERLINK("https://www.compass.com/building/133-mulberry-street-condominium-manhattan-ny/281916941336083477/","133 Mulberry Street Condominium")</f>
        <v>133 Mulberry Street Condominium</v>
      </c>
      <c r="F2597" s="25" t="s">
        <v>120</v>
      </c>
      <c r="G2597" s="28">
        <v>3641400.0</v>
      </c>
      <c r="H2597" s="28">
        <v>1885.0</v>
      </c>
      <c r="I2597" s="28">
        <v>2895.0</v>
      </c>
      <c r="J2597" s="28">
        <v>24324.0</v>
      </c>
      <c r="K2597" s="25" t="s">
        <v>28</v>
      </c>
      <c r="L2597" s="26">
        <v>6.0</v>
      </c>
      <c r="M2597" s="26">
        <v>2.0</v>
      </c>
      <c r="N2597" s="26">
        <v>0.0</v>
      </c>
      <c r="O2597" s="26">
        <v>0.0</v>
      </c>
      <c r="P2597" s="34">
        <v>1932.0</v>
      </c>
      <c r="Q2597" s="35">
        <v>40.0</v>
      </c>
      <c r="R2597" s="32">
        <v>45636.0</v>
      </c>
      <c r="S2597" s="32">
        <v>41941.0</v>
      </c>
      <c r="T2597" s="29"/>
      <c r="U2597" s="33"/>
      <c r="V2597" s="1"/>
    </row>
    <row r="2598" ht="24.0" customHeight="1">
      <c r="A2598" s="1"/>
      <c r="B2598" s="24" t="str">
        <f>HYPERLINK("https://www.compass.com/listing/181-east-73rd-street-unit-4g-manhattan-ny-10021/977525027064415345/view?agent_id=610d3f3370540700019b0833","181 East 73rd Street, Unit 4G")</f>
        <v>181 East 73rd Street, Unit 4G</v>
      </c>
      <c r="C2598" s="25" t="s">
        <v>364</v>
      </c>
      <c r="D2598" s="26" t="s">
        <v>23</v>
      </c>
      <c r="E2598" s="27" t="str">
        <f>HYPERLINK("https://www.compass.com/building/181-e-73rd-st-manhattan-ny-10021/292849972636881221/","181 E 73rd St")</f>
        <v>181 E 73rd St</v>
      </c>
      <c r="F2598" s="25" t="s">
        <v>64</v>
      </c>
      <c r="G2598" s="28">
        <v>799000.0</v>
      </c>
      <c r="H2598" s="28">
        <v>841.0</v>
      </c>
      <c r="I2598" s="28">
        <v>2185.0</v>
      </c>
      <c r="J2598" s="28">
        <v>0.0</v>
      </c>
      <c r="K2598" s="25" t="s">
        <v>25</v>
      </c>
      <c r="L2598" s="26">
        <v>4.0</v>
      </c>
      <c r="M2598" s="26">
        <v>2.0</v>
      </c>
      <c r="N2598" s="26">
        <v>1.0</v>
      </c>
      <c r="O2598" s="26">
        <v>0.0</v>
      </c>
      <c r="P2598" s="26">
        <v>950.0</v>
      </c>
      <c r="Q2598" s="35">
        <v>444.0</v>
      </c>
      <c r="R2598" s="32">
        <v>45044.0</v>
      </c>
      <c r="S2598" s="32">
        <v>44600.0</v>
      </c>
      <c r="T2598" s="29"/>
      <c r="U2598" s="33"/>
      <c r="V2598" s="1"/>
    </row>
    <row r="2599" ht="24.0" customHeight="1">
      <c r="A2599" s="1"/>
      <c r="B2599" s="24" t="str">
        <f>HYPERLINK("https://www.compass.com/listing/133-mulberry-street-unit-4c-manhattan-ny-10013/803309825622119873/view?agent_id=610d3f3370540700019b0833","133 Mulberry Street, Unit 4C")</f>
        <v>133 Mulberry Street, Unit 4C</v>
      </c>
      <c r="C2599" s="25" t="s">
        <v>370</v>
      </c>
      <c r="D2599" s="26" t="s">
        <v>23</v>
      </c>
      <c r="E2599" s="27" t="str">
        <f>HYPERLINK("https://www.compass.com/building/133-mulberry-street-condominium-manhattan-ny/281916941336083477/","133 Mulberry Street Condominium")</f>
        <v>133 Mulberry Street Condominium</v>
      </c>
      <c r="F2599" s="25" t="s">
        <v>120</v>
      </c>
      <c r="G2599" s="28">
        <v>2550000.0</v>
      </c>
      <c r="H2599" s="28">
        <v>1842.0</v>
      </c>
      <c r="I2599" s="28">
        <v>2074.0</v>
      </c>
      <c r="J2599" s="28">
        <v>17424.0</v>
      </c>
      <c r="K2599" s="25" t="s">
        <v>28</v>
      </c>
      <c r="L2599" s="26">
        <v>6.0</v>
      </c>
      <c r="M2599" s="26">
        <v>2.0</v>
      </c>
      <c r="N2599" s="26">
        <v>0.0</v>
      </c>
      <c r="O2599" s="26">
        <v>0.0</v>
      </c>
      <c r="P2599" s="34">
        <v>1384.0</v>
      </c>
      <c r="Q2599" s="35">
        <v>294.0</v>
      </c>
      <c r="R2599" s="32">
        <v>45636.0</v>
      </c>
      <c r="S2599" s="32">
        <v>41984.0</v>
      </c>
      <c r="T2599" s="29"/>
      <c r="U2599" s="33"/>
      <c r="V2599" s="1"/>
    </row>
    <row r="2600" ht="24.0" customHeight="1">
      <c r="A2600" s="1"/>
      <c r="B2600" s="24" t="str">
        <f>HYPERLINK("https://www.compass.com/listing/214-north-11th-street-unit-1t-brooklyn-ny-11211/4852276598952428753/view?agent_id=610d3f3370540700019b0833","214 North 11th Street, Unit 1T")</f>
        <v>214 North 11th Street, Unit 1T</v>
      </c>
      <c r="C2600" s="25" t="s">
        <v>364</v>
      </c>
      <c r="D2600" s="26" t="s">
        <v>23</v>
      </c>
      <c r="E2600" s="27" t="str">
        <f>HYPERLINK("https://www.compass.com/building/warehouse-11-brooklyn-ny/282395154193643397/","Warehouse 11")</f>
        <v>Warehouse 11</v>
      </c>
      <c r="F2600" s="25" t="s">
        <v>46</v>
      </c>
      <c r="G2600" s="28">
        <v>1150000.0</v>
      </c>
      <c r="H2600" s="28">
        <v>825.0</v>
      </c>
      <c r="I2600" s="28">
        <v>992.0</v>
      </c>
      <c r="J2600" s="28">
        <v>576.0</v>
      </c>
      <c r="K2600" s="25" t="s">
        <v>28</v>
      </c>
      <c r="L2600" s="26">
        <v>5.0</v>
      </c>
      <c r="M2600" s="26">
        <v>2.0</v>
      </c>
      <c r="N2600" s="30"/>
      <c r="O2600" s="30"/>
      <c r="P2600" s="34">
        <v>1394.0</v>
      </c>
      <c r="Q2600" s="35">
        <v>434.0</v>
      </c>
      <c r="R2600" s="32">
        <v>43733.0</v>
      </c>
      <c r="S2600" s="32">
        <v>43299.0</v>
      </c>
      <c r="T2600" s="29"/>
      <c r="U2600" s="33"/>
      <c r="V2600" s="1"/>
    </row>
    <row r="2601" ht="24.0" customHeight="1">
      <c r="A2601" s="1"/>
      <c r="B2601" s="24" t="str">
        <f>HYPERLINK("https://www.compass.com/listing/230-east-71st-street-unit-a-manhattan-ny-10021/1687737885711792041/view?agent_id=610d3f3370540700019b0833","230 East 71st Street, Unit A")</f>
        <v>230 East 71st Street, Unit A</v>
      </c>
      <c r="C2601" s="25" t="s">
        <v>364</v>
      </c>
      <c r="D2601" s="26" t="s">
        <v>23</v>
      </c>
      <c r="E2601" s="27" t="str">
        <f>HYPERLINK("https://www.compass.com/building/230-e-71st-st-manhattan-ny-10021/281949721038226405/","230 E 71st St")</f>
        <v>230 E 71st St</v>
      </c>
      <c r="F2601" s="25" t="s">
        <v>64</v>
      </c>
      <c r="G2601" s="28">
        <v>745000.0</v>
      </c>
      <c r="H2601" s="29"/>
      <c r="I2601" s="28">
        <v>1805.0</v>
      </c>
      <c r="J2601" s="28">
        <v>0.0</v>
      </c>
      <c r="K2601" s="25" t="s">
        <v>25</v>
      </c>
      <c r="L2601" s="26">
        <v>5.0</v>
      </c>
      <c r="M2601" s="26">
        <v>2.0</v>
      </c>
      <c r="N2601" s="26">
        <v>1.0</v>
      </c>
      <c r="O2601" s="26">
        <v>0.0</v>
      </c>
      <c r="P2601" s="30"/>
      <c r="Q2601" s="35">
        <v>90.0</v>
      </c>
      <c r="R2601" s="32">
        <v>45670.0</v>
      </c>
      <c r="S2601" s="32">
        <v>45580.0</v>
      </c>
      <c r="T2601" s="29"/>
      <c r="U2601" s="33"/>
      <c r="V2601" s="1"/>
    </row>
    <row r="2602" ht="24.0" customHeight="1">
      <c r="A2602" s="1"/>
      <c r="B2602" s="24" t="str">
        <f>HYPERLINK("https://www.compass.com/listing/133-mulberry-street-unit-5d-manhattan-ny-10013/50858547021474881/view?agent_id=610d3f3370540700019b0833","133 Mulberry Street, Unit 5D")</f>
        <v>133 Mulberry Street, Unit 5D</v>
      </c>
      <c r="C2602" s="25" t="s">
        <v>370</v>
      </c>
      <c r="D2602" s="26" t="s">
        <v>23</v>
      </c>
      <c r="E2602" s="27" t="str">
        <f>HYPERLINK("https://www.compass.com/building/133-mulberry-street-condominium-manhattan-ny/281916941336083477/","133 Mulberry Street Condominium")</f>
        <v>133 Mulberry Street Condominium</v>
      </c>
      <c r="F2602" s="25" t="s">
        <v>120</v>
      </c>
      <c r="G2602" s="28">
        <v>3450000.0</v>
      </c>
      <c r="H2602" s="28">
        <v>1896.0</v>
      </c>
      <c r="I2602" s="28">
        <v>2727.0</v>
      </c>
      <c r="J2602" s="28">
        <v>22920.0</v>
      </c>
      <c r="K2602" s="25" t="s">
        <v>28</v>
      </c>
      <c r="L2602" s="26">
        <v>7.0</v>
      </c>
      <c r="M2602" s="26">
        <v>2.0</v>
      </c>
      <c r="N2602" s="26">
        <v>0.0</v>
      </c>
      <c r="O2602" s="26">
        <v>0.0</v>
      </c>
      <c r="P2602" s="34">
        <v>1820.0</v>
      </c>
      <c r="Q2602" s="35">
        <v>125.0</v>
      </c>
      <c r="R2602" s="32">
        <v>45636.0</v>
      </c>
      <c r="S2602" s="32">
        <v>42055.0</v>
      </c>
      <c r="T2602" s="29"/>
      <c r="U2602" s="33"/>
      <c r="V2602" s="1"/>
    </row>
    <row r="2603" ht="24.0" customHeight="1">
      <c r="A2603" s="1"/>
      <c r="B2603" s="24" t="str">
        <f>HYPERLINK("https://www.compass.com/listing/144-north-8th-street-unit-4a-brooklyn-ny-11249/29483919359425217/view?agent_id=610d3f3370540700019b0833","144 North 8th Street, Unit 4A")</f>
        <v>144 North 8th Street, Unit 4A</v>
      </c>
      <c r="C2603" s="25" t="s">
        <v>364</v>
      </c>
      <c r="D2603" s="26" t="s">
        <v>23</v>
      </c>
      <c r="E2603" s="27" t="str">
        <f>HYPERLINK("https://www.compass.com/building/144-n-8th-st-brooklyn-ny-11249/293426334372273685/","144 N 8th St")</f>
        <v>144 N 8th St</v>
      </c>
      <c r="F2603" s="25" t="s">
        <v>46</v>
      </c>
      <c r="G2603" s="28">
        <v>1750000.0</v>
      </c>
      <c r="H2603" s="28">
        <v>1568.0</v>
      </c>
      <c r="I2603" s="28">
        <v>843.0</v>
      </c>
      <c r="J2603" s="28">
        <v>660.0</v>
      </c>
      <c r="K2603" s="25" t="s">
        <v>28</v>
      </c>
      <c r="L2603" s="26">
        <v>4.0</v>
      </c>
      <c r="M2603" s="26">
        <v>2.0</v>
      </c>
      <c r="N2603" s="26">
        <v>0.0</v>
      </c>
      <c r="O2603" s="26">
        <v>0.0</v>
      </c>
      <c r="P2603" s="34">
        <v>1116.0</v>
      </c>
      <c r="Q2603" s="35">
        <v>1772.0</v>
      </c>
      <c r="R2603" s="32">
        <v>45636.0</v>
      </c>
      <c r="S2603" s="32">
        <v>42808.0</v>
      </c>
      <c r="T2603" s="29"/>
      <c r="U2603" s="33"/>
      <c r="V2603" s="1"/>
    </row>
    <row r="2604" ht="24.0" customHeight="1">
      <c r="A2604" s="1"/>
      <c r="B2604" s="24" t="str">
        <f>HYPERLINK("https://www.compass.com/listing/200-west-end-avenue-unit-6a-manhattan-ny-10023/1809604723145987801/view?agent_id=610d3f3370540700019b0833","200 West End Avenue, Unit 6A")</f>
        <v>200 West End Avenue, Unit 6A</v>
      </c>
      <c r="C2604" s="25" t="s">
        <v>370</v>
      </c>
      <c r="D2604" s="26" t="s">
        <v>23</v>
      </c>
      <c r="E2604" s="27" t="str">
        <f>HYPERLINK("https://www.compass.com/building/200-west-end-ave-manhattan-ny-10023/281958222825331077/","200 West End Ave")</f>
        <v>200 West End Ave</v>
      </c>
      <c r="F2604" s="25" t="s">
        <v>29</v>
      </c>
      <c r="G2604" s="28">
        <v>2695000.0</v>
      </c>
      <c r="H2604" s="28">
        <v>1905.0</v>
      </c>
      <c r="I2604" s="28">
        <v>1566.0</v>
      </c>
      <c r="J2604" s="28">
        <v>8448.0</v>
      </c>
      <c r="K2604" s="25" t="s">
        <v>28</v>
      </c>
      <c r="L2604" s="26">
        <v>4.0</v>
      </c>
      <c r="M2604" s="26">
        <v>2.0</v>
      </c>
      <c r="N2604" s="26">
        <v>0.0</v>
      </c>
      <c r="O2604" s="26">
        <v>0.0</v>
      </c>
      <c r="P2604" s="34">
        <v>1415.0</v>
      </c>
      <c r="Q2604" s="35">
        <v>39.0</v>
      </c>
      <c r="R2604" s="32">
        <v>44581.0</v>
      </c>
      <c r="S2604" s="32">
        <v>42310.0</v>
      </c>
      <c r="T2604" s="29"/>
      <c r="U2604" s="33"/>
      <c r="V2604" s="1"/>
    </row>
    <row r="2605" ht="24.0" customHeight="1">
      <c r="A2605" s="1"/>
      <c r="B2605" s="24" t="str">
        <f>HYPERLINK("https://www.compass.com/listing/133-mulberry-street-unit-phb-manhattan-ny-10013/4852269917551996209/view?agent_id=610d3f3370540700019b0833","133 Mulberry Street, Unit PHB")</f>
        <v>133 Mulberry Street, Unit PHB</v>
      </c>
      <c r="C2605" s="25" t="s">
        <v>370</v>
      </c>
      <c r="D2605" s="26" t="s">
        <v>23</v>
      </c>
      <c r="E2605" s="27" t="str">
        <f t="shared" ref="E2605:E2606" si="59">HYPERLINK("https://www.compass.com/building/133-mulberry-street-condominium-manhattan-ny/281916941336083477/","133 Mulberry Street Condominium")</f>
        <v>133 Mulberry Street Condominium</v>
      </c>
      <c r="F2605" s="25" t="s">
        <v>120</v>
      </c>
      <c r="G2605" s="28">
        <v>3625000.0</v>
      </c>
      <c r="H2605" s="28">
        <v>1876.0</v>
      </c>
      <c r="I2605" s="28">
        <v>2895.0</v>
      </c>
      <c r="J2605" s="28">
        <v>24324.0</v>
      </c>
      <c r="K2605" s="25" t="s">
        <v>28</v>
      </c>
      <c r="L2605" s="26">
        <v>6.0</v>
      </c>
      <c r="M2605" s="26">
        <v>2.0</v>
      </c>
      <c r="N2605" s="26">
        <v>0.0</v>
      </c>
      <c r="O2605" s="26">
        <v>0.0</v>
      </c>
      <c r="P2605" s="34">
        <v>1932.0</v>
      </c>
      <c r="Q2605" s="35">
        <v>92.0</v>
      </c>
      <c r="R2605" s="32">
        <v>45636.0</v>
      </c>
      <c r="S2605" s="32">
        <v>42089.0</v>
      </c>
      <c r="T2605" s="29"/>
      <c r="U2605" s="33"/>
      <c r="V2605" s="1"/>
    </row>
    <row r="2606" ht="24.0" customHeight="1">
      <c r="A2606" s="1"/>
      <c r="B2606" s="24" t="str">
        <f>HYPERLINK("https://www.compass.com/listing/133-mulberry-street-unit-6d-manhattan-ny-10013/803405207283102905/view?agent_id=610d3f3370540700019b0833","133 Mulberry Street, Unit 6D")</f>
        <v>133 Mulberry Street, Unit 6D</v>
      </c>
      <c r="C2606" s="25" t="s">
        <v>370</v>
      </c>
      <c r="D2606" s="26" t="s">
        <v>23</v>
      </c>
      <c r="E2606" s="27" t="str">
        <f t="shared" si="59"/>
        <v>133 Mulberry Street Condominium</v>
      </c>
      <c r="F2606" s="25" t="s">
        <v>120</v>
      </c>
      <c r="G2606" s="28">
        <v>4250000.0</v>
      </c>
      <c r="H2606" s="28">
        <v>2335.0</v>
      </c>
      <c r="I2606" s="28">
        <v>2728.0</v>
      </c>
      <c r="J2606" s="28">
        <v>22920.0</v>
      </c>
      <c r="K2606" s="25" t="s">
        <v>28</v>
      </c>
      <c r="L2606" s="26">
        <v>6.0</v>
      </c>
      <c r="M2606" s="26">
        <v>2.0</v>
      </c>
      <c r="N2606" s="26">
        <v>0.0</v>
      </c>
      <c r="O2606" s="26">
        <v>0.0</v>
      </c>
      <c r="P2606" s="34">
        <v>1820.0</v>
      </c>
      <c r="Q2606" s="35">
        <v>341.0</v>
      </c>
      <c r="R2606" s="32">
        <v>44581.0</v>
      </c>
      <c r="S2606" s="32">
        <v>41913.0</v>
      </c>
      <c r="T2606" s="29"/>
      <c r="U2606" s="33"/>
      <c r="V2606" s="1"/>
    </row>
    <row r="2607" ht="24.0" customHeight="1">
      <c r="A2607" s="1"/>
      <c r="B2607" s="24" t="str">
        <f>HYPERLINK("https://www.compass.com/listing/400-east-77th-street-unit-5e-manhattan-ny-10075/1243636580214478873/view?agent_id=610d3f3370540700019b0833","400 East 77th Street, Unit 5E")</f>
        <v>400 East 77th Street, Unit 5E</v>
      </c>
      <c r="C2607" s="25" t="s">
        <v>370</v>
      </c>
      <c r="D2607" s="26" t="s">
        <v>23</v>
      </c>
      <c r="E2607" s="27" t="str">
        <f t="shared" ref="E2607:E2608" si="60">HYPERLINK("https://www.compass.com/building/emery-towers-manhattan-ny/292927467528678229/","Emery Towers")</f>
        <v>Emery Towers</v>
      </c>
      <c r="F2607" s="25" t="s">
        <v>64</v>
      </c>
      <c r="G2607" s="28">
        <v>799000.0</v>
      </c>
      <c r="H2607" s="29"/>
      <c r="I2607" s="28">
        <v>2115.0</v>
      </c>
      <c r="J2607" s="28">
        <v>0.0</v>
      </c>
      <c r="K2607" s="25" t="s">
        <v>25</v>
      </c>
      <c r="L2607" s="26">
        <v>4.0</v>
      </c>
      <c r="M2607" s="26">
        <v>2.0</v>
      </c>
      <c r="N2607" s="26">
        <v>1.0</v>
      </c>
      <c r="O2607" s="26">
        <v>0.0</v>
      </c>
      <c r="P2607" s="30"/>
      <c r="Q2607" s="35">
        <v>189.0</v>
      </c>
      <c r="R2607" s="32">
        <v>45170.0</v>
      </c>
      <c r="S2607" s="32">
        <v>44980.0</v>
      </c>
      <c r="T2607" s="29"/>
      <c r="U2607" s="33"/>
      <c r="V2607" s="1"/>
    </row>
    <row r="2608" ht="24.0" customHeight="1">
      <c r="A2608" s="1"/>
      <c r="B2608" s="24" t="str">
        <f>HYPERLINK("https://www.compass.com/listing/400-east-77th-street-unit-4e-manhattan-ny-10075/1480369327327578041/view?agent_id=610d3f3370540700019b0833","400 East 77th Street, Unit 4E")</f>
        <v>400 East 77th Street, Unit 4E</v>
      </c>
      <c r="C2608" s="25" t="s">
        <v>364</v>
      </c>
      <c r="D2608" s="26" t="s">
        <v>23</v>
      </c>
      <c r="E2608" s="27" t="str">
        <f t="shared" si="60"/>
        <v>Emery Towers</v>
      </c>
      <c r="F2608" s="25" t="s">
        <v>64</v>
      </c>
      <c r="G2608" s="28">
        <v>789000.0</v>
      </c>
      <c r="H2608" s="29"/>
      <c r="I2608" s="28">
        <v>2177.0</v>
      </c>
      <c r="J2608" s="28">
        <v>0.0</v>
      </c>
      <c r="K2608" s="25" t="s">
        <v>25</v>
      </c>
      <c r="L2608" s="26">
        <v>5.0</v>
      </c>
      <c r="M2608" s="26">
        <v>2.0</v>
      </c>
      <c r="N2608" s="26">
        <v>1.0</v>
      </c>
      <c r="O2608" s="30"/>
      <c r="P2608" s="30"/>
      <c r="Q2608" s="35">
        <v>112.0</v>
      </c>
      <c r="R2608" s="32">
        <v>45457.0</v>
      </c>
      <c r="S2608" s="32">
        <v>45294.0</v>
      </c>
      <c r="T2608" s="29"/>
      <c r="U2608" s="33"/>
      <c r="V2608" s="1"/>
    </row>
    <row r="2609" ht="24.0" customHeight="1">
      <c r="A2609" s="1"/>
      <c r="B2609" s="24" t="str">
        <f>HYPERLINK("https://www.compass.com/listing/1-york-street-unit-3f-manhattan-ny-10013/70914947743343345/view?agent_id=610d3f3370540700019b0833","1 York Street, Unit 3F")</f>
        <v>1 York Street, Unit 3F</v>
      </c>
      <c r="C2609" s="25" t="s">
        <v>364</v>
      </c>
      <c r="D2609" s="26" t="s">
        <v>23</v>
      </c>
      <c r="E2609" s="27" t="str">
        <f>HYPERLINK("https://www.compass.com/building/one-york-manhattan-ny/281916354989162469/","One York")</f>
        <v>One York</v>
      </c>
      <c r="F2609" s="25" t="s">
        <v>60</v>
      </c>
      <c r="G2609" s="28">
        <v>2940000.0</v>
      </c>
      <c r="H2609" s="28">
        <v>1696.0</v>
      </c>
      <c r="I2609" s="28">
        <v>2552.0</v>
      </c>
      <c r="J2609" s="28">
        <v>12864.0</v>
      </c>
      <c r="K2609" s="25" t="s">
        <v>28</v>
      </c>
      <c r="L2609" s="26">
        <v>2.0</v>
      </c>
      <c r="M2609" s="26">
        <v>2.0</v>
      </c>
      <c r="N2609" s="26">
        <v>0.0</v>
      </c>
      <c r="O2609" s="26">
        <v>0.0</v>
      </c>
      <c r="P2609" s="34">
        <v>1733.0</v>
      </c>
      <c r="Q2609" s="31"/>
      <c r="R2609" s="32">
        <v>44581.0</v>
      </c>
      <c r="S2609" s="33"/>
      <c r="T2609" s="29"/>
      <c r="U2609" s="33"/>
      <c r="V2609" s="1"/>
    </row>
    <row r="2610" ht="24.0" customHeight="1">
      <c r="A2610" s="1"/>
      <c r="B2610" s="24" t="str">
        <f>HYPERLINK("https://www.compass.com/listing/325-east-79th-street-unit-16d-manhattan-ny-10075/1181126063432294121/view?agent_id=610d3f3370540700019b0833","325 East 79th Street, Unit 16D")</f>
        <v>325 East 79th Street, Unit 16D</v>
      </c>
      <c r="C2610" s="25" t="s">
        <v>365</v>
      </c>
      <c r="D2610" s="26" t="s">
        <v>23</v>
      </c>
      <c r="E2610" s="27" t="str">
        <f t="shared" ref="E2610:E2611" si="61">HYPERLINK("https://www.compass.com/building/325-e-79th-st-manhattan-ny-10075/282044029913290629/","325 E 79th St")</f>
        <v>325 E 79th St</v>
      </c>
      <c r="F2610" s="25" t="s">
        <v>44</v>
      </c>
      <c r="G2610" s="28">
        <v>975000.0</v>
      </c>
      <c r="H2610" s="29"/>
      <c r="I2610" s="28">
        <v>2179.0</v>
      </c>
      <c r="J2610" s="28">
        <v>0.0</v>
      </c>
      <c r="K2610" s="25" t="s">
        <v>25</v>
      </c>
      <c r="L2610" s="26">
        <v>4.0</v>
      </c>
      <c r="M2610" s="26">
        <v>2.0</v>
      </c>
      <c r="N2610" s="26">
        <v>1.0</v>
      </c>
      <c r="O2610" s="30"/>
      <c r="P2610" s="30"/>
      <c r="Q2610" s="35">
        <v>218.0</v>
      </c>
      <c r="R2610" s="32">
        <v>45163.0</v>
      </c>
      <c r="S2610" s="32">
        <v>44882.0</v>
      </c>
      <c r="T2610" s="29"/>
      <c r="U2610" s="33"/>
      <c r="V2610" s="1"/>
    </row>
    <row r="2611" ht="24.0" customHeight="1">
      <c r="A2611" s="1"/>
      <c r="B2611" s="24" t="str">
        <f>HYPERLINK("https://www.compass.com/listing/325-east-79th-street-unit-8d-manhattan-ny-10075/362936662841396209/view?agent_id=610d3f3370540700019b0833","325 East 79th Street, Unit 8D")</f>
        <v>325 East 79th Street, Unit 8D</v>
      </c>
      <c r="C2611" s="25" t="s">
        <v>364</v>
      </c>
      <c r="D2611" s="26" t="s">
        <v>23</v>
      </c>
      <c r="E2611" s="27" t="str">
        <f t="shared" si="61"/>
        <v>325 E 79th St</v>
      </c>
      <c r="F2611" s="25" t="s">
        <v>44</v>
      </c>
      <c r="G2611" s="28">
        <v>789000.0</v>
      </c>
      <c r="H2611" s="29"/>
      <c r="I2611" s="28">
        <v>1829.0</v>
      </c>
      <c r="J2611" s="28">
        <v>0.0</v>
      </c>
      <c r="K2611" s="25" t="s">
        <v>25</v>
      </c>
      <c r="L2611" s="26">
        <v>4.0</v>
      </c>
      <c r="M2611" s="26">
        <v>2.0</v>
      </c>
      <c r="N2611" s="26">
        <v>1.0</v>
      </c>
      <c r="O2611" s="26">
        <v>0.0</v>
      </c>
      <c r="P2611" s="30"/>
      <c r="Q2611" s="35">
        <v>176.0</v>
      </c>
      <c r="R2611" s="32">
        <v>44026.0</v>
      </c>
      <c r="S2611" s="32">
        <v>43755.0</v>
      </c>
      <c r="T2611" s="29"/>
      <c r="U2611" s="33"/>
      <c r="V2611" s="1"/>
    </row>
    <row r="2612" ht="24.0" customHeight="1">
      <c r="A2612" s="1"/>
      <c r="B2612" s="24" t="str">
        <f>HYPERLINK("https://www.compass.com/listing/508-east-78th-street-unit-6a-manhattan-ny-10075/560759786818604345/view?agent_id=610d3f3370540700019b0833","508 East 78th Street, Unit 6A")</f>
        <v>508 East 78th Street, Unit 6A</v>
      </c>
      <c r="C2612" s="25" t="s">
        <v>370</v>
      </c>
      <c r="D2612" s="26" t="s">
        <v>23</v>
      </c>
      <c r="E2612" s="27" t="str">
        <f>HYPERLINK("https://www.compass.com/building/the-cherokee-manhattan-ny/282044859194300837/","The Cherokee")</f>
        <v>The Cherokee</v>
      </c>
      <c r="F2612" s="25" t="s">
        <v>44</v>
      </c>
      <c r="G2612" s="28">
        <v>399500.0</v>
      </c>
      <c r="H2612" s="29"/>
      <c r="I2612" s="28">
        <v>1030.0</v>
      </c>
      <c r="J2612" s="28">
        <v>0.0</v>
      </c>
      <c r="K2612" s="25" t="s">
        <v>25</v>
      </c>
      <c r="L2612" s="26">
        <v>4.0</v>
      </c>
      <c r="M2612" s="26">
        <v>2.0</v>
      </c>
      <c r="N2612" s="26">
        <v>1.0</v>
      </c>
      <c r="O2612" s="26">
        <v>0.0</v>
      </c>
      <c r="P2612" s="30"/>
      <c r="Q2612" s="35">
        <v>173.0</v>
      </c>
      <c r="R2612" s="32">
        <v>44211.0</v>
      </c>
      <c r="S2612" s="32">
        <v>44027.0</v>
      </c>
      <c r="T2612" s="29"/>
      <c r="U2612" s="33"/>
      <c r="V2612" s="1"/>
    </row>
    <row r="2613" ht="24.0" customHeight="1">
      <c r="A2613" s="1"/>
      <c r="B2613" s="24" t="str">
        <f>HYPERLINK("https://www.compass.com/listing/507-east-80th-street-unit-8r-manhattan-ny-10075/1838947716990846633/view?agent_id=610d3f3370540700019b0833","507 East 80th Street, Unit 8R")</f>
        <v>507 East 80th Street, Unit 8R</v>
      </c>
      <c r="C2613" s="25" t="s">
        <v>364</v>
      </c>
      <c r="D2613" s="26" t="s">
        <v>23</v>
      </c>
      <c r="E2613" s="27" t="str">
        <f>HYPERLINK("https://www.compass.com/building/507-e-80th-st-manhattan-ny-10075/281929067429671701/","507 E 80th St")</f>
        <v>507 E 80th St</v>
      </c>
      <c r="F2613" s="25" t="s">
        <v>44</v>
      </c>
      <c r="G2613" s="28">
        <v>1595000.0</v>
      </c>
      <c r="H2613" s="28">
        <v>1181.0</v>
      </c>
      <c r="I2613" s="28">
        <v>1940.0</v>
      </c>
      <c r="J2613" s="28">
        <v>12000.0</v>
      </c>
      <c r="K2613" s="25" t="s">
        <v>28</v>
      </c>
      <c r="L2613" s="26">
        <v>4.0</v>
      </c>
      <c r="M2613" s="26">
        <v>2.0</v>
      </c>
      <c r="N2613" s="26">
        <v>0.0</v>
      </c>
      <c r="O2613" s="26">
        <v>0.0</v>
      </c>
      <c r="P2613" s="34">
        <v>1350.0</v>
      </c>
      <c r="Q2613" s="35">
        <v>87.0</v>
      </c>
      <c r="R2613" s="32">
        <v>45636.0</v>
      </c>
      <c r="S2613" s="32">
        <v>41886.0</v>
      </c>
      <c r="T2613" s="29"/>
      <c r="U2613" s="33"/>
      <c r="V2613" s="1"/>
    </row>
    <row r="2614" ht="24.0" customHeight="1">
      <c r="A2614" s="1"/>
      <c r="B2614" s="24" t="str">
        <f>HYPERLINK("https://www.compass.com/listing/206-a-bergen-street-brooklyn-ny-11217/496257184511468737/view?agent_id=610d3f3370540700019b0833","206 A Bergen Street")</f>
        <v>206 A Bergen Street</v>
      </c>
      <c r="C2614" s="25" t="s">
        <v>364</v>
      </c>
      <c r="D2614" s="26" t="s">
        <v>23</v>
      </c>
      <c r="E2614" s="27" t="str">
        <f>HYPERLINK("https://www.compass.com/building/206a-bergen-street-brooklyn-ny/282465387101060260/","206A Bergen Street")</f>
        <v>206A Bergen Street</v>
      </c>
      <c r="F2614" s="25" t="s">
        <v>102</v>
      </c>
      <c r="G2614" s="28">
        <v>1995000.0</v>
      </c>
      <c r="H2614" s="29"/>
      <c r="I2614" s="28">
        <v>362.0</v>
      </c>
      <c r="J2614" s="28">
        <v>4344.0</v>
      </c>
      <c r="K2614" s="25" t="s">
        <v>36</v>
      </c>
      <c r="L2614" s="26">
        <v>4.0</v>
      </c>
      <c r="M2614" s="26">
        <v>2.0</v>
      </c>
      <c r="N2614" s="26">
        <v>0.0</v>
      </c>
      <c r="O2614" s="26">
        <v>0.0</v>
      </c>
      <c r="P2614" s="30"/>
      <c r="Q2614" s="35">
        <v>0.0</v>
      </c>
      <c r="R2614" s="32">
        <v>43978.0</v>
      </c>
      <c r="S2614" s="32">
        <v>43936.0</v>
      </c>
      <c r="T2614" s="29"/>
      <c r="U2614" s="33"/>
      <c r="V2614" s="1"/>
    </row>
    <row r="2615" ht="24.0" customHeight="1">
      <c r="A2615" s="1"/>
      <c r="B2615" s="24" t="str">
        <f>HYPERLINK("https://www.compass.com/listing/107-west-25th-street-unit-5e-manhattan-ny-10001/29557569408256529/view?agent_id=610d3f3370540700019b0833","107 West 25th Street, Unit 5E")</f>
        <v>107 West 25th Street, Unit 5E</v>
      </c>
      <c r="C2615" s="25" t="s">
        <v>364</v>
      </c>
      <c r="D2615" s="26" t="s">
        <v>23</v>
      </c>
      <c r="E2615" s="27" t="str">
        <f>HYPERLINK("https://www.compass.com/building/107-w-25th-st-manhattan-ny-10001/281882376462663717/","107 W 25th St")</f>
        <v>107 W 25th St</v>
      </c>
      <c r="F2615" s="25" t="s">
        <v>27</v>
      </c>
      <c r="G2615" s="28">
        <v>1625000.0</v>
      </c>
      <c r="H2615" s="28">
        <v>1533.0</v>
      </c>
      <c r="I2615" s="28">
        <v>2314.0</v>
      </c>
      <c r="J2615" s="28">
        <v>0.0</v>
      </c>
      <c r="K2615" s="25" t="s">
        <v>25</v>
      </c>
      <c r="L2615" s="26">
        <v>4.0</v>
      </c>
      <c r="M2615" s="26">
        <v>2.0</v>
      </c>
      <c r="N2615" s="30"/>
      <c r="O2615" s="30"/>
      <c r="P2615" s="34">
        <v>1060.0</v>
      </c>
      <c r="Q2615" s="35">
        <v>283.0</v>
      </c>
      <c r="R2615" s="32">
        <v>43580.0</v>
      </c>
      <c r="S2615" s="32">
        <v>43297.0</v>
      </c>
      <c r="T2615" s="29"/>
      <c r="U2615" s="33"/>
      <c r="V2615" s="1"/>
    </row>
    <row r="2616" ht="24.0" customHeight="1">
      <c r="A2616" s="1"/>
      <c r="B2616" s="24" t="str">
        <f>HYPERLINK("https://www.compass.com/listing/51-walker-street-unit-6b-manhattan-ny-10013/50866166863805873/view?agent_id=610d3f3370540700019b0833","51 Walker Street, Unit 6B")</f>
        <v>51 Walker Street, Unit 6B</v>
      </c>
      <c r="C2616" s="25" t="s">
        <v>364</v>
      </c>
      <c r="D2616" s="26" t="s">
        <v>23</v>
      </c>
      <c r="E2616" s="27" t="str">
        <f>HYPERLINK("https://www.compass.com/building/walker-51-manhattan-ny/281920479608998565/","Walker 51")</f>
        <v>Walker 51</v>
      </c>
      <c r="F2616" s="25" t="s">
        <v>60</v>
      </c>
      <c r="G2616" s="28">
        <v>3170000.0</v>
      </c>
      <c r="H2616" s="28">
        <v>1931.0</v>
      </c>
      <c r="I2616" s="28">
        <v>3715.0</v>
      </c>
      <c r="J2616" s="28">
        <v>25704.0</v>
      </c>
      <c r="K2616" s="25" t="s">
        <v>28</v>
      </c>
      <c r="L2616" s="26">
        <v>4.0</v>
      </c>
      <c r="M2616" s="26">
        <v>2.0</v>
      </c>
      <c r="N2616" s="26">
        <v>0.0</v>
      </c>
      <c r="O2616" s="26">
        <v>0.0</v>
      </c>
      <c r="P2616" s="34">
        <v>1642.0</v>
      </c>
      <c r="Q2616" s="35">
        <v>310.0</v>
      </c>
      <c r="R2616" s="32">
        <v>45636.0</v>
      </c>
      <c r="S2616" s="32">
        <v>42459.0</v>
      </c>
      <c r="T2616" s="29"/>
      <c r="U2616" s="33"/>
      <c r="V2616" s="1"/>
    </row>
    <row r="2617" ht="24.0" customHeight="1">
      <c r="A2617" s="1"/>
      <c r="B2617" s="24" t="str">
        <f>HYPERLINK("https://www.compass.com/listing/56-leonard-street-unit-15bwest-manhattan-ny-10013/1838978858565890521/view?agent_id=610d3f3370540700019b0833","56 Leonard Street, Unit 15BWEST")</f>
        <v>56 Leonard Street, Unit 15BWEST</v>
      </c>
      <c r="C2617" s="25" t="s">
        <v>364</v>
      </c>
      <c r="D2617" s="26" t="s">
        <v>23</v>
      </c>
      <c r="E2617" s="27" t="str">
        <f>HYPERLINK("https://www.compass.com/building/56-leonard-manhattan-ny/319534437632753109/","56 Leonard")</f>
        <v>56 Leonard</v>
      </c>
      <c r="F2617" s="25" t="s">
        <v>60</v>
      </c>
      <c r="G2617" s="28">
        <v>5325000.0</v>
      </c>
      <c r="H2617" s="28">
        <v>3073.0</v>
      </c>
      <c r="I2617" s="28">
        <v>2817.0</v>
      </c>
      <c r="J2617" s="28">
        <v>10033.0</v>
      </c>
      <c r="K2617" s="25" t="s">
        <v>28</v>
      </c>
      <c r="L2617" s="26">
        <v>6.0</v>
      </c>
      <c r="M2617" s="26">
        <v>2.0</v>
      </c>
      <c r="N2617" s="26">
        <v>0.0</v>
      </c>
      <c r="O2617" s="26">
        <v>0.0</v>
      </c>
      <c r="P2617" s="34">
        <v>1733.0</v>
      </c>
      <c r="Q2617" s="35">
        <v>21.0</v>
      </c>
      <c r="R2617" s="32">
        <v>44581.0</v>
      </c>
      <c r="S2617" s="32">
        <v>43173.0</v>
      </c>
      <c r="T2617" s="29"/>
      <c r="U2617" s="33"/>
      <c r="V2617" s="1"/>
    </row>
    <row r="2618" ht="24.0" customHeight="1">
      <c r="A2618" s="1"/>
      <c r="B2618" s="24" t="str">
        <f>HYPERLINK("https://www.compass.com/listing/94-prospect-place-unit-2-brooklyn-ny-11217/342675118576542721/view?agent_id=610d3f3370540700019b0833","94 Prospect Place, Unit 2")</f>
        <v>94 Prospect Place, Unit 2</v>
      </c>
      <c r="C2618" s="25" t="s">
        <v>364</v>
      </c>
      <c r="D2618" s="26" t="s">
        <v>23</v>
      </c>
      <c r="E2618" s="27" t="str">
        <f>HYPERLINK("https://www.compass.com/building/94-prospect-pl-brooklyn-ny-11217/282507306325855173/","94 Prospect Pl")</f>
        <v>94 Prospect Pl</v>
      </c>
      <c r="F2618" s="25" t="s">
        <v>40</v>
      </c>
      <c r="G2618" s="28">
        <v>1195000.0</v>
      </c>
      <c r="H2618" s="28">
        <v>1305.0</v>
      </c>
      <c r="I2618" s="28">
        <v>77.0</v>
      </c>
      <c r="J2618" s="28">
        <v>924.0</v>
      </c>
      <c r="K2618" s="25" t="s">
        <v>28</v>
      </c>
      <c r="L2618" s="26">
        <v>4.0</v>
      </c>
      <c r="M2618" s="26">
        <v>2.0</v>
      </c>
      <c r="N2618" s="26">
        <v>1.0</v>
      </c>
      <c r="O2618" s="26">
        <v>0.0</v>
      </c>
      <c r="P2618" s="26">
        <v>916.0</v>
      </c>
      <c r="Q2618" s="35">
        <v>62.0</v>
      </c>
      <c r="R2618" s="32">
        <v>43801.0</v>
      </c>
      <c r="S2618" s="32">
        <v>43738.0</v>
      </c>
      <c r="T2618" s="29"/>
      <c r="U2618" s="33"/>
      <c r="V2618" s="1"/>
    </row>
    <row r="2619" ht="24.0" customHeight="1">
      <c r="A2619" s="1"/>
      <c r="B2619" s="24" t="str">
        <f>HYPERLINK("https://www.compass.com/listing/345-west-29th-street-unit-2-manhattan-ny-10001/1019917158812528433/view?agent_id=610d3f3370540700019b0833","345 West 29th Street, Unit 2")</f>
        <v>345 West 29th Street, Unit 2</v>
      </c>
      <c r="C2619" s="25" t="s">
        <v>365</v>
      </c>
      <c r="D2619" s="26" t="s">
        <v>23</v>
      </c>
      <c r="E2619" s="27" t="str">
        <f>HYPERLINK("https://www.compass.com/building/345-w-29th-st-manhattan-ny-10001/281883506106172693/","345 W 29th St")</f>
        <v>345 W 29th St</v>
      </c>
      <c r="F2619" s="25" t="s">
        <v>27</v>
      </c>
      <c r="G2619" s="28">
        <v>1295000.0</v>
      </c>
      <c r="H2619" s="29"/>
      <c r="I2619" s="28">
        <v>1175.0</v>
      </c>
      <c r="J2619" s="28">
        <v>0.0</v>
      </c>
      <c r="K2619" s="25" t="s">
        <v>25</v>
      </c>
      <c r="L2619" s="26">
        <v>5.0</v>
      </c>
      <c r="M2619" s="26">
        <v>2.0</v>
      </c>
      <c r="N2619" s="26">
        <v>1.0</v>
      </c>
      <c r="O2619" s="30"/>
      <c r="P2619" s="30"/>
      <c r="Q2619" s="35">
        <v>102.0</v>
      </c>
      <c r="R2619" s="32">
        <v>44761.0</v>
      </c>
      <c r="S2619" s="32">
        <v>44659.0</v>
      </c>
      <c r="T2619" s="29"/>
      <c r="U2619" s="33"/>
      <c r="V2619" s="1"/>
    </row>
    <row r="2620" ht="24.0" customHeight="1">
      <c r="A2620" s="1"/>
      <c r="B2620" s="24" t="str">
        <f>HYPERLINK("https://www.compass.com/listing/357-west-29th-street-unit-4b-manhattan-ny-10001/1118794537676238249/view?agent_id=610d3f3370540700019b0833","357 West 29th Street, Unit 4B")</f>
        <v>357 West 29th Street, Unit 4B</v>
      </c>
      <c r="C2620" s="25" t="s">
        <v>364</v>
      </c>
      <c r="D2620" s="26" t="s">
        <v>23</v>
      </c>
      <c r="E2620" s="27" t="str">
        <f t="shared" ref="E2620:E2622" si="62">HYPERLINK("https://www.compass.com/building/357-w-29th-st-manhattan-ny-10001/282066603472884837/","357 W 29th St")</f>
        <v>357 W 29th St</v>
      </c>
      <c r="F2620" s="25" t="s">
        <v>27</v>
      </c>
      <c r="G2620" s="28">
        <v>1550000.0</v>
      </c>
      <c r="H2620" s="29"/>
      <c r="I2620" s="28">
        <v>1392.0</v>
      </c>
      <c r="J2620" s="28">
        <v>0.0</v>
      </c>
      <c r="K2620" s="25" t="s">
        <v>25</v>
      </c>
      <c r="L2620" s="26">
        <v>4.0</v>
      </c>
      <c r="M2620" s="26">
        <v>2.0</v>
      </c>
      <c r="N2620" s="26">
        <v>1.0</v>
      </c>
      <c r="O2620" s="26">
        <v>0.0</v>
      </c>
      <c r="P2620" s="30"/>
      <c r="Q2620" s="35">
        <v>85.0</v>
      </c>
      <c r="R2620" s="32">
        <v>44881.0</v>
      </c>
      <c r="S2620" s="32">
        <v>44795.0</v>
      </c>
      <c r="T2620" s="29"/>
      <c r="U2620" s="33"/>
      <c r="V2620" s="1"/>
    </row>
    <row r="2621" ht="24.0" customHeight="1">
      <c r="A2621" s="1"/>
      <c r="B2621" s="24" t="str">
        <f>HYPERLINK("https://www.compass.com/listing/357-west-29th-street-unit-4b-manhattan-ny-10001/1257308601664763465/view?agent_id=610d3f3370540700019b0833","357 West 29th Street, Unit 4B")</f>
        <v>357 West 29th Street, Unit 4B</v>
      </c>
      <c r="C2621" s="25" t="s">
        <v>364</v>
      </c>
      <c r="D2621" s="26" t="s">
        <v>23</v>
      </c>
      <c r="E2621" s="27" t="str">
        <f t="shared" si="62"/>
        <v>357 W 29th St</v>
      </c>
      <c r="F2621" s="25" t="s">
        <v>27</v>
      </c>
      <c r="G2621" s="28">
        <v>1550000.0</v>
      </c>
      <c r="H2621" s="29"/>
      <c r="I2621" s="28">
        <v>1475.0</v>
      </c>
      <c r="J2621" s="28">
        <v>0.0</v>
      </c>
      <c r="K2621" s="25" t="s">
        <v>25</v>
      </c>
      <c r="L2621" s="26">
        <v>4.0</v>
      </c>
      <c r="M2621" s="26">
        <v>2.0</v>
      </c>
      <c r="N2621" s="26">
        <v>1.0</v>
      </c>
      <c r="O2621" s="26">
        <v>0.0</v>
      </c>
      <c r="P2621" s="30"/>
      <c r="Q2621" s="35">
        <v>274.0</v>
      </c>
      <c r="R2621" s="32">
        <v>45261.0</v>
      </c>
      <c r="S2621" s="32">
        <v>44986.0</v>
      </c>
      <c r="T2621" s="29"/>
      <c r="U2621" s="33"/>
      <c r="V2621" s="1"/>
    </row>
    <row r="2622" ht="24.0" customHeight="1">
      <c r="A2622" s="1"/>
      <c r="B2622" s="24" t="str">
        <f>HYPERLINK("https://www.compass.com/listing/357-west-29th-street-unit-4b-manhattan-ny-10001/1531062037425139681/view?agent_id=610d3f3370540700019b0833","357 West 29th Street, Unit 4B")</f>
        <v>357 West 29th Street, Unit 4B</v>
      </c>
      <c r="C2622" s="25" t="s">
        <v>365</v>
      </c>
      <c r="D2622" s="26" t="s">
        <v>23</v>
      </c>
      <c r="E2622" s="27" t="str">
        <f t="shared" si="62"/>
        <v>357 W 29th St</v>
      </c>
      <c r="F2622" s="25" t="s">
        <v>27</v>
      </c>
      <c r="G2622" s="28">
        <v>1575000.0</v>
      </c>
      <c r="H2622" s="29"/>
      <c r="I2622" s="28">
        <v>1475.0</v>
      </c>
      <c r="J2622" s="28">
        <v>0.0</v>
      </c>
      <c r="K2622" s="25" t="s">
        <v>25</v>
      </c>
      <c r="L2622" s="26">
        <v>4.0</v>
      </c>
      <c r="M2622" s="26">
        <v>2.0</v>
      </c>
      <c r="N2622" s="26">
        <v>1.0</v>
      </c>
      <c r="O2622" s="30"/>
      <c r="P2622" s="30"/>
      <c r="Q2622" s="35">
        <v>33.0</v>
      </c>
      <c r="R2622" s="32">
        <v>45397.0</v>
      </c>
      <c r="S2622" s="32">
        <v>45364.0</v>
      </c>
      <c r="T2622" s="29"/>
      <c r="U2622" s="33"/>
      <c r="V2622" s="1"/>
    </row>
    <row r="2623" ht="24.0" customHeight="1">
      <c r="A2623" s="1"/>
      <c r="B2623" s="24" t="str">
        <f>HYPERLINK("https://www.compass.com/listing/236-west-26th-street-unit-5sw-manhattan-ny-10001/297012406538651409/view?agent_id=610d3f3370540700019b0833","236 West 26th Street, Unit 5SW")</f>
        <v>236 West 26th Street, Unit 5SW</v>
      </c>
      <c r="C2623" s="25" t="s">
        <v>364</v>
      </c>
      <c r="D2623" s="26" t="s">
        <v>23</v>
      </c>
      <c r="E2623" s="27" t="str">
        <f>HYPERLINK("https://www.compass.com/building/236-w-26th-st-manhattan-ny-10001/281882883889562277/","236 W 26th St")</f>
        <v>236 W 26th St</v>
      </c>
      <c r="F2623" s="25" t="s">
        <v>27</v>
      </c>
      <c r="G2623" s="28">
        <v>1895000.0</v>
      </c>
      <c r="H2623" s="29"/>
      <c r="I2623" s="28">
        <v>1838.0</v>
      </c>
      <c r="J2623" s="28">
        <v>0.0</v>
      </c>
      <c r="K2623" s="25" t="s">
        <v>25</v>
      </c>
      <c r="L2623" s="26">
        <v>4.0</v>
      </c>
      <c r="M2623" s="26">
        <v>2.0</v>
      </c>
      <c r="N2623" s="26">
        <v>1.0</v>
      </c>
      <c r="O2623" s="30"/>
      <c r="P2623" s="30"/>
      <c r="Q2623" s="35">
        <v>43.0</v>
      </c>
      <c r="R2623" s="32">
        <v>43705.0</v>
      </c>
      <c r="S2623" s="32">
        <v>43661.0</v>
      </c>
      <c r="T2623" s="29"/>
      <c r="U2623" s="33"/>
      <c r="V2623" s="1"/>
    </row>
    <row r="2624" ht="24.0" customHeight="1">
      <c r="A2624" s="1"/>
      <c r="B2624" s="24" t="str">
        <f>HYPERLINK("https://www.compass.com/listing/345-west-29th-street-unit-2-manhattan-ny-10001/428991916366630113/view?agent_id=610d3f3370540700019b0833","345 West 29th Street, Unit 2")</f>
        <v>345 West 29th Street, Unit 2</v>
      </c>
      <c r="C2624" s="25" t="s">
        <v>365</v>
      </c>
      <c r="D2624" s="26" t="s">
        <v>23</v>
      </c>
      <c r="E2624" s="27" t="str">
        <f>HYPERLINK("https://www.compass.com/building/345-w-29th-st-manhattan-ny-10001/281883506106172693/","345 W 29th St")</f>
        <v>345 W 29th St</v>
      </c>
      <c r="F2624" s="25" t="s">
        <v>27</v>
      </c>
      <c r="G2624" s="28">
        <v>1250000.0</v>
      </c>
      <c r="H2624" s="28">
        <v>1250.0</v>
      </c>
      <c r="I2624" s="28">
        <v>1175.0</v>
      </c>
      <c r="J2624" s="28">
        <v>0.0</v>
      </c>
      <c r="K2624" s="25" t="s">
        <v>25</v>
      </c>
      <c r="L2624" s="26">
        <v>4.0</v>
      </c>
      <c r="M2624" s="26">
        <v>2.0</v>
      </c>
      <c r="N2624" s="26">
        <v>1.0</v>
      </c>
      <c r="O2624" s="26">
        <v>0.0</v>
      </c>
      <c r="P2624" s="34">
        <v>1000.0</v>
      </c>
      <c r="Q2624" s="35">
        <v>154.0</v>
      </c>
      <c r="R2624" s="32">
        <v>44114.0</v>
      </c>
      <c r="S2624" s="32">
        <v>43866.0</v>
      </c>
      <c r="T2624" s="29"/>
      <c r="U2624" s="33"/>
      <c r="V2624" s="1"/>
    </row>
    <row r="2625" ht="24.0" customHeight="1">
      <c r="A2625" s="1"/>
      <c r="B2625" s="24" t="str">
        <f>HYPERLINK("https://www.compass.com/listing/155-west-66th-street-unit-829831-manhattan-ny-10023/4852287431413602193/view?agent_id=610d3f3370540700019b0833","155 West 66th Street, Unit 829831")</f>
        <v>155 West 66th Street, Unit 829831</v>
      </c>
      <c r="C2625" s="25" t="s">
        <v>370</v>
      </c>
      <c r="D2625" s="26" t="s">
        <v>23</v>
      </c>
      <c r="E2625" s="27" t="str">
        <f t="shared" ref="E2625:E2626" si="63">HYPERLINK("https://www.compass.com/building/the-phillips-club-manhattan-ny/281957527074185029/","The Phillips Club")</f>
        <v>The Phillips Club</v>
      </c>
      <c r="F2625" s="25" t="s">
        <v>29</v>
      </c>
      <c r="G2625" s="28">
        <v>349000.0</v>
      </c>
      <c r="H2625" s="28">
        <v>285.0</v>
      </c>
      <c r="I2625" s="28">
        <v>914.0</v>
      </c>
      <c r="J2625" s="28">
        <v>2088.0</v>
      </c>
      <c r="K2625" s="25" t="s">
        <v>28</v>
      </c>
      <c r="L2625" s="26">
        <v>4.0</v>
      </c>
      <c r="M2625" s="26">
        <v>2.0</v>
      </c>
      <c r="N2625" s="26">
        <v>0.0</v>
      </c>
      <c r="O2625" s="26">
        <v>0.0</v>
      </c>
      <c r="P2625" s="34">
        <v>1226.0</v>
      </c>
      <c r="Q2625" s="35">
        <v>0.0</v>
      </c>
      <c r="R2625" s="32">
        <v>44581.0</v>
      </c>
      <c r="S2625" s="32">
        <v>41538.0</v>
      </c>
      <c r="T2625" s="29"/>
      <c r="U2625" s="33"/>
      <c r="V2625" s="1"/>
    </row>
    <row r="2626" ht="24.0" customHeight="1">
      <c r="A2626" s="1"/>
      <c r="B2626" s="24" t="str">
        <f>HYPERLINK("https://www.compass.com/listing/155-west-66th-street-unit-829831-manhattan-ny-10023/4852287431413602209/view?agent_id=610d3f3370540700019b0833","155 West 66th Street, Unit 829831")</f>
        <v>155 West 66th Street, Unit 829831</v>
      </c>
      <c r="C2626" s="25" t="s">
        <v>370</v>
      </c>
      <c r="D2626" s="26" t="s">
        <v>23</v>
      </c>
      <c r="E2626" s="27" t="str">
        <f t="shared" si="63"/>
        <v>The Phillips Club</v>
      </c>
      <c r="F2626" s="25" t="s">
        <v>29</v>
      </c>
      <c r="G2626" s="28">
        <v>370000.0</v>
      </c>
      <c r="H2626" s="28">
        <v>302.0</v>
      </c>
      <c r="I2626" s="28">
        <v>914.0</v>
      </c>
      <c r="J2626" s="28">
        <v>2088.0</v>
      </c>
      <c r="K2626" s="25" t="s">
        <v>28</v>
      </c>
      <c r="L2626" s="26">
        <v>4.0</v>
      </c>
      <c r="M2626" s="26">
        <v>2.0</v>
      </c>
      <c r="N2626" s="26">
        <v>0.0</v>
      </c>
      <c r="O2626" s="26">
        <v>0.0</v>
      </c>
      <c r="P2626" s="34">
        <v>1226.0</v>
      </c>
      <c r="Q2626" s="35">
        <v>0.0</v>
      </c>
      <c r="R2626" s="32">
        <v>44581.0</v>
      </c>
      <c r="S2626" s="32">
        <v>41538.0</v>
      </c>
      <c r="T2626" s="29"/>
      <c r="U2626" s="33"/>
      <c r="V2626" s="1"/>
    </row>
    <row r="2627" ht="24.0" customHeight="1">
      <c r="A2627" s="1"/>
      <c r="B2627" s="24" t="str">
        <f>HYPERLINK("https://www.compass.com/listing/200-east-69th-street-unit-34a-manhattan-ny-10021/1838914418193076297/view?agent_id=610d3f3370540700019b0833","200 East 69th Street, Unit 34A")</f>
        <v>200 East 69th Street, Unit 34A</v>
      </c>
      <c r="C2627" s="25" t="s">
        <v>364</v>
      </c>
      <c r="D2627" s="26" t="s">
        <v>23</v>
      </c>
      <c r="E2627" s="27" t="str">
        <f>HYPERLINK("https://www.compass.com/building/200-e-69th-st-condominium-manhattan-ny/294847340368197509/","200 E 69th St Condominium")</f>
        <v>200 E 69th St Condominium</v>
      </c>
      <c r="F2627" s="25" t="s">
        <v>64</v>
      </c>
      <c r="G2627" s="28">
        <v>3650000.0</v>
      </c>
      <c r="H2627" s="28">
        <v>2605.0</v>
      </c>
      <c r="I2627" s="28">
        <v>4457.0</v>
      </c>
      <c r="J2627" s="28">
        <v>25596.0</v>
      </c>
      <c r="K2627" s="25" t="s">
        <v>28</v>
      </c>
      <c r="L2627" s="26">
        <v>4.0</v>
      </c>
      <c r="M2627" s="26">
        <v>2.0</v>
      </c>
      <c r="N2627" s="26">
        <v>0.0</v>
      </c>
      <c r="O2627" s="26">
        <v>0.0</v>
      </c>
      <c r="P2627" s="34">
        <v>1401.0</v>
      </c>
      <c r="Q2627" s="35">
        <v>14.0</v>
      </c>
      <c r="R2627" s="32">
        <v>44581.0</v>
      </c>
      <c r="S2627" s="32">
        <v>42906.0</v>
      </c>
      <c r="T2627" s="29"/>
      <c r="U2627" s="33"/>
      <c r="V2627" s="1"/>
    </row>
    <row r="2628" ht="24.0" customHeight="1">
      <c r="A2628" s="1"/>
      <c r="B2628" s="24" t="str">
        <f>HYPERLINK("https://www.compass.com/listing/66-leonard-street-unit-12d-manhattan-ny-10013/50878468723873377/view?agent_id=610d3f3370540700019b0833","66 Leonard Street, Unit 12D")</f>
        <v>66 Leonard Street, Unit 12D</v>
      </c>
      <c r="C2628" s="25" t="s">
        <v>364</v>
      </c>
      <c r="D2628" s="26" t="s">
        <v>23</v>
      </c>
      <c r="E2628" s="27" t="str">
        <f>HYPERLINK("https://www.compass.com/building/textile-building-manhattan-ny/281921027796143269/","Textile Building")</f>
        <v>Textile Building</v>
      </c>
      <c r="F2628" s="25" t="s">
        <v>60</v>
      </c>
      <c r="G2628" s="28">
        <v>3700000.0</v>
      </c>
      <c r="H2628" s="28">
        <v>2079.0</v>
      </c>
      <c r="I2628" s="28">
        <v>3403.0</v>
      </c>
      <c r="J2628" s="28">
        <v>20592.0</v>
      </c>
      <c r="K2628" s="25" t="s">
        <v>28</v>
      </c>
      <c r="L2628" s="26">
        <v>4.0</v>
      </c>
      <c r="M2628" s="26">
        <v>2.0</v>
      </c>
      <c r="N2628" s="26">
        <v>0.0</v>
      </c>
      <c r="O2628" s="26">
        <v>0.0</v>
      </c>
      <c r="P2628" s="34">
        <v>1780.0</v>
      </c>
      <c r="Q2628" s="35">
        <v>35.0</v>
      </c>
      <c r="R2628" s="32">
        <v>45636.0</v>
      </c>
      <c r="S2628" s="32">
        <v>42885.0</v>
      </c>
      <c r="T2628" s="29"/>
      <c r="U2628" s="33"/>
      <c r="V2628" s="1"/>
    </row>
    <row r="2629" ht="24.0" customHeight="1">
      <c r="A2629" s="1"/>
      <c r="B2629" s="24" t="str">
        <f>HYPERLINK("https://www.compass.com/listing/325-east-79th-street-unit-1d-manhattan-ny-10075/212262430078688945/view?agent_id=610d3f3370540700019b0833","325 East 79th Street, Unit 1D")</f>
        <v>325 East 79th Street, Unit 1D</v>
      </c>
      <c r="C2629" s="25" t="s">
        <v>370</v>
      </c>
      <c r="D2629" s="26" t="s">
        <v>23</v>
      </c>
      <c r="E2629" s="27" t="str">
        <f>HYPERLINK("https://www.compass.com/building/325-e-79th-st-manhattan-ny-10075/282044029913290629/","325 E 79th St")</f>
        <v>325 E 79th St</v>
      </c>
      <c r="F2629" s="25" t="s">
        <v>44</v>
      </c>
      <c r="G2629" s="28">
        <v>775000.0</v>
      </c>
      <c r="H2629" s="29"/>
      <c r="I2629" s="28">
        <v>1916.0</v>
      </c>
      <c r="J2629" s="28">
        <v>0.0</v>
      </c>
      <c r="K2629" s="25" t="s">
        <v>25</v>
      </c>
      <c r="L2629" s="26">
        <v>4.0</v>
      </c>
      <c r="M2629" s="26">
        <v>2.0</v>
      </c>
      <c r="N2629" s="26">
        <v>1.0</v>
      </c>
      <c r="O2629" s="26">
        <v>0.0</v>
      </c>
      <c r="P2629" s="30"/>
      <c r="Q2629" s="35">
        <v>103.0</v>
      </c>
      <c r="R2629" s="32">
        <v>43915.0</v>
      </c>
      <c r="S2629" s="32">
        <v>43544.0</v>
      </c>
      <c r="T2629" s="29"/>
      <c r="U2629" s="33"/>
      <c r="V2629" s="1"/>
    </row>
    <row r="2630" ht="24.0" customHeight="1">
      <c r="A2630" s="1"/>
      <c r="B2630" s="24" t="str">
        <f>HYPERLINK("https://www.compass.com/listing/66-72-st-nicholas-avenue-unit-3g-manhattan-ny-10026/1871800750103436505/view?agent_id=610d3f3370540700019b0833","66-72 St Nicholas Avenue, Unit 3G")</f>
        <v>66-72 St Nicholas Avenue, Unit 3G</v>
      </c>
      <c r="C2630" s="25" t="s">
        <v>365</v>
      </c>
      <c r="D2630" s="26" t="s">
        <v>23</v>
      </c>
      <c r="E2630" s="27" t="str">
        <f>HYPERLINK("https://www.compass.com/building/66-72-st-nicholas-ave-manhattan-ny-10026/441179857150443261/","66-72 St Nicholas Ave")</f>
        <v>66-72 St Nicholas Ave</v>
      </c>
      <c r="F2630" s="25" t="s">
        <v>45</v>
      </c>
      <c r="G2630" s="28">
        <v>650000.0</v>
      </c>
      <c r="H2630" s="28">
        <v>747.0</v>
      </c>
      <c r="I2630" s="28">
        <v>1094.0</v>
      </c>
      <c r="J2630" s="28">
        <v>5232.0</v>
      </c>
      <c r="K2630" s="25" t="s">
        <v>28</v>
      </c>
      <c r="L2630" s="26">
        <v>4.0</v>
      </c>
      <c r="M2630" s="26">
        <v>2.0</v>
      </c>
      <c r="N2630" s="26">
        <v>1.0</v>
      </c>
      <c r="O2630" s="26">
        <v>0.0</v>
      </c>
      <c r="P2630" s="26">
        <v>870.0</v>
      </c>
      <c r="Q2630" s="35">
        <v>18.0</v>
      </c>
      <c r="R2630" s="32">
        <v>45852.0</v>
      </c>
      <c r="S2630" s="32">
        <v>45834.0</v>
      </c>
      <c r="T2630" s="29"/>
      <c r="U2630" s="33"/>
      <c r="V2630" s="1"/>
    </row>
    <row r="2631" ht="24.0" customHeight="1">
      <c r="A2631" s="1"/>
      <c r="B2631" s="24" t="str">
        <f>HYPERLINK("https://www.compass.com/listing/58-walker-street-unit-ph-manhattan-ny-10013/4852306488284158145/view?agent_id=610d3f3370540700019b0833","58 Walker Street, Unit PH")</f>
        <v>58 Walker Street, Unit PH</v>
      </c>
      <c r="C2631" s="25" t="s">
        <v>364</v>
      </c>
      <c r="D2631" s="26" t="s">
        <v>23</v>
      </c>
      <c r="E2631" s="27" t="str">
        <f>HYPERLINK("https://www.compass.com/building/58-walker-st-manhattan-ny-10013/281920876943804885/","58 Walker St")</f>
        <v>58 Walker St</v>
      </c>
      <c r="F2631" s="25" t="s">
        <v>60</v>
      </c>
      <c r="G2631" s="28">
        <v>5149000.0</v>
      </c>
      <c r="H2631" s="28">
        <v>2435.0</v>
      </c>
      <c r="I2631" s="28">
        <v>2208.0</v>
      </c>
      <c r="J2631" s="28">
        <v>12024.0</v>
      </c>
      <c r="K2631" s="25" t="s">
        <v>28</v>
      </c>
      <c r="L2631" s="26">
        <v>6.0</v>
      </c>
      <c r="M2631" s="26">
        <v>2.0</v>
      </c>
      <c r="N2631" s="26">
        <v>0.0</v>
      </c>
      <c r="O2631" s="26">
        <v>0.0</v>
      </c>
      <c r="P2631" s="34">
        <v>2115.0</v>
      </c>
      <c r="Q2631" s="35">
        <v>176.0</v>
      </c>
      <c r="R2631" s="32">
        <v>45636.0</v>
      </c>
      <c r="S2631" s="32">
        <v>41450.0</v>
      </c>
      <c r="T2631" s="29"/>
      <c r="U2631" s="33"/>
      <c r="V2631" s="1"/>
    </row>
    <row r="2632" ht="24.0" customHeight="1">
      <c r="A2632" s="1"/>
      <c r="B2632" s="24" t="str">
        <f>HYPERLINK("https://www.compass.com/listing/55-east-76th-street-unit-one-d-manhattan-ny-10021/1563237578061100905/view?agent_id=610d3f3370540700019b0833","55 East 76th Street, Unit ONE D")</f>
        <v>55 East 76th Street, Unit ONE D</v>
      </c>
      <c r="C2632" s="25" t="s">
        <v>364</v>
      </c>
      <c r="D2632" s="26" t="s">
        <v>23</v>
      </c>
      <c r="E2632" s="27" t="str">
        <f>HYPERLINK("https://www.compass.com/building/55-e-76th-st-manhattan-ny-10021/307446726931453973/","55 E 76th St")</f>
        <v>55 E 76th St</v>
      </c>
      <c r="F2632" s="25" t="s">
        <v>64</v>
      </c>
      <c r="G2632" s="28">
        <v>899000.0</v>
      </c>
      <c r="H2632" s="29"/>
      <c r="I2632" s="28">
        <v>1884.0</v>
      </c>
      <c r="J2632" s="28">
        <v>22608.0</v>
      </c>
      <c r="K2632" s="25" t="s">
        <v>25</v>
      </c>
      <c r="L2632" s="26">
        <v>5.0</v>
      </c>
      <c r="M2632" s="26">
        <v>2.0</v>
      </c>
      <c r="N2632" s="26">
        <v>1.0</v>
      </c>
      <c r="O2632" s="26">
        <v>0.0</v>
      </c>
      <c r="P2632" s="30"/>
      <c r="Q2632" s="35">
        <v>186.0</v>
      </c>
      <c r="R2632" s="32">
        <v>45594.0</v>
      </c>
      <c r="S2632" s="32">
        <v>45408.0</v>
      </c>
      <c r="T2632" s="29"/>
      <c r="U2632" s="33"/>
      <c r="V2632" s="1"/>
    </row>
    <row r="2633" ht="24.0" customHeight="1">
      <c r="A2633" s="1"/>
      <c r="B2633" s="24" t="str">
        <f>HYPERLINK("https://www.compass.com/listing/939-union-street-unit-8a-brooklyn-ny-11217/1091472410152125905/view?agent_id=610d3f3370540700019b0833","939 Union Street, Unit 8A")</f>
        <v>939 Union Street, Unit 8A</v>
      </c>
      <c r="C2633" s="25" t="s">
        <v>370</v>
      </c>
      <c r="D2633" s="26" t="s">
        <v>23</v>
      </c>
      <c r="E2633" s="27" t="str">
        <f>HYPERLINK("https://www.compass.com/building/939-union-st-brooklyn-ny-11217/455665485179407901/","939 Union St")</f>
        <v>939 Union St</v>
      </c>
      <c r="F2633" s="25" t="s">
        <v>40</v>
      </c>
      <c r="G2633" s="28">
        <v>1420000.0</v>
      </c>
      <c r="H2633" s="28">
        <v>1162.0</v>
      </c>
      <c r="I2633" s="28">
        <v>1400.0</v>
      </c>
      <c r="J2633" s="28">
        <v>2820.0</v>
      </c>
      <c r="K2633" s="25" t="s">
        <v>28</v>
      </c>
      <c r="L2633" s="26">
        <v>5.0</v>
      </c>
      <c r="M2633" s="26">
        <v>2.0</v>
      </c>
      <c r="N2633" s="26">
        <v>0.0</v>
      </c>
      <c r="O2633" s="26">
        <v>0.0</v>
      </c>
      <c r="P2633" s="34">
        <v>1222.0</v>
      </c>
      <c r="Q2633" s="35">
        <v>16.0</v>
      </c>
      <c r="R2633" s="32">
        <v>45636.0</v>
      </c>
      <c r="S2633" s="32">
        <v>42921.0</v>
      </c>
      <c r="T2633" s="29"/>
      <c r="U2633" s="33"/>
      <c r="V2633" s="1"/>
    </row>
    <row r="2634" ht="24.0" customHeight="1">
      <c r="A2634" s="1"/>
      <c r="B2634" s="24" t="str">
        <f>HYPERLINK("https://www.compass.com/listing/94-prospect-place-unit-2-brooklyn-ny-11217/327428977602004945/view?agent_id=610d3f3370540700019b0833","94 Prospect Place, Unit 2")</f>
        <v>94 Prospect Place, Unit 2</v>
      </c>
      <c r="C2634" s="25" t="s">
        <v>364</v>
      </c>
      <c r="D2634" s="26" t="s">
        <v>23</v>
      </c>
      <c r="E2634" s="27" t="str">
        <f>HYPERLINK("https://www.compass.com/building/94-prospect-pl-brooklyn-ny-11217/282507306325855173/","94 Prospect Pl")</f>
        <v>94 Prospect Pl</v>
      </c>
      <c r="F2634" s="25" t="s">
        <v>40</v>
      </c>
      <c r="G2634" s="28">
        <v>1300000.0</v>
      </c>
      <c r="H2634" s="28">
        <v>1419.0</v>
      </c>
      <c r="I2634" s="28">
        <v>77.0</v>
      </c>
      <c r="J2634" s="28">
        <v>924.0</v>
      </c>
      <c r="K2634" s="25" t="s">
        <v>28</v>
      </c>
      <c r="L2634" s="26">
        <v>3.0</v>
      </c>
      <c r="M2634" s="26">
        <v>2.0</v>
      </c>
      <c r="N2634" s="26">
        <v>1.0</v>
      </c>
      <c r="O2634" s="26">
        <v>0.0</v>
      </c>
      <c r="P2634" s="26">
        <v>916.0</v>
      </c>
      <c r="Q2634" s="35">
        <v>9.0</v>
      </c>
      <c r="R2634" s="32">
        <v>43902.0</v>
      </c>
      <c r="S2634" s="32">
        <v>43712.0</v>
      </c>
      <c r="T2634" s="29"/>
      <c r="U2634" s="33"/>
      <c r="V2634" s="1"/>
    </row>
    <row r="2635" ht="24.0" customHeight="1">
      <c r="A2635" s="1"/>
      <c r="B2635" s="24" t="str">
        <f>HYPERLINK("https://www.compass.com/listing/404-east-76th-street-unit-19c-manhattan-ny-10021/920952663776737113/view?agent_id=610d3f3370540700019b0833","404 East 76th Street, Unit 19C")</f>
        <v>404 East 76th Street, Unit 19C</v>
      </c>
      <c r="C2635" s="25" t="s">
        <v>364</v>
      </c>
      <c r="D2635" s="26" t="s">
        <v>23</v>
      </c>
      <c r="E2635" s="27" t="str">
        <f>HYPERLINK("https://www.compass.com/building/the-impala-manhattan-ny/281951031204577285/","The Impala")</f>
        <v>The Impala</v>
      </c>
      <c r="F2635" s="25" t="s">
        <v>64</v>
      </c>
      <c r="G2635" s="28">
        <v>1400000.0</v>
      </c>
      <c r="H2635" s="28">
        <v>1251.0</v>
      </c>
      <c r="I2635" s="28">
        <v>3120.0</v>
      </c>
      <c r="J2635" s="28">
        <v>21120.0</v>
      </c>
      <c r="K2635" s="25" t="s">
        <v>28</v>
      </c>
      <c r="L2635" s="26">
        <v>4.0</v>
      </c>
      <c r="M2635" s="26">
        <v>2.0</v>
      </c>
      <c r="N2635" s="26">
        <v>0.0</v>
      </c>
      <c r="O2635" s="26">
        <v>0.0</v>
      </c>
      <c r="P2635" s="34">
        <v>1119.0</v>
      </c>
      <c r="Q2635" s="35">
        <v>32.0</v>
      </c>
      <c r="R2635" s="32">
        <v>45636.0</v>
      </c>
      <c r="S2635" s="32">
        <v>42090.0</v>
      </c>
      <c r="T2635" s="29"/>
      <c r="U2635" s="33"/>
      <c r="V2635" s="1"/>
    </row>
    <row r="2636" ht="24.0" customHeight="1">
      <c r="A2636" s="1"/>
      <c r="B2636" s="24" t="str">
        <f>HYPERLINK("https://www.compass.com/listing/161-north-4th-street-unit-4a-brooklyn-ny-11211/849046914288183857/view?agent_id=610d3f3370540700019b0833","161 North 4th Street, Unit 4A")</f>
        <v>161 North 4th Street, Unit 4A</v>
      </c>
      <c r="C2636" s="25" t="s">
        <v>364</v>
      </c>
      <c r="D2636" s="26" t="s">
        <v>23</v>
      </c>
      <c r="E2636" s="27" t="str">
        <f>HYPERLINK("https://www.compass.com/building/nforth-brooklyn-ny/282404852036875877/","nforth")</f>
        <v>nforth</v>
      </c>
      <c r="F2636" s="25" t="s">
        <v>46</v>
      </c>
      <c r="G2636" s="28">
        <v>2199000.0</v>
      </c>
      <c r="H2636" s="28">
        <v>1710.0</v>
      </c>
      <c r="I2636" s="28">
        <v>1170.0</v>
      </c>
      <c r="J2636" s="28">
        <v>1527.0</v>
      </c>
      <c r="K2636" s="25" t="s">
        <v>28</v>
      </c>
      <c r="L2636" s="26">
        <v>5.0</v>
      </c>
      <c r="M2636" s="26">
        <v>2.0</v>
      </c>
      <c r="N2636" s="26">
        <v>0.0</v>
      </c>
      <c r="O2636" s="26">
        <v>0.0</v>
      </c>
      <c r="P2636" s="34">
        <v>1286.0</v>
      </c>
      <c r="Q2636" s="35">
        <v>47.0</v>
      </c>
      <c r="R2636" s="32">
        <v>45636.0</v>
      </c>
      <c r="S2636" s="32">
        <v>42978.0</v>
      </c>
      <c r="T2636" s="29"/>
      <c r="U2636" s="33"/>
      <c r="V2636" s="1"/>
    </row>
    <row r="2637" ht="24.0" customHeight="1">
      <c r="A2637" s="1"/>
      <c r="B2637" s="24" t="str">
        <f>HYPERLINK("https://www.compass.com/listing/200-west-end-avenue-unit-9c-manhattan-ny-10023/1809614492535309289/view?agent_id=610d3f3370540700019b0833","200 West End Avenue, Unit 9C")</f>
        <v>200 West End Avenue, Unit 9C</v>
      </c>
      <c r="C2637" s="25" t="s">
        <v>364</v>
      </c>
      <c r="D2637" s="26" t="s">
        <v>23</v>
      </c>
      <c r="E2637" s="27" t="str">
        <f>HYPERLINK("https://www.compass.com/building/200-west-end-ave-manhattan-ny-10023/281958222825331077/","200 West End Ave")</f>
        <v>200 West End Ave</v>
      </c>
      <c r="F2637" s="25" t="s">
        <v>29</v>
      </c>
      <c r="G2637" s="28">
        <v>1650000.0</v>
      </c>
      <c r="H2637" s="28">
        <v>1153.0</v>
      </c>
      <c r="I2637" s="28">
        <v>1056.0</v>
      </c>
      <c r="J2637" s="28">
        <v>852.0</v>
      </c>
      <c r="K2637" s="25" t="s">
        <v>28</v>
      </c>
      <c r="L2637" s="26">
        <v>5.0</v>
      </c>
      <c r="M2637" s="26">
        <v>2.0</v>
      </c>
      <c r="N2637" s="26">
        <v>0.0</v>
      </c>
      <c r="O2637" s="26">
        <v>0.0</v>
      </c>
      <c r="P2637" s="34">
        <v>1431.0</v>
      </c>
      <c r="Q2637" s="35">
        <v>0.0</v>
      </c>
      <c r="R2637" s="32">
        <v>44581.0</v>
      </c>
      <c r="S2637" s="32">
        <v>41537.0</v>
      </c>
      <c r="T2637" s="29"/>
      <c r="U2637" s="33"/>
      <c r="V2637" s="1"/>
    </row>
    <row r="2638" ht="24.0" customHeight="1">
      <c r="A2638" s="1"/>
      <c r="B2638" s="24" t="str">
        <f>HYPERLINK("https://www.compass.com/listing/395-broadway-unit-7e-manhattan-ny-10013/745509419328352217/view?agent_id=610d3f3370540700019b0833","395 Broadway, Unit 7E")</f>
        <v>395 Broadway, Unit 7E</v>
      </c>
      <c r="C2638" s="25" t="s">
        <v>365</v>
      </c>
      <c r="D2638" s="26" t="s">
        <v>23</v>
      </c>
      <c r="E2638" s="27" t="str">
        <f>HYPERLINK("https://www.compass.com/building/395-broadway-manhattan-ny-10013/281919466994961765/","395 Broadway")</f>
        <v>395 Broadway</v>
      </c>
      <c r="F2638" s="25" t="s">
        <v>60</v>
      </c>
      <c r="G2638" s="28">
        <v>1695000.0</v>
      </c>
      <c r="H2638" s="29"/>
      <c r="I2638" s="28">
        <v>2934.0</v>
      </c>
      <c r="J2638" s="28">
        <v>24802.0</v>
      </c>
      <c r="K2638" s="25" t="s">
        <v>28</v>
      </c>
      <c r="L2638" s="26">
        <v>3.0</v>
      </c>
      <c r="M2638" s="26">
        <v>2.0</v>
      </c>
      <c r="N2638" s="26">
        <v>1.0</v>
      </c>
      <c r="O2638" s="30"/>
      <c r="P2638" s="30"/>
      <c r="Q2638" s="35">
        <v>108.0</v>
      </c>
      <c r="R2638" s="32">
        <v>44389.0</v>
      </c>
      <c r="S2638" s="32">
        <v>44280.0</v>
      </c>
      <c r="T2638" s="29"/>
      <c r="U2638" s="33"/>
      <c r="V2638" s="1"/>
    </row>
    <row r="2639" ht="24.0" customHeight="1">
      <c r="A2639" s="1"/>
      <c r="B2639" s="24" t="str">
        <f>HYPERLINK("https://www.compass.com/listing/206-east-73rd-street-unit-4e-manhattan-ny-10021/921071225048075553/view?agent_id=610d3f3370540700019b0833","206 East 73rd Street, Unit 4E")</f>
        <v>206 East 73rd Street, Unit 4E</v>
      </c>
      <c r="C2639" s="25" t="s">
        <v>364</v>
      </c>
      <c r="D2639" s="26" t="s">
        <v>23</v>
      </c>
      <c r="E2639" s="27" t="str">
        <f>HYPERLINK("https://www.compass.com/building/blanca-lofts-manhattan-ny/292851684600780709/","Blanca Lofts")</f>
        <v>Blanca Lofts</v>
      </c>
      <c r="F2639" s="25" t="s">
        <v>64</v>
      </c>
      <c r="G2639" s="28">
        <v>2775000.0</v>
      </c>
      <c r="H2639" s="28">
        <v>1699.0</v>
      </c>
      <c r="I2639" s="28">
        <v>2787.0</v>
      </c>
      <c r="J2639" s="28">
        <v>8772.0</v>
      </c>
      <c r="K2639" s="25" t="s">
        <v>28</v>
      </c>
      <c r="L2639" s="26">
        <v>4.0</v>
      </c>
      <c r="M2639" s="26">
        <v>2.0</v>
      </c>
      <c r="N2639" s="26">
        <v>0.0</v>
      </c>
      <c r="O2639" s="26">
        <v>0.0</v>
      </c>
      <c r="P2639" s="34">
        <v>1633.0</v>
      </c>
      <c r="Q2639" s="35">
        <v>191.0</v>
      </c>
      <c r="R2639" s="32">
        <v>45636.0</v>
      </c>
      <c r="S2639" s="32">
        <v>42445.0</v>
      </c>
      <c r="T2639" s="29"/>
      <c r="U2639" s="33"/>
      <c r="V2639" s="1"/>
    </row>
    <row r="2640" ht="24.0" customHeight="1">
      <c r="A2640" s="1"/>
      <c r="B2640" s="24" t="str">
        <f>HYPERLINK("https://www.compass.com/listing/180-woodpoint-road-unit-1l-brooklyn-ny-11211/1042827920533540361/view?agent_id=610d3f3370540700019b0833","180 Woodpoint Road, Unit 1L")</f>
        <v>180 Woodpoint Road, Unit 1L</v>
      </c>
      <c r="C2640" s="25" t="s">
        <v>364</v>
      </c>
      <c r="D2640" s="26" t="s">
        <v>23</v>
      </c>
      <c r="E2640" s="27" t="str">
        <f>HYPERLINK("https://www.compass.com/building/180-woodpoint-rd-brooklyn-ny-11211/282398267591952533/","180 Woodpoint Rd")</f>
        <v>180 Woodpoint Rd</v>
      </c>
      <c r="F2640" s="25" t="s">
        <v>46</v>
      </c>
      <c r="G2640" s="28">
        <v>1125000.0</v>
      </c>
      <c r="H2640" s="28">
        <v>1036.0</v>
      </c>
      <c r="I2640" s="28">
        <v>691.0</v>
      </c>
      <c r="J2640" s="28">
        <v>2813.0</v>
      </c>
      <c r="K2640" s="25" t="s">
        <v>28</v>
      </c>
      <c r="L2640" s="26">
        <v>4.0</v>
      </c>
      <c r="M2640" s="26">
        <v>2.0</v>
      </c>
      <c r="N2640" s="26">
        <v>1.0</v>
      </c>
      <c r="O2640" s="30"/>
      <c r="P2640" s="34">
        <v>1086.0</v>
      </c>
      <c r="Q2640" s="35">
        <v>207.0</v>
      </c>
      <c r="R2640" s="32">
        <v>44900.0</v>
      </c>
      <c r="S2640" s="32">
        <v>44693.0</v>
      </c>
      <c r="T2640" s="29"/>
      <c r="U2640" s="33"/>
      <c r="V2640" s="1"/>
    </row>
    <row r="2641" ht="24.0" customHeight="1">
      <c r="A2641" s="1"/>
      <c r="B2641" s="24" t="str">
        <f>HYPERLINK("https://www.compass.com/listing/345-east-73rd-street-unit-3a-manhattan-ny-10021/1698238294863466601/view?agent_id=610d3f3370540700019b0833","345 East 73rd Street, Unit 3A")</f>
        <v>345 East 73rd Street, Unit 3A</v>
      </c>
      <c r="C2641" s="25" t="s">
        <v>364</v>
      </c>
      <c r="D2641" s="26" t="s">
        <v>23</v>
      </c>
      <c r="E2641" s="27" t="str">
        <f>HYPERLINK("https://www.compass.com/building/345-e-73rd-st-manhattan-ny-10021/281950686726389941/","345 E 73rd St")</f>
        <v>345 E 73rd St</v>
      </c>
      <c r="F2641" s="25" t="s">
        <v>64</v>
      </c>
      <c r="G2641" s="28">
        <v>790000.0</v>
      </c>
      <c r="H2641" s="29"/>
      <c r="I2641" s="28">
        <v>1900.0</v>
      </c>
      <c r="J2641" s="28">
        <v>0.0</v>
      </c>
      <c r="K2641" s="25" t="s">
        <v>25</v>
      </c>
      <c r="L2641" s="26">
        <v>4.0</v>
      </c>
      <c r="M2641" s="26">
        <v>2.0</v>
      </c>
      <c r="N2641" s="26">
        <v>1.0</v>
      </c>
      <c r="O2641" s="26">
        <v>0.0</v>
      </c>
      <c r="P2641" s="30"/>
      <c r="Q2641" s="35">
        <v>21.0</v>
      </c>
      <c r="R2641" s="32">
        <v>45616.0</v>
      </c>
      <c r="S2641" s="32">
        <v>45594.0</v>
      </c>
      <c r="T2641" s="29"/>
      <c r="U2641" s="33"/>
      <c r="V2641" s="1"/>
    </row>
    <row r="2642" ht="24.0" customHeight="1">
      <c r="A2642" s="1"/>
      <c r="B2642" s="24" t="str">
        <f>HYPERLINK("https://www.compass.com/listing/400-east-77th-street-unit-7h-manhattan-ny-10075/4852350304743594433/view?agent_id=610d3f3370540700019b0833","400 E 77th St, Unit 7H")</f>
        <v>400 E 77th St, Unit 7H</v>
      </c>
      <c r="C2642" s="25" t="s">
        <v>364</v>
      </c>
      <c r="D2642" s="26" t="s">
        <v>23</v>
      </c>
      <c r="E2642" s="27" t="str">
        <f>HYPERLINK("https://www.compass.com/building/emery-towers-manhattan-ny/292927467528678229/","Emery Towers")</f>
        <v>Emery Towers</v>
      </c>
      <c r="F2642" s="25" t="s">
        <v>64</v>
      </c>
      <c r="G2642" s="28">
        <v>775000.0</v>
      </c>
      <c r="H2642" s="28">
        <v>816.0</v>
      </c>
      <c r="I2642" s="28">
        <v>1485.0</v>
      </c>
      <c r="J2642" s="28">
        <v>0.0</v>
      </c>
      <c r="K2642" s="25" t="s">
        <v>25</v>
      </c>
      <c r="L2642" s="26">
        <v>3.0</v>
      </c>
      <c r="M2642" s="26">
        <v>2.0</v>
      </c>
      <c r="N2642" s="30"/>
      <c r="O2642" s="30"/>
      <c r="P2642" s="26">
        <v>950.0</v>
      </c>
      <c r="Q2642" s="35">
        <v>0.0</v>
      </c>
      <c r="R2642" s="32">
        <v>42291.0</v>
      </c>
      <c r="S2642" s="32">
        <v>42047.0</v>
      </c>
      <c r="T2642" s="29"/>
      <c r="U2642" s="33"/>
      <c r="V2642" s="1"/>
    </row>
    <row r="2643" ht="24.0" customHeight="1">
      <c r="A2643" s="1"/>
      <c r="B2643" s="24" t="str">
        <f>HYPERLINK("https://www.compass.com/listing/107-west-25th-street-unit-5e-manhattan-ny-10001/243881071463130977/view?agent_id=610d3f3370540700019b0833","107 West 25th Street, Unit 5E")</f>
        <v>107 West 25th Street, Unit 5E</v>
      </c>
      <c r="C2643" s="25" t="s">
        <v>364</v>
      </c>
      <c r="D2643" s="26" t="s">
        <v>23</v>
      </c>
      <c r="E2643" s="27" t="str">
        <f>HYPERLINK("https://www.compass.com/building/107-w-25th-st-manhattan-ny-10001/281882376462663717/","107 W 25th St")</f>
        <v>107 W 25th St</v>
      </c>
      <c r="F2643" s="25" t="s">
        <v>27</v>
      </c>
      <c r="G2643" s="28">
        <v>1595000.0</v>
      </c>
      <c r="H2643" s="29"/>
      <c r="I2643" s="28">
        <v>2314.0</v>
      </c>
      <c r="J2643" s="28">
        <v>0.0</v>
      </c>
      <c r="K2643" s="25" t="s">
        <v>25</v>
      </c>
      <c r="L2643" s="26">
        <v>4.0</v>
      </c>
      <c r="M2643" s="26">
        <v>2.0</v>
      </c>
      <c r="N2643" s="26">
        <v>1.0</v>
      </c>
      <c r="O2643" s="26">
        <v>0.0</v>
      </c>
      <c r="P2643" s="30"/>
      <c r="Q2643" s="35">
        <v>70.0</v>
      </c>
      <c r="R2643" s="32">
        <v>43658.0</v>
      </c>
      <c r="S2643" s="32">
        <v>43588.0</v>
      </c>
      <c r="T2643" s="29"/>
      <c r="U2643" s="33"/>
      <c r="V2643" s="1"/>
    </row>
    <row r="2644" ht="24.0" customHeight="1">
      <c r="A2644" s="1"/>
      <c r="B2644" s="24" t="str">
        <f>HYPERLINK("https://www.compass.com/listing/505-court-street-unit-4m-brooklyn-ny-11231/1838913210057931065/view?agent_id=610d3f3370540700019b0833","505 Court Street, Unit 4M")</f>
        <v>505 Court Street, Unit 4M</v>
      </c>
      <c r="C2644" s="25" t="s">
        <v>364</v>
      </c>
      <c r="D2644" s="26" t="s">
        <v>23</v>
      </c>
      <c r="E2644" s="27" t="str">
        <f>HYPERLINK("https://www.compass.com/building/court-street-lofts-brooklyn-ny/282508453459612037/","Court Street Lofts")</f>
        <v>Court Street Lofts</v>
      </c>
      <c r="F2644" s="25" t="s">
        <v>65</v>
      </c>
      <c r="G2644" s="28">
        <v>1100000.0</v>
      </c>
      <c r="H2644" s="28">
        <v>997.0</v>
      </c>
      <c r="I2644" s="28">
        <v>1496.0</v>
      </c>
      <c r="J2644" s="28">
        <v>6000.0</v>
      </c>
      <c r="K2644" s="25" t="s">
        <v>28</v>
      </c>
      <c r="L2644" s="26">
        <v>5.0</v>
      </c>
      <c r="M2644" s="26">
        <v>2.0</v>
      </c>
      <c r="N2644" s="26">
        <v>1.0</v>
      </c>
      <c r="O2644" s="26">
        <v>0.0</v>
      </c>
      <c r="P2644" s="34">
        <v>1103.0</v>
      </c>
      <c r="Q2644" s="35">
        <v>8.0</v>
      </c>
      <c r="R2644" s="32">
        <v>45636.0</v>
      </c>
      <c r="S2644" s="32">
        <v>44038.0</v>
      </c>
      <c r="T2644" s="29"/>
      <c r="U2644" s="33"/>
      <c r="V2644" s="1"/>
    </row>
    <row r="2645" ht="24.0" customHeight="1">
      <c r="A2645" s="1"/>
      <c r="B2645" s="24" t="str">
        <f>HYPERLINK("https://www.compass.com/listing/330-spring-street-unit-5d-manhattan-ny-10013/29366899175442225/view?agent_id=610d3f3370540700019b0833","330 Spring Street, Unit 5D")</f>
        <v>330 Spring Street, Unit 5D</v>
      </c>
      <c r="C2645" s="25" t="s">
        <v>364</v>
      </c>
      <c r="D2645" s="26" t="s">
        <v>23</v>
      </c>
      <c r="E2645" s="27" t="str">
        <f>HYPERLINK("https://www.compass.com/building/the-urban-glass-house-manhattan-ny/281919040954338069/","The Urban Glass House")</f>
        <v>The Urban Glass House</v>
      </c>
      <c r="F2645" s="25" t="s">
        <v>135</v>
      </c>
      <c r="G2645" s="28">
        <v>2395000.0</v>
      </c>
      <c r="H2645" s="28">
        <v>1608.0</v>
      </c>
      <c r="I2645" s="28">
        <v>3478.0</v>
      </c>
      <c r="J2645" s="28">
        <v>17664.0</v>
      </c>
      <c r="K2645" s="25" t="s">
        <v>28</v>
      </c>
      <c r="L2645" s="26">
        <v>4.0</v>
      </c>
      <c r="M2645" s="26">
        <v>2.0</v>
      </c>
      <c r="N2645" s="26">
        <v>0.0</v>
      </c>
      <c r="O2645" s="26">
        <v>0.0</v>
      </c>
      <c r="P2645" s="34">
        <v>1489.0</v>
      </c>
      <c r="Q2645" s="35">
        <v>24.0</v>
      </c>
      <c r="R2645" s="32">
        <v>45636.0</v>
      </c>
      <c r="S2645" s="32">
        <v>42993.0</v>
      </c>
      <c r="T2645" s="29"/>
      <c r="U2645" s="33"/>
      <c r="V2645" s="1"/>
    </row>
    <row r="2646" ht="24.0" customHeight="1">
      <c r="A2646" s="1"/>
      <c r="B2646" s="24" t="str">
        <f>HYPERLINK("https://www.compass.com/listing/689-myrtle-avenue-unit-4i-brooklyn-ny-11205/431897327356872457/view?agent_id=610d3f3370540700019b0833","689 Myrtle Avenue, Unit 4I")</f>
        <v>689 Myrtle Avenue, Unit 4I</v>
      </c>
      <c r="C2646" s="25" t="s">
        <v>365</v>
      </c>
      <c r="D2646" s="26" t="s">
        <v>23</v>
      </c>
      <c r="E2646" s="27" t="str">
        <f t="shared" ref="E2646:E2647" si="64">HYPERLINK("https://www.compass.com/building/the-chocolate-factory-brooklyn-ny/282508783995932725/","The Chocolate Factory")</f>
        <v>The Chocolate Factory</v>
      </c>
      <c r="F2646" s="25" t="s">
        <v>51</v>
      </c>
      <c r="G2646" s="28">
        <v>1145000.0</v>
      </c>
      <c r="H2646" s="28">
        <v>969.0</v>
      </c>
      <c r="I2646" s="28">
        <v>1316.0</v>
      </c>
      <c r="J2646" s="28">
        <v>7702.0</v>
      </c>
      <c r="K2646" s="25" t="s">
        <v>28</v>
      </c>
      <c r="L2646" s="26">
        <v>4.0</v>
      </c>
      <c r="M2646" s="26">
        <v>2.0</v>
      </c>
      <c r="N2646" s="26">
        <v>1.0</v>
      </c>
      <c r="O2646" s="26">
        <v>0.0</v>
      </c>
      <c r="P2646" s="34">
        <v>1182.0</v>
      </c>
      <c r="Q2646" s="35">
        <v>62.0</v>
      </c>
      <c r="R2646" s="32">
        <v>43990.0</v>
      </c>
      <c r="S2646" s="32">
        <v>43847.0</v>
      </c>
      <c r="T2646" s="29"/>
      <c r="U2646" s="33"/>
      <c r="V2646" s="1"/>
    </row>
    <row r="2647" ht="24.0" customHeight="1">
      <c r="A2647" s="1"/>
      <c r="B2647" s="24" t="str">
        <f>HYPERLINK("https://www.compass.com/listing/689-myrtle-avenue-unit-4i-brooklyn-ny-11205/557328569590893721/view?agent_id=610d3f3370540700019b0833","689 Myrtle Avenue, Unit 4I")</f>
        <v>689 Myrtle Avenue, Unit 4I</v>
      </c>
      <c r="C2647" s="25" t="s">
        <v>370</v>
      </c>
      <c r="D2647" s="26" t="s">
        <v>23</v>
      </c>
      <c r="E2647" s="27" t="str">
        <f t="shared" si="64"/>
        <v>The Chocolate Factory</v>
      </c>
      <c r="F2647" s="25" t="s">
        <v>51</v>
      </c>
      <c r="G2647" s="28">
        <v>1095000.0</v>
      </c>
      <c r="H2647" s="28">
        <v>926.0</v>
      </c>
      <c r="I2647" s="28">
        <v>1443.0</v>
      </c>
      <c r="J2647" s="28">
        <v>8496.0</v>
      </c>
      <c r="K2647" s="25" t="s">
        <v>28</v>
      </c>
      <c r="L2647" s="26">
        <v>4.0</v>
      </c>
      <c r="M2647" s="26">
        <v>2.0</v>
      </c>
      <c r="N2647" s="26">
        <v>1.0</v>
      </c>
      <c r="O2647" s="30"/>
      <c r="P2647" s="34">
        <v>1182.0</v>
      </c>
      <c r="Q2647" s="35">
        <v>207.0</v>
      </c>
      <c r="R2647" s="32">
        <v>44228.0</v>
      </c>
      <c r="S2647" s="32">
        <v>44020.0</v>
      </c>
      <c r="T2647" s="29"/>
      <c r="U2647" s="33"/>
      <c r="V2647" s="1"/>
    </row>
    <row r="2648" ht="24.0" customHeight="1">
      <c r="A2648" s="1"/>
      <c r="B2648" s="24" t="str">
        <f>HYPERLINK("https://www.compass.com/listing/524-east-72nd-street-unit-37c-manhattan-ny-10021/1838971882255498193/view?agent_id=610d3f3370540700019b0833","524 East 72nd Street, Unit 37C")</f>
        <v>524 East 72nd Street, Unit 37C</v>
      </c>
      <c r="C2648" s="25" t="s">
        <v>364</v>
      </c>
      <c r="D2648" s="26" t="s">
        <v>23</v>
      </c>
      <c r="E2648" s="27" t="str">
        <f>HYPERLINK("https://www.compass.com/building/the-belaire-manhattan-ny/281951582201907909/","The Belaire")</f>
        <v>The Belaire</v>
      </c>
      <c r="F2648" s="25" t="s">
        <v>64</v>
      </c>
      <c r="G2648" s="28">
        <v>2100000.0</v>
      </c>
      <c r="H2648" s="28">
        <v>1680.0</v>
      </c>
      <c r="I2648" s="28">
        <v>3076.0</v>
      </c>
      <c r="J2648" s="28">
        <v>18000.0</v>
      </c>
      <c r="K2648" s="25" t="s">
        <v>28</v>
      </c>
      <c r="L2648" s="26">
        <v>4.0</v>
      </c>
      <c r="M2648" s="26">
        <v>2.0</v>
      </c>
      <c r="N2648" s="26">
        <v>0.0</v>
      </c>
      <c r="O2648" s="26">
        <v>0.0</v>
      </c>
      <c r="P2648" s="34">
        <v>1250.0</v>
      </c>
      <c r="Q2648" s="35">
        <v>164.0</v>
      </c>
      <c r="R2648" s="32">
        <v>45636.0</v>
      </c>
      <c r="S2648" s="32">
        <v>43007.0</v>
      </c>
      <c r="T2648" s="29"/>
      <c r="U2648" s="33"/>
      <c r="V2648" s="1"/>
    </row>
    <row r="2649" ht="24.0" customHeight="1">
      <c r="A2649" s="1"/>
      <c r="B2649" s="24" t="str">
        <f>HYPERLINK("https://www.compass.com/listing/131-devoe-street-unit-2c-brooklyn-ny-11211/560825245349835745/view?agent_id=610d3f3370540700019b0833","131 Devoe Street, Unit 2C")</f>
        <v>131 Devoe Street, Unit 2C</v>
      </c>
      <c r="C2649" s="25" t="s">
        <v>364</v>
      </c>
      <c r="D2649" s="26" t="s">
        <v>23</v>
      </c>
      <c r="E2649" s="27" t="str">
        <f>HYPERLINK("https://www.compass.com/building/131-devoe-brooklyn-ny/282392032222176757/","131 Devoe")</f>
        <v>131 Devoe</v>
      </c>
      <c r="F2649" s="25" t="s">
        <v>46</v>
      </c>
      <c r="G2649" s="28">
        <v>1300000.0</v>
      </c>
      <c r="H2649" s="28">
        <v>1572.0</v>
      </c>
      <c r="I2649" s="28">
        <v>1324.0</v>
      </c>
      <c r="J2649" s="28">
        <v>9876.0</v>
      </c>
      <c r="K2649" s="25" t="s">
        <v>28</v>
      </c>
      <c r="L2649" s="26">
        <v>4.0</v>
      </c>
      <c r="M2649" s="26">
        <v>2.0</v>
      </c>
      <c r="N2649" s="26">
        <v>1.0</v>
      </c>
      <c r="O2649" s="30"/>
      <c r="P2649" s="26">
        <v>827.0</v>
      </c>
      <c r="Q2649" s="31"/>
      <c r="R2649" s="32">
        <v>44034.0</v>
      </c>
      <c r="S2649" s="33"/>
      <c r="T2649" s="29"/>
      <c r="U2649" s="33"/>
      <c r="V2649" s="1"/>
    </row>
    <row r="2650" ht="24.0" customHeight="1">
      <c r="A2650" s="1"/>
      <c r="B2650" s="24" t="str">
        <f>HYPERLINK("https://www.compass.com/listing/83-walker-street-unit-2-manhattan-ny-10013/166561321326847521/view?agent_id=610d3f3370540700019b0833","83 Walker Street, Unit 2")</f>
        <v>83 Walker Street, Unit 2</v>
      </c>
      <c r="C2650" s="25" t="s">
        <v>364</v>
      </c>
      <c r="D2650" s="26" t="s">
        <v>23</v>
      </c>
      <c r="E2650" s="27" t="str">
        <f>HYPERLINK("https://www.compass.com/building/83-walker-st-manhattan-ny-10013/281921390477610613/","83 Walker St")</f>
        <v>83 Walker St</v>
      </c>
      <c r="F2650" s="25" t="s">
        <v>60</v>
      </c>
      <c r="G2650" s="28">
        <v>1850000.0</v>
      </c>
      <c r="H2650" s="28">
        <v>1324.0</v>
      </c>
      <c r="I2650" s="28">
        <v>2919.0</v>
      </c>
      <c r="J2650" s="28">
        <v>25776.0</v>
      </c>
      <c r="K2650" s="25" t="s">
        <v>28</v>
      </c>
      <c r="L2650" s="26">
        <v>4.0</v>
      </c>
      <c r="M2650" s="26">
        <v>2.0</v>
      </c>
      <c r="N2650" s="26">
        <v>0.0</v>
      </c>
      <c r="O2650" s="26">
        <v>0.0</v>
      </c>
      <c r="P2650" s="34">
        <v>1397.0</v>
      </c>
      <c r="Q2650" s="35">
        <v>55.0</v>
      </c>
      <c r="R2650" s="32">
        <v>45636.0</v>
      </c>
      <c r="S2650" s="32">
        <v>43004.0</v>
      </c>
      <c r="T2650" s="29"/>
      <c r="U2650" s="33"/>
      <c r="V2650" s="1"/>
    </row>
    <row r="2651" ht="24.0" customHeight="1">
      <c r="A2651" s="1"/>
      <c r="B2651" s="24" t="str">
        <f>HYPERLINK("https://www.compass.com/listing/55-east-76th-street-unit-9-manhattan-ny-10021/1495730724277454617/view?agent_id=610d3f3370540700019b0833","55 East 76th Street, Unit 9")</f>
        <v>55 East 76th Street, Unit 9</v>
      </c>
      <c r="C2651" s="25" t="s">
        <v>364</v>
      </c>
      <c r="D2651" s="26" t="s">
        <v>23</v>
      </c>
      <c r="E2651" s="27" t="str">
        <f>HYPERLINK("https://www.compass.com/building/55-e-76th-st-manhattan-ny-10021/307446726931453973/","55 E 76th St")</f>
        <v>55 E 76th St</v>
      </c>
      <c r="F2651" s="25" t="s">
        <v>64</v>
      </c>
      <c r="G2651" s="28">
        <v>799000.0</v>
      </c>
      <c r="H2651" s="29"/>
      <c r="I2651" s="28">
        <v>2934.0</v>
      </c>
      <c r="J2651" s="28">
        <v>0.0</v>
      </c>
      <c r="K2651" s="25" t="s">
        <v>25</v>
      </c>
      <c r="L2651" s="26">
        <v>5.0</v>
      </c>
      <c r="M2651" s="26">
        <v>2.0</v>
      </c>
      <c r="N2651" s="26">
        <v>1.0</v>
      </c>
      <c r="O2651" s="26">
        <v>0.0</v>
      </c>
      <c r="P2651" s="30"/>
      <c r="Q2651" s="35">
        <v>326.0</v>
      </c>
      <c r="R2651" s="32">
        <v>45642.0</v>
      </c>
      <c r="S2651" s="32">
        <v>45315.0</v>
      </c>
      <c r="T2651" s="29"/>
      <c r="U2651" s="33"/>
      <c r="V2651" s="1"/>
    </row>
    <row r="2652" ht="24.0" customHeight="1">
      <c r="A2652" s="1"/>
      <c r="B2652" s="24" t="str">
        <f>HYPERLINK("https://www.compass.com/listing/205-west-76th-street-unit-1401-manhattan-ny-10023/803300114953038201/view?agent_id=610d3f3370540700019b0833","205 West 76th Street, Unit 1401")</f>
        <v>205 West 76th Street, Unit 1401</v>
      </c>
      <c r="C2652" s="25" t="s">
        <v>364</v>
      </c>
      <c r="D2652" s="26" t="s">
        <v>23</v>
      </c>
      <c r="E2652" s="27" t="str">
        <f>HYPERLINK("https://www.compass.com/building/the-harrison-manhattan-ny/294841597577246933/","The Harrison")</f>
        <v>The Harrison</v>
      </c>
      <c r="F2652" s="25" t="s">
        <v>29</v>
      </c>
      <c r="G2652" s="28">
        <v>3695000.0</v>
      </c>
      <c r="H2652" s="28">
        <v>2691.0</v>
      </c>
      <c r="I2652" s="28">
        <v>3579.0</v>
      </c>
      <c r="J2652" s="28">
        <v>20040.0</v>
      </c>
      <c r="K2652" s="25" t="s">
        <v>28</v>
      </c>
      <c r="L2652" s="26">
        <v>4.0</v>
      </c>
      <c r="M2652" s="26">
        <v>2.0</v>
      </c>
      <c r="N2652" s="26">
        <v>0.0</v>
      </c>
      <c r="O2652" s="26">
        <v>0.0</v>
      </c>
      <c r="P2652" s="34">
        <v>1373.0</v>
      </c>
      <c r="Q2652" s="35">
        <v>157.0</v>
      </c>
      <c r="R2652" s="32">
        <v>44581.0</v>
      </c>
      <c r="S2652" s="32">
        <v>42996.0</v>
      </c>
      <c r="T2652" s="29"/>
      <c r="U2652" s="33"/>
      <c r="V2652" s="1"/>
    </row>
    <row r="2653" ht="24.0" customHeight="1">
      <c r="A2653" s="1"/>
      <c r="B2653" s="24" t="str">
        <f>HYPERLINK("https://www.compass.com/listing/236-west-26th-street-unit-5sw-manhattan-ny-10001/269512267215787521/view?agent_id=610d3f3370540700019b0833","236 West 26th Street, Unit 5SW")</f>
        <v>236 West 26th Street, Unit 5SW</v>
      </c>
      <c r="C2653" s="25" t="s">
        <v>364</v>
      </c>
      <c r="D2653" s="26" t="s">
        <v>23</v>
      </c>
      <c r="E2653" s="27" t="str">
        <f>HYPERLINK("https://www.compass.com/building/236-w-26th-st-manhattan-ny-10001/281882883889562277/","236 W 26th St")</f>
        <v>236 W 26th St</v>
      </c>
      <c r="F2653" s="25" t="s">
        <v>27</v>
      </c>
      <c r="G2653" s="28">
        <v>1895000.0</v>
      </c>
      <c r="H2653" s="29"/>
      <c r="I2653" s="28">
        <v>1838.0</v>
      </c>
      <c r="J2653" s="29"/>
      <c r="K2653" s="25" t="s">
        <v>25</v>
      </c>
      <c r="L2653" s="26">
        <v>4.0</v>
      </c>
      <c r="M2653" s="26">
        <v>2.0</v>
      </c>
      <c r="N2653" s="26">
        <v>1.0</v>
      </c>
      <c r="O2653" s="26">
        <v>0.0</v>
      </c>
      <c r="P2653" s="30"/>
      <c r="Q2653" s="35">
        <v>38.0</v>
      </c>
      <c r="R2653" s="32">
        <v>45636.0</v>
      </c>
      <c r="S2653" s="32">
        <v>43623.0</v>
      </c>
      <c r="T2653" s="29"/>
      <c r="U2653" s="33"/>
      <c r="V2653" s="1"/>
    </row>
    <row r="2654" ht="24.0" customHeight="1">
      <c r="A2654" s="1"/>
      <c r="B2654" s="24" t="str">
        <f>HYPERLINK("https://www.compass.com/listing/338-east-78th-street-unit-5r-manhattan-ny-10075/220944822909856641/view?agent_id=610d3f3370540700019b0833","338 East 78th Street, Unit 5R")</f>
        <v>338 East 78th Street, Unit 5R</v>
      </c>
      <c r="C2654" s="25" t="s">
        <v>364</v>
      </c>
      <c r="D2654" s="26" t="s">
        <v>23</v>
      </c>
      <c r="E2654" s="27" t="str">
        <f>HYPERLINK("https://www.compass.com/building/338-e-78th-st-manhattan-ny-10075/282044160188372501/","338 E 78th St")</f>
        <v>338 E 78th St</v>
      </c>
      <c r="F2654" s="25" t="s">
        <v>44</v>
      </c>
      <c r="G2654" s="28">
        <v>999600.0</v>
      </c>
      <c r="H2654" s="29"/>
      <c r="I2654" s="28">
        <v>1261.0</v>
      </c>
      <c r="J2654" s="29"/>
      <c r="K2654" s="25" t="s">
        <v>25</v>
      </c>
      <c r="L2654" s="26">
        <v>2.0</v>
      </c>
      <c r="M2654" s="26">
        <v>2.0</v>
      </c>
      <c r="N2654" s="26">
        <v>0.0</v>
      </c>
      <c r="O2654" s="26">
        <v>0.0</v>
      </c>
      <c r="P2654" s="30"/>
      <c r="Q2654" s="31"/>
      <c r="R2654" s="32">
        <v>44581.0</v>
      </c>
      <c r="S2654" s="33"/>
      <c r="T2654" s="29"/>
      <c r="U2654" s="33"/>
      <c r="V2654" s="1"/>
    </row>
    <row r="2655" ht="24.0" customHeight="1">
      <c r="A2655" s="1"/>
      <c r="B2655" s="24" t="str">
        <f>HYPERLINK("https://www.compass.com/listing/345-east-73rd-street-unit-3j-manhattan-ny-10021/1003805765958217209/view?agent_id=610d3f3370540700019b0833","345 East 73rd Street, Unit 3J")</f>
        <v>345 East 73rd Street, Unit 3J</v>
      </c>
      <c r="C2655" s="25" t="s">
        <v>365</v>
      </c>
      <c r="D2655" s="26" t="s">
        <v>23</v>
      </c>
      <c r="E2655" s="27" t="str">
        <f>HYPERLINK("https://www.compass.com/building/345-e-73rd-st-manhattan-ny-10021/281950686726389941/","345 E 73rd St")</f>
        <v>345 E 73rd St</v>
      </c>
      <c r="F2655" s="25" t="s">
        <v>64</v>
      </c>
      <c r="G2655" s="28">
        <v>895000.0</v>
      </c>
      <c r="H2655" s="29"/>
      <c r="I2655" s="28">
        <v>1834.0</v>
      </c>
      <c r="J2655" s="28">
        <v>0.0</v>
      </c>
      <c r="K2655" s="25" t="s">
        <v>25</v>
      </c>
      <c r="L2655" s="26">
        <v>4.0</v>
      </c>
      <c r="M2655" s="26">
        <v>2.0</v>
      </c>
      <c r="N2655" s="26">
        <v>1.0</v>
      </c>
      <c r="O2655" s="30"/>
      <c r="P2655" s="30"/>
      <c r="Q2655" s="35">
        <v>67.0</v>
      </c>
      <c r="R2655" s="32">
        <v>44705.0</v>
      </c>
      <c r="S2655" s="32">
        <v>44637.0</v>
      </c>
      <c r="T2655" s="29"/>
      <c r="U2655" s="33"/>
      <c r="V2655" s="1"/>
    </row>
    <row r="2656" ht="24.0" customHeight="1">
      <c r="A2656" s="1"/>
      <c r="B2656" s="24" t="str">
        <f>HYPERLINK("https://www.compass.com/listing/401-east-74th-street-unit-7m-manhattan-ny-10021/1304461084213209049/view?agent_id=610d3f3370540700019b0833","401 East 74th Street, Unit 7M")</f>
        <v>401 East 74th Street, Unit 7M</v>
      </c>
      <c r="C2656" s="25" t="s">
        <v>370</v>
      </c>
      <c r="D2656" s="26" t="s">
        <v>23</v>
      </c>
      <c r="E2656" s="27" t="str">
        <f>HYPERLINK("https://www.compass.com/building/the-amherst-manhattan-ny/281950960136292373/","The Amherst")</f>
        <v>The Amherst</v>
      </c>
      <c r="F2656" s="25" t="s">
        <v>64</v>
      </c>
      <c r="G2656" s="28">
        <v>950000.0</v>
      </c>
      <c r="H2656" s="28">
        <v>950.0</v>
      </c>
      <c r="I2656" s="28">
        <v>2044.0</v>
      </c>
      <c r="J2656" s="28">
        <v>0.0</v>
      </c>
      <c r="K2656" s="25" t="s">
        <v>25</v>
      </c>
      <c r="L2656" s="26">
        <v>5.0</v>
      </c>
      <c r="M2656" s="26">
        <v>2.0</v>
      </c>
      <c r="N2656" s="26">
        <v>1.0</v>
      </c>
      <c r="O2656" s="30"/>
      <c r="P2656" s="34">
        <v>1000.0</v>
      </c>
      <c r="Q2656" s="35">
        <v>185.0</v>
      </c>
      <c r="R2656" s="32">
        <v>45261.0</v>
      </c>
      <c r="S2656" s="32">
        <v>45051.0</v>
      </c>
      <c r="T2656" s="29"/>
      <c r="U2656" s="33"/>
      <c r="V2656" s="1"/>
    </row>
    <row r="2657" ht="24.0" customHeight="1">
      <c r="A2657" s="1"/>
      <c r="B2657" s="24" t="str">
        <f>HYPERLINK("https://www.compass.com/listing/181-east-73rd-street-unit-9g-manhattan-ny-10021/1337615956108438609/view?agent_id=610d3f3370540700019b0833","181 East 73rd Street, Unit 9G")</f>
        <v>181 East 73rd Street, Unit 9G</v>
      </c>
      <c r="C2657" s="25" t="s">
        <v>364</v>
      </c>
      <c r="D2657" s="26" t="s">
        <v>23</v>
      </c>
      <c r="E2657" s="27" t="str">
        <f>HYPERLINK("https://www.compass.com/building/181-e-73rd-st-manhattan-ny-10021/292849972636881221/","181 E 73rd St")</f>
        <v>181 E 73rd St</v>
      </c>
      <c r="F2657" s="25" t="s">
        <v>64</v>
      </c>
      <c r="G2657" s="28">
        <v>865000.0</v>
      </c>
      <c r="H2657" s="29"/>
      <c r="I2657" s="28">
        <v>2302.0</v>
      </c>
      <c r="J2657" s="28">
        <v>0.0</v>
      </c>
      <c r="K2657" s="25" t="s">
        <v>25</v>
      </c>
      <c r="L2657" s="26">
        <v>4.0</v>
      </c>
      <c r="M2657" s="26">
        <v>2.0</v>
      </c>
      <c r="N2657" s="26">
        <v>1.0</v>
      </c>
      <c r="O2657" s="30"/>
      <c r="P2657" s="30"/>
      <c r="Q2657" s="35">
        <v>391.0</v>
      </c>
      <c r="R2657" s="32">
        <v>45706.0</v>
      </c>
      <c r="S2657" s="32">
        <v>45097.0</v>
      </c>
      <c r="T2657" s="29"/>
      <c r="U2657" s="33"/>
      <c r="V2657" s="1"/>
    </row>
    <row r="2658" ht="24.0" customHeight="1">
      <c r="A2658" s="1"/>
      <c r="B2658" s="24" t="str">
        <f>HYPERLINK("https://www.compass.com/listing/500-grand-avenue-unit-5b-brooklyn-ny-11238/29481219167214913/view?agent_id=610d3f3370540700019b0833","500 Grand Avenue, Unit 5B")</f>
        <v>500 Grand Avenue, Unit 5B</v>
      </c>
      <c r="C2658" s="25" t="s">
        <v>364</v>
      </c>
      <c r="D2658" s="26" t="s">
        <v>23</v>
      </c>
      <c r="E2658" s="27" t="str">
        <f>HYPERLINK("https://www.compass.com/building/500-grand-ave-brooklyn-ny-11238/293418265546407397/","500 Grand Ave")</f>
        <v>500 Grand Ave</v>
      </c>
      <c r="F2658" s="25" t="s">
        <v>30</v>
      </c>
      <c r="G2658" s="28">
        <v>699000.0</v>
      </c>
      <c r="H2658" s="28">
        <v>722.0</v>
      </c>
      <c r="I2658" s="28">
        <v>600.0</v>
      </c>
      <c r="J2658" s="28">
        <v>396.0</v>
      </c>
      <c r="K2658" s="25" t="s">
        <v>28</v>
      </c>
      <c r="L2658" s="26">
        <v>4.0</v>
      </c>
      <c r="M2658" s="26">
        <v>2.0</v>
      </c>
      <c r="N2658" s="26">
        <v>0.0</v>
      </c>
      <c r="O2658" s="26">
        <v>0.0</v>
      </c>
      <c r="P2658" s="26">
        <v>968.0</v>
      </c>
      <c r="Q2658" s="35">
        <v>62.0</v>
      </c>
      <c r="R2658" s="32">
        <v>45636.0</v>
      </c>
      <c r="S2658" s="32">
        <v>42439.0</v>
      </c>
      <c r="T2658" s="29"/>
      <c r="U2658" s="33"/>
      <c r="V2658" s="1"/>
    </row>
    <row r="2659" ht="24.0" customHeight="1">
      <c r="A2659" s="1"/>
      <c r="B2659" s="24" t="str">
        <f>HYPERLINK("https://www.compass.com/listing/50-east-72nd-street-unit-7c-manhattan-ny-10021/1809626818269774649/view?agent_id=610d3f3370540700019b0833","50 East 72nd Street, Unit 7C")</f>
        <v>50 East 72nd Street, Unit 7C</v>
      </c>
      <c r="C2659" s="25" t="s">
        <v>370</v>
      </c>
      <c r="D2659" s="26" t="s">
        <v>23</v>
      </c>
      <c r="E2659" s="27" t="str">
        <f>HYPERLINK("https://www.compass.com/building/50-e-72nd-st-manhattan-ny-10021/281951428321280517/","50 E 72nd St")</f>
        <v>50 E 72nd St</v>
      </c>
      <c r="F2659" s="25" t="s">
        <v>64</v>
      </c>
      <c r="G2659" s="28">
        <v>2400000.0</v>
      </c>
      <c r="H2659" s="29"/>
      <c r="I2659" s="28">
        <v>2065.0</v>
      </c>
      <c r="J2659" s="28">
        <v>9672.0</v>
      </c>
      <c r="K2659" s="25" t="s">
        <v>28</v>
      </c>
      <c r="L2659" s="26">
        <v>5.0</v>
      </c>
      <c r="M2659" s="26">
        <v>2.0</v>
      </c>
      <c r="N2659" s="26">
        <v>0.0</v>
      </c>
      <c r="O2659" s="26">
        <v>0.0</v>
      </c>
      <c r="P2659" s="30"/>
      <c r="Q2659" s="35">
        <v>0.0</v>
      </c>
      <c r="R2659" s="32">
        <v>44581.0</v>
      </c>
      <c r="S2659" s="32">
        <v>41538.0</v>
      </c>
      <c r="T2659" s="29"/>
      <c r="U2659" s="33"/>
      <c r="V2659" s="1"/>
    </row>
    <row r="2660" ht="24.0" customHeight="1">
      <c r="A2660" s="1"/>
      <c r="B2660" s="24" t="str">
        <f>HYPERLINK("https://www.compass.com/listing/246-spring-street-unit-3303-manhattan-ny-10013/50874779581921857/view?agent_id=610d3f3370540700019b0833","246 Spring Street, Unit 3303")</f>
        <v>246 Spring Street, Unit 3303</v>
      </c>
      <c r="C2660" s="25" t="s">
        <v>370</v>
      </c>
      <c r="D2660" s="26" t="s">
        <v>23</v>
      </c>
      <c r="E2660" s="27" t="str">
        <f>HYPERLINK("https://www.compass.com/building/the-dominick-manhattan-ny/281918339851255781/","The Dominick")</f>
        <v>The Dominick</v>
      </c>
      <c r="F2660" s="25" t="s">
        <v>135</v>
      </c>
      <c r="G2660" s="28">
        <v>4480000.0</v>
      </c>
      <c r="H2660" s="28">
        <v>2216.0</v>
      </c>
      <c r="I2660" s="28">
        <v>18148.0</v>
      </c>
      <c r="J2660" s="28">
        <v>42888.0</v>
      </c>
      <c r="K2660" s="25" t="s">
        <v>28</v>
      </c>
      <c r="L2660" s="26">
        <v>5.0</v>
      </c>
      <c r="M2660" s="26">
        <v>2.0</v>
      </c>
      <c r="N2660" s="26">
        <v>0.0</v>
      </c>
      <c r="O2660" s="26">
        <v>0.0</v>
      </c>
      <c r="P2660" s="34">
        <v>2022.0</v>
      </c>
      <c r="Q2660" s="35">
        <v>422.0</v>
      </c>
      <c r="R2660" s="32">
        <v>44581.0</v>
      </c>
      <c r="S2660" s="32">
        <v>41877.0</v>
      </c>
      <c r="T2660" s="29"/>
      <c r="U2660" s="33"/>
      <c r="V2660" s="1"/>
    </row>
    <row r="2661" ht="24.0" customHeight="1">
      <c r="A2661" s="1"/>
      <c r="B2661" s="24" t="str">
        <f>HYPERLINK("https://www.compass.com/listing/205-west-76th-street-unit-1401pom-manhattan-ny-10023/826840444082278033/view?agent_id=610d3f3370540700019b0833","205 West 76th Street, Unit 1401POM")</f>
        <v>205 West 76th Street, Unit 1401POM</v>
      </c>
      <c r="C2661" s="25" t="s">
        <v>364</v>
      </c>
      <c r="D2661" s="26" t="s">
        <v>23</v>
      </c>
      <c r="E2661" s="27" t="str">
        <f>HYPERLINK("https://www.compass.com/building/the-harrison-manhattan-ny/294841597577246933/","The Harrison")</f>
        <v>The Harrison</v>
      </c>
      <c r="F2661" s="25" t="s">
        <v>29</v>
      </c>
      <c r="G2661" s="28">
        <v>3995000.0</v>
      </c>
      <c r="H2661" s="29"/>
      <c r="I2661" s="28">
        <v>3102.0</v>
      </c>
      <c r="J2661" s="28">
        <v>15000.0</v>
      </c>
      <c r="K2661" s="25" t="s">
        <v>28</v>
      </c>
      <c r="L2661" s="26">
        <v>4.0</v>
      </c>
      <c r="M2661" s="26">
        <v>2.0</v>
      </c>
      <c r="N2661" s="26">
        <v>0.0</v>
      </c>
      <c r="O2661" s="26">
        <v>0.0</v>
      </c>
      <c r="P2661" s="30"/>
      <c r="Q2661" s="35">
        <v>184.0</v>
      </c>
      <c r="R2661" s="32">
        <v>44581.0</v>
      </c>
      <c r="S2661" s="32">
        <v>42524.0</v>
      </c>
      <c r="T2661" s="29"/>
      <c r="U2661" s="33"/>
      <c r="V2661" s="1"/>
    </row>
    <row r="2662" ht="24.0" customHeight="1">
      <c r="A2662" s="1"/>
      <c r="B2662" s="24" t="str">
        <f>HYPERLINK("https://www.compass.com/listing/454-nostrand-avenue-unit-4-brooklyn-ny-11216/159237715462843473/view?agent_id=610d3f3370540700019b0833","454 Nostrand Avenue, Unit 4")</f>
        <v>454 Nostrand Avenue, Unit 4</v>
      </c>
      <c r="C2662" s="25" t="s">
        <v>364</v>
      </c>
      <c r="D2662" s="26" t="s">
        <v>23</v>
      </c>
      <c r="E2662" s="27" t="str">
        <f>HYPERLINK("https://www.compass.com/building/454-nostrand-ave-brooklyn-ny-11216/293423277949390021/","454 Nostrand Ave")</f>
        <v>454 Nostrand Ave</v>
      </c>
      <c r="F2662" s="25" t="s">
        <v>51</v>
      </c>
      <c r="G2662" s="28">
        <v>755000.0</v>
      </c>
      <c r="H2662" s="28">
        <v>839.0</v>
      </c>
      <c r="I2662" s="28">
        <v>578.0</v>
      </c>
      <c r="J2662" s="28">
        <v>2268.0</v>
      </c>
      <c r="K2662" s="25" t="s">
        <v>28</v>
      </c>
      <c r="L2662" s="26">
        <v>4.0</v>
      </c>
      <c r="M2662" s="26">
        <v>2.0</v>
      </c>
      <c r="N2662" s="26">
        <v>1.0</v>
      </c>
      <c r="O2662" s="26">
        <v>0.0</v>
      </c>
      <c r="P2662" s="26">
        <v>900.0</v>
      </c>
      <c r="Q2662" s="35">
        <v>45.0</v>
      </c>
      <c r="R2662" s="32">
        <v>45636.0</v>
      </c>
      <c r="S2662" s="32">
        <v>43462.0</v>
      </c>
      <c r="T2662" s="29"/>
      <c r="U2662" s="33"/>
      <c r="V2662" s="1"/>
    </row>
    <row r="2663" ht="24.0" customHeight="1">
      <c r="A2663" s="1"/>
      <c r="B2663" s="24" t="str">
        <f>HYPERLINK("https://www.compass.com/listing/252-7th-avenue-unit-8a-manhattan-ny-10001/29509697342018481/view?agent_id=610d3f3370540700019b0833","252 7th Avenue, Unit 8A")</f>
        <v>252 7th Avenue, Unit 8A</v>
      </c>
      <c r="C2663" s="25" t="s">
        <v>370</v>
      </c>
      <c r="D2663" s="26" t="s">
        <v>23</v>
      </c>
      <c r="E2663" s="27" t="str">
        <f>HYPERLINK("https://www.compass.com/building/chelsea-mercantile-manhattan-ny/281883077574132517/","Chelsea Mercantile")</f>
        <v>Chelsea Mercantile</v>
      </c>
      <c r="F2663" s="25" t="s">
        <v>27</v>
      </c>
      <c r="G2663" s="28">
        <v>2850000.0</v>
      </c>
      <c r="H2663" s="28">
        <v>1388.0</v>
      </c>
      <c r="I2663" s="28">
        <v>2953.0</v>
      </c>
      <c r="J2663" s="28">
        <v>18216.0</v>
      </c>
      <c r="K2663" s="25" t="s">
        <v>28</v>
      </c>
      <c r="L2663" s="26">
        <v>5.0</v>
      </c>
      <c r="M2663" s="26">
        <v>2.0</v>
      </c>
      <c r="N2663" s="26">
        <v>0.0</v>
      </c>
      <c r="O2663" s="26">
        <v>0.0</v>
      </c>
      <c r="P2663" s="34">
        <v>2053.0</v>
      </c>
      <c r="Q2663" s="35">
        <v>166.0</v>
      </c>
      <c r="R2663" s="32">
        <v>45636.0</v>
      </c>
      <c r="S2663" s="32">
        <v>42992.0</v>
      </c>
      <c r="T2663" s="29"/>
      <c r="U2663" s="33"/>
      <c r="V2663" s="1"/>
    </row>
    <row r="2664" ht="24.0" customHeight="1">
      <c r="A2664" s="1"/>
      <c r="B2664" s="24" t="str">
        <f>HYPERLINK("https://www.compass.com/listing/55-east-76th-street-unit-1d-manhattan-ny-10021/1477085383512951377/view?agent_id=610d3f3370540700019b0833","55 East 76th Street, Unit 1D")</f>
        <v>55 East 76th Street, Unit 1D</v>
      </c>
      <c r="C2664" s="25" t="s">
        <v>370</v>
      </c>
      <c r="D2664" s="26" t="s">
        <v>23</v>
      </c>
      <c r="E2664" s="27" t="str">
        <f>HYPERLINK("https://www.compass.com/building/55-e-76th-st-manhattan-ny-10021/307446726931453973/","55 E 76th St")</f>
        <v>55 E 76th St</v>
      </c>
      <c r="F2664" s="25" t="s">
        <v>64</v>
      </c>
      <c r="G2664" s="28">
        <v>1125000.0</v>
      </c>
      <c r="H2664" s="29"/>
      <c r="I2664" s="28">
        <v>1790.0</v>
      </c>
      <c r="J2664" s="29"/>
      <c r="K2664" s="25" t="s">
        <v>25</v>
      </c>
      <c r="L2664" s="26">
        <v>5.0</v>
      </c>
      <c r="M2664" s="26">
        <v>2.0</v>
      </c>
      <c r="N2664" s="26">
        <v>1.0</v>
      </c>
      <c r="O2664" s="30"/>
      <c r="P2664" s="30"/>
      <c r="Q2664" s="35">
        <v>163.0</v>
      </c>
      <c r="R2664" s="32">
        <v>45277.0</v>
      </c>
      <c r="S2664" s="32">
        <v>44932.0</v>
      </c>
      <c r="T2664" s="29"/>
      <c r="U2664" s="33"/>
      <c r="V2664" s="1"/>
    </row>
    <row r="2665" ht="24.0" customHeight="1">
      <c r="A2665" s="1"/>
      <c r="B2665" s="24" t="str">
        <f>HYPERLINK("https://www.compass.com/listing/70-charlton-street-unit-8c-manhattan-ny-10014/921295017464731529/view?agent_id=610d3f3370540700019b0833","70 Charlton Street, Unit 8C")</f>
        <v>70 Charlton Street, Unit 8C</v>
      </c>
      <c r="C2665" s="25" t="s">
        <v>370</v>
      </c>
      <c r="D2665" s="26" t="s">
        <v>23</v>
      </c>
      <c r="E2665" s="27" t="str">
        <f>HYPERLINK("https://www.compass.com/building/70-charlton-street-manhattan-ny/292835639240484293/","70 Charlton Street")</f>
        <v>70 Charlton Street</v>
      </c>
      <c r="F2665" s="25" t="s">
        <v>135</v>
      </c>
      <c r="G2665" s="28">
        <v>2525000.0</v>
      </c>
      <c r="H2665" s="28">
        <v>1909.0</v>
      </c>
      <c r="I2665" s="28">
        <v>2927.0</v>
      </c>
      <c r="J2665" s="29"/>
      <c r="K2665" s="25" t="s">
        <v>49</v>
      </c>
      <c r="L2665" s="26">
        <v>5.0</v>
      </c>
      <c r="M2665" s="26">
        <v>2.0</v>
      </c>
      <c r="N2665" s="26">
        <v>0.0</v>
      </c>
      <c r="O2665" s="26">
        <v>0.0</v>
      </c>
      <c r="P2665" s="34">
        <v>1323.0</v>
      </c>
      <c r="Q2665" s="35">
        <v>184.0</v>
      </c>
      <c r="R2665" s="32">
        <v>45695.0</v>
      </c>
      <c r="S2665" s="32">
        <v>43231.0</v>
      </c>
      <c r="T2665" s="29"/>
      <c r="U2665" s="33"/>
      <c r="V2665" s="1"/>
    </row>
    <row r="2666" ht="24.0" customHeight="1">
      <c r="A2666" s="1"/>
      <c r="B2666" s="24" t="str">
        <f>HYPERLINK("https://www.compass.com/listing/163-east-81st-street-unit-8c-manhattan-ny-10028/1202464643425151713/view?agent_id=610d3f3370540700019b0833","163 East 81st Street, Unit 8C")</f>
        <v>163 East 81st Street, Unit 8C</v>
      </c>
      <c r="C2666" s="25" t="s">
        <v>365</v>
      </c>
      <c r="D2666" s="26" t="s">
        <v>23</v>
      </c>
      <c r="E2666" s="27" t="str">
        <f>HYPERLINK("https://www.compass.com/building/163-e-81st-st-manhattan-ny-10028/281985149636286949/","163 E 81st St")</f>
        <v>163 E 81st St</v>
      </c>
      <c r="F2666" s="25" t="s">
        <v>44</v>
      </c>
      <c r="G2666" s="28">
        <v>1095000.0</v>
      </c>
      <c r="H2666" s="29"/>
      <c r="I2666" s="28">
        <v>3405.0</v>
      </c>
      <c r="J2666" s="28">
        <v>0.0</v>
      </c>
      <c r="K2666" s="25" t="s">
        <v>25</v>
      </c>
      <c r="L2666" s="26">
        <v>4.0</v>
      </c>
      <c r="M2666" s="26">
        <v>2.0</v>
      </c>
      <c r="N2666" s="26">
        <v>1.0</v>
      </c>
      <c r="O2666" s="30"/>
      <c r="P2666" s="30"/>
      <c r="Q2666" s="35">
        <v>70.0</v>
      </c>
      <c r="R2666" s="32">
        <v>44981.0</v>
      </c>
      <c r="S2666" s="32">
        <v>44910.0</v>
      </c>
      <c r="T2666" s="29"/>
      <c r="U2666" s="33"/>
      <c r="V2666" s="1"/>
    </row>
    <row r="2667" ht="24.0" customHeight="1">
      <c r="A2667" s="1"/>
      <c r="B2667" s="24" t="str">
        <f>HYPERLINK("https://www.compass.com/listing/233-east-69th-street-unit-5k-manhattan-ny-10021/784163929121588921/view?agent_id=610d3f3370540700019b0833","233 East 69th Street, Unit 5K")</f>
        <v>233 East 69th Street, Unit 5K</v>
      </c>
      <c r="C2667" s="25" t="s">
        <v>370</v>
      </c>
      <c r="D2667" s="26" t="s">
        <v>23</v>
      </c>
      <c r="E2667" s="27" t="str">
        <f>HYPERLINK("https://www.compass.com/building/233-e-69th-st-manhattan-ny-10021/281949778475023749/","233 E 69th St")</f>
        <v>233 E 69th St</v>
      </c>
      <c r="F2667" s="25" t="s">
        <v>64</v>
      </c>
      <c r="G2667" s="28">
        <v>750000.0</v>
      </c>
      <c r="H2667" s="29"/>
      <c r="I2667" s="28">
        <v>1877.0</v>
      </c>
      <c r="J2667" s="28">
        <v>0.0</v>
      </c>
      <c r="K2667" s="25" t="s">
        <v>25</v>
      </c>
      <c r="L2667" s="26">
        <v>4.0</v>
      </c>
      <c r="M2667" s="26">
        <v>2.0</v>
      </c>
      <c r="N2667" s="26">
        <v>1.0</v>
      </c>
      <c r="O2667" s="26">
        <v>0.0</v>
      </c>
      <c r="P2667" s="30"/>
      <c r="Q2667" s="35">
        <v>174.0</v>
      </c>
      <c r="R2667" s="32">
        <v>44928.0</v>
      </c>
      <c r="S2667" s="32">
        <v>44753.0</v>
      </c>
      <c r="T2667" s="29"/>
      <c r="U2667" s="33"/>
      <c r="V2667" s="1"/>
    </row>
    <row r="2668" ht="24.0" customHeight="1">
      <c r="A2668" s="1"/>
      <c r="B2668" s="24" t="str">
        <f>HYPERLINK("https://www.compass.com/listing/345-union-avenue-unit-1b-brooklyn-ny-11211/628384026753124985/view?agent_id=610d3f3370540700019b0833","345 Union Avenue, Unit 1B")</f>
        <v>345 Union Avenue, Unit 1B</v>
      </c>
      <c r="C2668" s="25" t="s">
        <v>365</v>
      </c>
      <c r="D2668" s="26" t="s">
        <v>23</v>
      </c>
      <c r="E2668" s="27" t="str">
        <f>HYPERLINK("https://www.compass.com/building/345-union-ave-brooklyn-ny-11211/282401359104385701/","345 Union Ave")</f>
        <v>345 Union Ave</v>
      </c>
      <c r="F2668" s="25" t="s">
        <v>46</v>
      </c>
      <c r="G2668" s="28">
        <v>1150000.0</v>
      </c>
      <c r="H2668" s="28">
        <v>977.0</v>
      </c>
      <c r="I2668" s="28">
        <v>688.0</v>
      </c>
      <c r="J2668" s="28">
        <v>8101.0</v>
      </c>
      <c r="K2668" s="25" t="s">
        <v>28</v>
      </c>
      <c r="L2668" s="26">
        <v>5.0</v>
      </c>
      <c r="M2668" s="26">
        <v>2.0</v>
      </c>
      <c r="N2668" s="26">
        <v>1.0</v>
      </c>
      <c r="O2668" s="30"/>
      <c r="P2668" s="34">
        <v>1177.0</v>
      </c>
      <c r="Q2668" s="31"/>
      <c r="R2668" s="32">
        <v>44132.0</v>
      </c>
      <c r="S2668" s="33"/>
      <c r="T2668" s="29"/>
      <c r="U2668" s="33"/>
      <c r="V2668" s="1"/>
    </row>
    <row r="2669" ht="24.0" customHeight="1">
      <c r="A2669" s="1"/>
      <c r="B2669" s="24" t="str">
        <f>HYPERLINK("https://www.compass.com/listing/330-spring-street-unit-3d-manhattan-ny-10013/918964153334370209/view?agent_id=610d3f3370540700019b0833","330 Spring Street, Unit 3D")</f>
        <v>330 Spring Street, Unit 3D</v>
      </c>
      <c r="C2669" s="25" t="s">
        <v>364</v>
      </c>
      <c r="D2669" s="26" t="s">
        <v>23</v>
      </c>
      <c r="E2669" s="27" t="str">
        <f>HYPERLINK("https://www.compass.com/building/the-urban-glass-house-manhattan-ny/281919040954338069/","The Urban Glass House")</f>
        <v>The Urban Glass House</v>
      </c>
      <c r="F2669" s="25" t="s">
        <v>135</v>
      </c>
      <c r="G2669" s="28">
        <v>2350000.0</v>
      </c>
      <c r="H2669" s="28">
        <v>1571.0</v>
      </c>
      <c r="I2669" s="28">
        <v>3006.0</v>
      </c>
      <c r="J2669" s="28">
        <v>11892.0</v>
      </c>
      <c r="K2669" s="25" t="s">
        <v>28</v>
      </c>
      <c r="L2669" s="26">
        <v>4.0</v>
      </c>
      <c r="M2669" s="26">
        <v>2.0</v>
      </c>
      <c r="N2669" s="26">
        <v>0.0</v>
      </c>
      <c r="O2669" s="26">
        <v>0.0</v>
      </c>
      <c r="P2669" s="34">
        <v>1496.0</v>
      </c>
      <c r="Q2669" s="35">
        <v>214.0</v>
      </c>
      <c r="R2669" s="32">
        <v>45636.0</v>
      </c>
      <c r="S2669" s="32">
        <v>41942.0</v>
      </c>
      <c r="T2669" s="29"/>
      <c r="U2669" s="33"/>
      <c r="V2669" s="1"/>
    </row>
    <row r="2670" ht="24.0" customHeight="1">
      <c r="A2670" s="1"/>
      <c r="B2670" s="24" t="str">
        <f>HYPERLINK("https://www.compass.com/listing/363-east-76th-street-unit-2b-manhattan-ny-10021/1687133833760606641/view?agent_id=610d3f3370540700019b0833","363 East 76th Street, Unit 2B")</f>
        <v>363 East 76th Street, Unit 2B</v>
      </c>
      <c r="C2670" s="25" t="s">
        <v>364</v>
      </c>
      <c r="D2670" s="26" t="s">
        <v>23</v>
      </c>
      <c r="E2670" s="27" t="str">
        <f>HYPERLINK("https://www.compass.com/building/sherman-towers-manhattan-ny/282059553435058005/","Sherman Towers")</f>
        <v>Sherman Towers</v>
      </c>
      <c r="F2670" s="25" t="s">
        <v>64</v>
      </c>
      <c r="G2670" s="28">
        <v>895000.0</v>
      </c>
      <c r="H2670" s="29"/>
      <c r="I2670" s="28">
        <v>2017.0</v>
      </c>
      <c r="J2670" s="28">
        <v>0.0</v>
      </c>
      <c r="K2670" s="25" t="s">
        <v>25</v>
      </c>
      <c r="L2670" s="26">
        <v>4.0</v>
      </c>
      <c r="M2670" s="26">
        <v>2.0</v>
      </c>
      <c r="N2670" s="26">
        <v>1.0</v>
      </c>
      <c r="O2670" s="26">
        <v>0.0</v>
      </c>
      <c r="P2670" s="30"/>
      <c r="Q2670" s="35">
        <v>34.0</v>
      </c>
      <c r="R2670" s="32">
        <v>45614.0</v>
      </c>
      <c r="S2670" s="32">
        <v>45579.0</v>
      </c>
      <c r="T2670" s="29"/>
      <c r="U2670" s="33"/>
      <c r="V2670" s="1"/>
    </row>
    <row r="2671" ht="24.0" customHeight="1">
      <c r="A2671" s="1"/>
      <c r="B2671" s="24" t="str">
        <f>HYPERLINK("https://www.compass.com/listing/448-east-84th-street-unit-3c-manhattan-ny-10028/872734759175103521/view?agent_id=610d3f3370540700019b0833","448 East 84th Street, Unit 3C")</f>
        <v>448 East 84th Street, Unit 3C</v>
      </c>
      <c r="C2671" s="25" t="s">
        <v>364</v>
      </c>
      <c r="D2671" s="26" t="s">
        <v>23</v>
      </c>
      <c r="E2671" s="27" t="str">
        <f>HYPERLINK("https://www.compass.com/building/448-e-84th-st-manhattan-ny-10028/281987095080313397/","448 E 84th St")</f>
        <v>448 E 84th St</v>
      </c>
      <c r="F2671" s="25" t="s">
        <v>44</v>
      </c>
      <c r="G2671" s="28">
        <v>550000.0</v>
      </c>
      <c r="H2671" s="29"/>
      <c r="I2671" s="28">
        <v>1221.0</v>
      </c>
      <c r="J2671" s="28">
        <v>0.0</v>
      </c>
      <c r="K2671" s="25" t="s">
        <v>25</v>
      </c>
      <c r="L2671" s="26">
        <v>4.0</v>
      </c>
      <c r="M2671" s="26">
        <v>2.0</v>
      </c>
      <c r="N2671" s="26">
        <v>1.0</v>
      </c>
      <c r="O2671" s="30"/>
      <c r="P2671" s="30"/>
      <c r="Q2671" s="35">
        <v>39.0</v>
      </c>
      <c r="R2671" s="32">
        <v>44496.0</v>
      </c>
      <c r="S2671" s="32">
        <v>44456.0</v>
      </c>
      <c r="T2671" s="29"/>
      <c r="U2671" s="33"/>
      <c r="V2671" s="1"/>
    </row>
    <row r="2672" ht="24.0" customHeight="1">
      <c r="A2672" s="1"/>
      <c r="B2672" s="24" t="str">
        <f>HYPERLINK("https://www.compass.com/listing/20-broadway-unit-502-brooklyn-ny-11249/4852305861730642721/view?agent_id=610d3f3370540700019b0833","20 Broadway, Unit 502")</f>
        <v>20 Broadway, Unit 502</v>
      </c>
      <c r="C2672" s="25" t="s">
        <v>370</v>
      </c>
      <c r="D2672" s="26" t="s">
        <v>23</v>
      </c>
      <c r="E2672" s="27" t="str">
        <f>HYPERLINK("https://www.compass.com/building/20-broadway-brooklyn-ny-11249/293425825368316613/","20 Broadway")</f>
        <v>20 Broadway</v>
      </c>
      <c r="F2672" s="25" t="s">
        <v>46</v>
      </c>
      <c r="G2672" s="28">
        <v>775000.0</v>
      </c>
      <c r="H2672" s="28">
        <v>643.0</v>
      </c>
      <c r="I2672" s="28">
        <v>926.0</v>
      </c>
      <c r="J2672" s="28">
        <v>12.0</v>
      </c>
      <c r="K2672" s="25" t="s">
        <v>28</v>
      </c>
      <c r="L2672" s="26">
        <v>4.0</v>
      </c>
      <c r="M2672" s="26">
        <v>2.0</v>
      </c>
      <c r="N2672" s="26">
        <v>0.0</v>
      </c>
      <c r="O2672" s="26">
        <v>0.0</v>
      </c>
      <c r="P2672" s="34">
        <v>1205.0</v>
      </c>
      <c r="Q2672" s="35">
        <v>0.0</v>
      </c>
      <c r="R2672" s="32">
        <v>44581.0</v>
      </c>
      <c r="S2672" s="32">
        <v>41538.0</v>
      </c>
      <c r="T2672" s="29"/>
      <c r="U2672" s="33"/>
      <c r="V2672" s="1"/>
    </row>
    <row r="2673" ht="24.0" customHeight="1">
      <c r="A2673" s="1"/>
      <c r="B2673" s="24" t="str">
        <f>HYPERLINK("https://www.compass.com/listing/315-east-70th-street-unit-12s-manhattan-ny-10021/175309007592909729/view?agent_id=610d3f3370540700019b0833","315 East 70th Street, Unit 12S")</f>
        <v>315 East 70th Street, Unit 12S</v>
      </c>
      <c r="C2673" s="25" t="s">
        <v>364</v>
      </c>
      <c r="D2673" s="26" t="s">
        <v>23</v>
      </c>
      <c r="E2673" s="27" t="str">
        <f>HYPERLINK("https://www.compass.com/building/315-e-70th-st-manhattan-ny-10021/281950264477418933/","315 E 70th St")</f>
        <v>315 E 70th St</v>
      </c>
      <c r="F2673" s="25" t="s">
        <v>64</v>
      </c>
      <c r="G2673" s="28">
        <v>899000.0</v>
      </c>
      <c r="H2673" s="29"/>
      <c r="I2673" s="28">
        <v>1806.0</v>
      </c>
      <c r="J2673" s="28">
        <v>0.0</v>
      </c>
      <c r="K2673" s="25" t="s">
        <v>25</v>
      </c>
      <c r="L2673" s="26">
        <v>4.0</v>
      </c>
      <c r="M2673" s="26">
        <v>2.0</v>
      </c>
      <c r="N2673" s="26">
        <v>1.0</v>
      </c>
      <c r="O2673" s="30"/>
      <c r="P2673" s="30"/>
      <c r="Q2673" s="35">
        <v>123.0</v>
      </c>
      <c r="R2673" s="32">
        <v>43616.0</v>
      </c>
      <c r="S2673" s="32">
        <v>43493.0</v>
      </c>
      <c r="T2673" s="29"/>
      <c r="U2673" s="33"/>
      <c r="V2673" s="1"/>
    </row>
    <row r="2674" ht="24.0" customHeight="1">
      <c r="A2674" s="1"/>
      <c r="B2674" s="24" t="str">
        <f>HYPERLINK("https://www.compass.com/listing/205-east-78th-street-unit-2t-manhattan-ny-10075/766513308449616417/view?agent_id=610d3f3370540700019b0833","205 East 78th Street, Unit 2T")</f>
        <v>205 East 78th Street, Unit 2T</v>
      </c>
      <c r="C2674" s="25" t="s">
        <v>364</v>
      </c>
      <c r="D2674" s="26" t="s">
        <v>23</v>
      </c>
      <c r="E2674" s="27" t="str">
        <f>HYPERLINK("https://www.compass.com/building/205-e-78th-st-manhattan-ny-10075/282043171616084869/","205 E 78th St")</f>
        <v>205 E 78th St</v>
      </c>
      <c r="F2674" s="25" t="s">
        <v>44</v>
      </c>
      <c r="G2674" s="28">
        <v>695000.0</v>
      </c>
      <c r="H2674" s="28">
        <v>818.0</v>
      </c>
      <c r="I2674" s="28">
        <v>1788.0</v>
      </c>
      <c r="J2674" s="28">
        <v>0.0</v>
      </c>
      <c r="K2674" s="25" t="s">
        <v>25</v>
      </c>
      <c r="L2674" s="26">
        <v>4.0</v>
      </c>
      <c r="M2674" s="26">
        <v>2.0</v>
      </c>
      <c r="N2674" s="26">
        <v>1.0</v>
      </c>
      <c r="O2674" s="30"/>
      <c r="P2674" s="26">
        <v>850.0</v>
      </c>
      <c r="Q2674" s="35">
        <v>165.0</v>
      </c>
      <c r="R2674" s="32">
        <v>44474.0</v>
      </c>
      <c r="S2674" s="32">
        <v>44309.0</v>
      </c>
      <c r="T2674" s="29"/>
      <c r="U2674" s="33"/>
      <c r="V2674" s="1"/>
    </row>
    <row r="2675" ht="24.0" customHeight="1">
      <c r="A2675" s="1"/>
      <c r="B2675" s="24" t="str">
        <f>HYPERLINK("https://www.compass.com/listing/120-east-75th-street-unit-2b-manhattan-ny-10021/29413382809574113/view?agent_id=610d3f3370540700019b0833","120 East 75th Street, Unit 2B")</f>
        <v>120 East 75th Street, Unit 2B</v>
      </c>
      <c r="C2675" s="25" t="s">
        <v>364</v>
      </c>
      <c r="D2675" s="26" t="s">
        <v>23</v>
      </c>
      <c r="E2675" s="27" t="str">
        <f>HYPERLINK("https://www.compass.com/building/120-e-75th-st-manhattan-ny-10021/281947827796505861/","120 E 75th St")</f>
        <v>120 E 75th St</v>
      </c>
      <c r="F2675" s="25" t="s">
        <v>64</v>
      </c>
      <c r="G2675" s="28">
        <v>1350000.0</v>
      </c>
      <c r="H2675" s="28">
        <v>1038.0</v>
      </c>
      <c r="I2675" s="28">
        <v>2733.0</v>
      </c>
      <c r="J2675" s="29"/>
      <c r="K2675" s="25" t="s">
        <v>25</v>
      </c>
      <c r="L2675" s="26">
        <v>5.0</v>
      </c>
      <c r="M2675" s="26">
        <v>2.0</v>
      </c>
      <c r="N2675" s="26">
        <v>1.0</v>
      </c>
      <c r="O2675" s="26">
        <v>0.0</v>
      </c>
      <c r="P2675" s="34">
        <v>1300.0</v>
      </c>
      <c r="Q2675" s="35">
        <v>555.0</v>
      </c>
      <c r="R2675" s="32">
        <v>45636.0</v>
      </c>
      <c r="S2675" s="32">
        <v>42121.0</v>
      </c>
      <c r="T2675" s="29"/>
      <c r="U2675" s="33"/>
      <c r="V2675" s="1"/>
    </row>
    <row r="2676" ht="24.0" customHeight="1">
      <c r="A2676" s="1"/>
      <c r="B2676" s="24" t="str">
        <f>HYPERLINK("https://www.compass.com/listing/508-a-lexington-avenue-unit-1-brooklyn-ny-11221/1264486547977285345/view?agent_id=610d3f3370540700019b0833","508 A Lexington Avenue, Unit 1")</f>
        <v>508 A Lexington Avenue, Unit 1</v>
      </c>
      <c r="C2676" s="25" t="s">
        <v>364</v>
      </c>
      <c r="D2676" s="26" t="s">
        <v>23</v>
      </c>
      <c r="E2676" s="26" t="s">
        <v>377</v>
      </c>
      <c r="F2676" s="25" t="s">
        <v>51</v>
      </c>
      <c r="G2676" s="28">
        <v>800000.0</v>
      </c>
      <c r="H2676" s="28">
        <v>546.0</v>
      </c>
      <c r="I2676" s="28">
        <v>1433.0</v>
      </c>
      <c r="J2676" s="28">
        <v>9780.0</v>
      </c>
      <c r="K2676" s="25" t="s">
        <v>28</v>
      </c>
      <c r="L2676" s="26">
        <v>5.0</v>
      </c>
      <c r="M2676" s="26">
        <v>2.0</v>
      </c>
      <c r="N2676" s="26">
        <v>1.0</v>
      </c>
      <c r="O2676" s="30"/>
      <c r="P2676" s="34">
        <v>1464.0</v>
      </c>
      <c r="Q2676" s="35">
        <v>183.0</v>
      </c>
      <c r="R2676" s="32">
        <v>45180.0</v>
      </c>
      <c r="S2676" s="32">
        <v>44996.0</v>
      </c>
      <c r="T2676" s="29"/>
      <c r="U2676" s="33"/>
      <c r="V2676" s="1"/>
    </row>
    <row r="2677" ht="24.0" customHeight="1">
      <c r="A2677" s="1"/>
      <c r="B2677" s="24" t="str">
        <f>HYPERLINK("https://www.compass.com/listing/214-north-11th-street-unit-1e-brooklyn-ny-11211/29483752300337153/view?agent_id=610d3f3370540700019b0833","214 North 11th Street, Unit 1E")</f>
        <v>214 North 11th Street, Unit 1E</v>
      </c>
      <c r="C2677" s="25" t="s">
        <v>364</v>
      </c>
      <c r="D2677" s="26" t="s">
        <v>23</v>
      </c>
      <c r="E2677" s="27" t="str">
        <f>HYPERLINK("https://www.compass.com/building/warehouse-11-brooklyn-ny/282395154193643397/","Warehouse 11")</f>
        <v>Warehouse 11</v>
      </c>
      <c r="F2677" s="25" t="s">
        <v>46</v>
      </c>
      <c r="G2677" s="28">
        <v>850000.0</v>
      </c>
      <c r="H2677" s="28">
        <v>757.0</v>
      </c>
      <c r="I2677" s="28">
        <v>710.0</v>
      </c>
      <c r="J2677" s="28">
        <v>480.0</v>
      </c>
      <c r="K2677" s="25" t="s">
        <v>28</v>
      </c>
      <c r="L2677" s="26">
        <v>5.0</v>
      </c>
      <c r="M2677" s="26">
        <v>2.0</v>
      </c>
      <c r="N2677" s="26">
        <v>0.0</v>
      </c>
      <c r="O2677" s="26">
        <v>0.0</v>
      </c>
      <c r="P2677" s="34">
        <v>1123.0</v>
      </c>
      <c r="Q2677" s="35">
        <v>0.0</v>
      </c>
      <c r="R2677" s="32">
        <v>44581.0</v>
      </c>
      <c r="S2677" s="32">
        <v>41561.0</v>
      </c>
      <c r="T2677" s="29"/>
      <c r="U2677" s="33"/>
      <c r="V2677" s="1"/>
    </row>
    <row r="2678" ht="24.0" customHeight="1">
      <c r="A2678" s="1"/>
      <c r="B2678" s="24" t="str">
        <f>HYPERLINK("https://www.compass.com/listing/308-west-30th-street-unit-4f-manhattan-ny-10001/1369548415412542249/view?agent_id=610d3f3370540700019b0833","308 West 30th Street, Unit 4F")</f>
        <v>308 West 30th Street, Unit 4F</v>
      </c>
      <c r="C2678" s="25" t="s">
        <v>365</v>
      </c>
      <c r="D2678" s="26" t="s">
        <v>23</v>
      </c>
      <c r="E2678" s="27" t="str">
        <f t="shared" ref="E2678:E2679" si="65">HYPERLINK("https://www.compass.com/building/the-irvin-house-manhattan-ny/281883290133070869/","The Irvin House")</f>
        <v>The Irvin House</v>
      </c>
      <c r="F2678" s="25" t="s">
        <v>27</v>
      </c>
      <c r="G2678" s="28">
        <v>799999.0</v>
      </c>
      <c r="H2678" s="29"/>
      <c r="I2678" s="28">
        <v>1304.0</v>
      </c>
      <c r="J2678" s="28">
        <v>10428.0</v>
      </c>
      <c r="K2678" s="25" t="s">
        <v>28</v>
      </c>
      <c r="L2678" s="26">
        <v>3.0</v>
      </c>
      <c r="M2678" s="26">
        <v>2.0</v>
      </c>
      <c r="N2678" s="26">
        <v>1.0</v>
      </c>
      <c r="O2678" s="30"/>
      <c r="P2678" s="30"/>
      <c r="Q2678" s="35">
        <v>27.0</v>
      </c>
      <c r="R2678" s="32">
        <v>45168.0</v>
      </c>
      <c r="S2678" s="32">
        <v>45141.0</v>
      </c>
      <c r="T2678" s="29"/>
      <c r="U2678" s="33"/>
      <c r="V2678" s="1"/>
    </row>
    <row r="2679" ht="24.0" customHeight="1">
      <c r="A2679" s="1"/>
      <c r="B2679" s="24" t="str">
        <f>HYPERLINK("https://www.compass.com/listing/308-west-30th-street-unit-4f-manhattan-ny-10001/796480601396214889/view?agent_id=610d3f3370540700019b0833","308 West 30th Street, Unit 4F")</f>
        <v>308 West 30th Street, Unit 4F</v>
      </c>
      <c r="C2679" s="25" t="s">
        <v>364</v>
      </c>
      <c r="D2679" s="26" t="s">
        <v>23</v>
      </c>
      <c r="E2679" s="27" t="str">
        <f t="shared" si="65"/>
        <v>The Irvin House</v>
      </c>
      <c r="F2679" s="25" t="s">
        <v>27</v>
      </c>
      <c r="G2679" s="28">
        <v>850000.0</v>
      </c>
      <c r="H2679" s="29"/>
      <c r="I2679" s="28">
        <v>1058.0</v>
      </c>
      <c r="J2679" s="28">
        <v>7477.0</v>
      </c>
      <c r="K2679" s="25" t="s">
        <v>28</v>
      </c>
      <c r="L2679" s="26">
        <v>3.0</v>
      </c>
      <c r="M2679" s="26">
        <v>2.0</v>
      </c>
      <c r="N2679" s="26">
        <v>1.0</v>
      </c>
      <c r="O2679" s="26">
        <v>0.0</v>
      </c>
      <c r="P2679" s="30"/>
      <c r="Q2679" s="35">
        <v>65.0</v>
      </c>
      <c r="R2679" s="32">
        <v>44530.0</v>
      </c>
      <c r="S2679" s="32">
        <v>44351.0</v>
      </c>
      <c r="T2679" s="29"/>
      <c r="U2679" s="33"/>
      <c r="V2679" s="1"/>
    </row>
    <row r="2680" ht="24.0" customHeight="1">
      <c r="A2680" s="1"/>
      <c r="B2680" s="24" t="str">
        <f>HYPERLINK("https://www.compass.com/listing/203-east-72nd-street-unit-5a-manhattan-ny-10021/29414688496407393/view?agent_id=610d3f3370540700019b0833","203 East 72nd Street, Unit 5A")</f>
        <v>203 East 72nd Street, Unit 5A</v>
      </c>
      <c r="C2680" s="25" t="s">
        <v>370</v>
      </c>
      <c r="D2680" s="26" t="s">
        <v>23</v>
      </c>
      <c r="E2680" s="27" t="str">
        <f>HYPERLINK("https://www.compass.com/building/the-bayard-house-manhattan-ny/282059377223958213/","The Bayard House")</f>
        <v>The Bayard House</v>
      </c>
      <c r="F2680" s="25" t="s">
        <v>64</v>
      </c>
      <c r="G2680" s="28">
        <v>1650000.0</v>
      </c>
      <c r="H2680" s="29"/>
      <c r="I2680" s="28">
        <v>2819.0</v>
      </c>
      <c r="J2680" s="29"/>
      <c r="K2680" s="25" t="s">
        <v>25</v>
      </c>
      <c r="L2680" s="26">
        <v>5.0</v>
      </c>
      <c r="M2680" s="26">
        <v>2.0</v>
      </c>
      <c r="N2680" s="26">
        <v>0.0</v>
      </c>
      <c r="O2680" s="26">
        <v>0.0</v>
      </c>
      <c r="P2680" s="30"/>
      <c r="Q2680" s="35">
        <v>47.0</v>
      </c>
      <c r="R2680" s="32">
        <v>45636.0</v>
      </c>
      <c r="S2680" s="32">
        <v>41751.0</v>
      </c>
      <c r="T2680" s="29"/>
      <c r="U2680" s="33"/>
      <c r="V2680" s="1"/>
    </row>
    <row r="2681" ht="24.0" customHeight="1">
      <c r="A2681" s="1"/>
      <c r="B2681" s="24" t="str">
        <f>HYPERLINK("https://www.compass.com/listing/479-lexington-avenue-unit-a-brooklyn-ny-11221/1039133460935009473/view?agent_id=610d3f3370540700019b0833","479 Lexington Avenue, Unit A")</f>
        <v>479 Lexington Avenue, Unit A</v>
      </c>
      <c r="C2681" s="25" t="s">
        <v>365</v>
      </c>
      <c r="D2681" s="26" t="s">
        <v>23</v>
      </c>
      <c r="E2681" s="27" t="str">
        <f>HYPERLINK("https://www.compass.com/building/479-lexington-ave-brooklyn-ny-11221/293534690349008629/","479 Lexington Ave")</f>
        <v>479 Lexington Ave</v>
      </c>
      <c r="F2681" s="25" t="s">
        <v>51</v>
      </c>
      <c r="G2681" s="28">
        <v>899000.0</v>
      </c>
      <c r="H2681" s="28">
        <v>966.0</v>
      </c>
      <c r="I2681" s="28">
        <v>761.0</v>
      </c>
      <c r="J2681" s="28">
        <v>2892.0</v>
      </c>
      <c r="K2681" s="25" t="s">
        <v>28</v>
      </c>
      <c r="L2681" s="26">
        <v>5.0</v>
      </c>
      <c r="M2681" s="26">
        <v>2.0</v>
      </c>
      <c r="N2681" s="26">
        <v>1.0</v>
      </c>
      <c r="O2681" s="30"/>
      <c r="P2681" s="26">
        <v>931.0</v>
      </c>
      <c r="Q2681" s="35">
        <v>26.0</v>
      </c>
      <c r="R2681" s="32">
        <v>44712.0</v>
      </c>
      <c r="S2681" s="32">
        <v>44685.0</v>
      </c>
      <c r="T2681" s="29"/>
      <c r="U2681" s="33"/>
      <c r="V2681" s="1"/>
    </row>
    <row r="2682" ht="24.0" customHeight="1">
      <c r="A2682" s="1"/>
      <c r="B2682" s="24" t="str">
        <f>HYPERLINK("https://www.compass.com/listing/330-spring-street-unit-8c-manhattan-ny-10013/921521922684318817/view?agent_id=610d3f3370540700019b0833","330 Spring Street, Unit 8C")</f>
        <v>330 Spring Street, Unit 8C</v>
      </c>
      <c r="C2682" s="25" t="s">
        <v>370</v>
      </c>
      <c r="D2682" s="26" t="s">
        <v>23</v>
      </c>
      <c r="E2682" s="27" t="str">
        <f>HYPERLINK("https://www.compass.com/building/the-urban-glass-house-manhattan-ny/281919040954338069/","The Urban Glass House")</f>
        <v>The Urban Glass House</v>
      </c>
      <c r="F2682" s="25" t="s">
        <v>135</v>
      </c>
      <c r="G2682" s="28">
        <v>2580000.0</v>
      </c>
      <c r="H2682" s="28">
        <v>1830.0</v>
      </c>
      <c r="I2682" s="28">
        <v>3227.0</v>
      </c>
      <c r="J2682" s="28">
        <v>15936.0</v>
      </c>
      <c r="K2682" s="25" t="s">
        <v>28</v>
      </c>
      <c r="L2682" s="26">
        <v>5.0</v>
      </c>
      <c r="M2682" s="26">
        <v>2.0</v>
      </c>
      <c r="N2682" s="26">
        <v>0.0</v>
      </c>
      <c r="O2682" s="26">
        <v>0.0</v>
      </c>
      <c r="P2682" s="34">
        <v>1410.0</v>
      </c>
      <c r="Q2682" s="35">
        <v>151.0</v>
      </c>
      <c r="R2682" s="32">
        <v>45636.0</v>
      </c>
      <c r="S2682" s="32">
        <v>42757.0</v>
      </c>
      <c r="T2682" s="29"/>
      <c r="U2682" s="33"/>
      <c r="V2682" s="1"/>
    </row>
    <row r="2683" ht="24.0" customHeight="1">
      <c r="A2683" s="1"/>
      <c r="B2683" s="24" t="str">
        <f>HYPERLINK("https://www.compass.com/listing/252-7th-avenue-unit-12r-manhattan-ny-10001/921944646888314225/view?agent_id=610d3f3370540700019b0833","252 7th Avenue, Unit 12R")</f>
        <v>252 7th Avenue, Unit 12R</v>
      </c>
      <c r="C2683" s="25" t="s">
        <v>364</v>
      </c>
      <c r="D2683" s="26" t="s">
        <v>23</v>
      </c>
      <c r="E2683" s="27" t="str">
        <f>HYPERLINK("https://www.compass.com/building/chelsea-mercantile-manhattan-ny/281883077574132517/","Chelsea Mercantile")</f>
        <v>Chelsea Mercantile</v>
      </c>
      <c r="F2683" s="25" t="s">
        <v>27</v>
      </c>
      <c r="G2683" s="28">
        <v>3400000.0</v>
      </c>
      <c r="H2683" s="28">
        <v>1505.0</v>
      </c>
      <c r="I2683" s="28">
        <v>3251.0</v>
      </c>
      <c r="J2683" s="28">
        <v>20604.0</v>
      </c>
      <c r="K2683" s="25" t="s">
        <v>28</v>
      </c>
      <c r="L2683" s="26">
        <v>6.0</v>
      </c>
      <c r="M2683" s="26">
        <v>2.0</v>
      </c>
      <c r="N2683" s="26">
        <v>0.0</v>
      </c>
      <c r="O2683" s="26">
        <v>0.0</v>
      </c>
      <c r="P2683" s="34">
        <v>2259.0</v>
      </c>
      <c r="Q2683" s="31"/>
      <c r="R2683" s="32">
        <v>44581.0</v>
      </c>
      <c r="S2683" s="33"/>
      <c r="T2683" s="29"/>
      <c r="U2683" s="33"/>
      <c r="V2683" s="1"/>
    </row>
    <row r="2684" ht="24.0" customHeight="1">
      <c r="A2684" s="1"/>
      <c r="B2684" s="24" t="str">
        <f>HYPERLINK("https://www.compass.com/listing/420-east-72nd-street-unit-18a-manhattan-ny-10021/262305103199891249/view?agent_id=610d3f3370540700019b0833","420 East 72nd Street, Unit 18A")</f>
        <v>420 East 72nd Street, Unit 18A</v>
      </c>
      <c r="C2684" s="25" t="s">
        <v>364</v>
      </c>
      <c r="D2684" s="26" t="s">
        <v>23</v>
      </c>
      <c r="E2684" s="27" t="str">
        <f>HYPERLINK("https://www.compass.com/building/420-e-72nd-st-manhattan-ny-10021/319549185694925221/","420 E 72nd St")</f>
        <v>420 E 72nd St</v>
      </c>
      <c r="F2684" s="25" t="s">
        <v>64</v>
      </c>
      <c r="G2684" s="28">
        <v>1050000.0</v>
      </c>
      <c r="H2684" s="29"/>
      <c r="I2684" s="28">
        <v>2319.0</v>
      </c>
      <c r="J2684" s="29"/>
      <c r="K2684" s="25" t="s">
        <v>25</v>
      </c>
      <c r="L2684" s="26">
        <v>4.0</v>
      </c>
      <c r="M2684" s="26">
        <v>2.0</v>
      </c>
      <c r="N2684" s="26">
        <v>1.0</v>
      </c>
      <c r="O2684" s="26">
        <v>0.0</v>
      </c>
      <c r="P2684" s="30"/>
      <c r="Q2684" s="35">
        <v>48.0</v>
      </c>
      <c r="R2684" s="32">
        <v>44581.0</v>
      </c>
      <c r="S2684" s="32">
        <v>43613.0</v>
      </c>
      <c r="T2684" s="29"/>
      <c r="U2684" s="33"/>
      <c r="V2684" s="1"/>
    </row>
    <row r="2685" ht="24.0" customHeight="1">
      <c r="A2685" s="1"/>
      <c r="B2685" s="24" t="str">
        <f>HYPERLINK("https://www.compass.com/listing/510-east-80th-street-unit-2g-manhattan-ny-10075/1550875037366213913/view?agent_id=610d3f3370540700019b0833","510 East 80th Street, Unit 2G")</f>
        <v>510 East 80th Street, Unit 2G</v>
      </c>
      <c r="C2685" s="25" t="s">
        <v>365</v>
      </c>
      <c r="D2685" s="26" t="s">
        <v>23</v>
      </c>
      <c r="E2685" s="27" t="str">
        <f>HYPERLINK("https://www.compass.com/building/510-e-80th-st-manhattan-ny-10075/282044882799843317/","510 E 80th St")</f>
        <v>510 E 80th St</v>
      </c>
      <c r="F2685" s="25" t="s">
        <v>44</v>
      </c>
      <c r="G2685" s="28">
        <v>1050000.0</v>
      </c>
      <c r="H2685" s="28">
        <v>1050.0</v>
      </c>
      <c r="I2685" s="28">
        <v>1653.0</v>
      </c>
      <c r="J2685" s="28">
        <v>8715.0</v>
      </c>
      <c r="K2685" s="25" t="s">
        <v>28</v>
      </c>
      <c r="L2685" s="26">
        <v>6.0</v>
      </c>
      <c r="M2685" s="26">
        <v>2.0</v>
      </c>
      <c r="N2685" s="26">
        <v>1.0</v>
      </c>
      <c r="O2685" s="30"/>
      <c r="P2685" s="34">
        <v>1000.0</v>
      </c>
      <c r="Q2685" s="35">
        <v>32.0</v>
      </c>
      <c r="R2685" s="32">
        <v>45425.0</v>
      </c>
      <c r="S2685" s="32">
        <v>45392.0</v>
      </c>
      <c r="T2685" s="29"/>
      <c r="U2685" s="33"/>
      <c r="V2685" s="1"/>
    </row>
    <row r="2686" ht="24.0" customHeight="1">
      <c r="A2686" s="1"/>
      <c r="B2686" s="24" t="str">
        <f>HYPERLINK("https://www.compass.com/listing/330-st-marks-avenue-unit-3301-brooklyn-ny-11238/1838919018396830121/view?agent_id=610d3f3370540700019b0833","330 St Marks Avenue, Unit 3301")</f>
        <v>330 St Marks Avenue, Unit 3301</v>
      </c>
      <c r="C2686" s="25" t="s">
        <v>364</v>
      </c>
      <c r="D2686" s="26" t="s">
        <v>23</v>
      </c>
      <c r="E2686" s="27" t="str">
        <f>HYPERLINK("https://www.compass.com/building/330-st-marks-ave-brooklyn-ny-11238/293531541550670917/","330 St Marks Ave")</f>
        <v>330 St Marks Ave</v>
      </c>
      <c r="F2686" s="25" t="s">
        <v>39</v>
      </c>
      <c r="G2686" s="28">
        <v>1700000.0</v>
      </c>
      <c r="H2686" s="28">
        <v>864.0</v>
      </c>
      <c r="I2686" s="28">
        <v>1206.0</v>
      </c>
      <c r="J2686" s="28">
        <v>10584.0</v>
      </c>
      <c r="K2686" s="25" t="s">
        <v>28</v>
      </c>
      <c r="L2686" s="26">
        <v>4.0</v>
      </c>
      <c r="M2686" s="26">
        <v>2.0</v>
      </c>
      <c r="N2686" s="26">
        <v>0.0</v>
      </c>
      <c r="O2686" s="26">
        <v>0.0</v>
      </c>
      <c r="P2686" s="34">
        <v>1967.0</v>
      </c>
      <c r="Q2686" s="35">
        <v>391.0</v>
      </c>
      <c r="R2686" s="32">
        <v>45636.0</v>
      </c>
      <c r="S2686" s="32">
        <v>42545.0</v>
      </c>
      <c r="T2686" s="29"/>
      <c r="U2686" s="33"/>
      <c r="V2686" s="1"/>
    </row>
    <row r="2687" ht="24.0" customHeight="1">
      <c r="A2687" s="1"/>
      <c r="B2687" s="24" t="str">
        <f>HYPERLINK("https://www.compass.com/listing/166-east-61st-street-unit-11g-manhattan-ny-10065/29412099612558689/view?agent_id=610d3f3370540700019b0833","166 East 61st Street, Unit 11G")</f>
        <v>166 East 61st Street, Unit 11G</v>
      </c>
      <c r="C2687" s="25" t="s">
        <v>364</v>
      </c>
      <c r="D2687" s="26" t="s">
        <v>23</v>
      </c>
      <c r="E2687" s="27" t="str">
        <f>HYPERLINK("https://www.compass.com/building/166-e-61st-st-manhattan-ny-10065/292827031547200837/","166 E 61st St")</f>
        <v>166 E 61st St</v>
      </c>
      <c r="F2687" s="25" t="s">
        <v>64</v>
      </c>
      <c r="G2687" s="28">
        <v>1099000.0</v>
      </c>
      <c r="H2687" s="28">
        <v>1099.0</v>
      </c>
      <c r="I2687" s="28">
        <v>2177.0</v>
      </c>
      <c r="J2687" s="29"/>
      <c r="K2687" s="25" t="s">
        <v>25</v>
      </c>
      <c r="L2687" s="26">
        <v>4.0</v>
      </c>
      <c r="M2687" s="26">
        <v>2.0</v>
      </c>
      <c r="N2687" s="26">
        <v>1.0</v>
      </c>
      <c r="O2687" s="26">
        <v>0.0</v>
      </c>
      <c r="P2687" s="34">
        <v>1000.0</v>
      </c>
      <c r="Q2687" s="35">
        <v>251.0</v>
      </c>
      <c r="R2687" s="32">
        <v>45636.0</v>
      </c>
      <c r="S2687" s="32">
        <v>42527.0</v>
      </c>
      <c r="T2687" s="29"/>
      <c r="U2687" s="33"/>
      <c r="V2687" s="1"/>
    </row>
    <row r="2688" ht="24.0" customHeight="1">
      <c r="A2688" s="1"/>
      <c r="B2688" s="24" t="str">
        <f>HYPERLINK("https://www.compass.com/listing/55-east-76th-street-unit-1d-manhattan-ny-10075/1527072874978199497/view?agent_id=610d3f3370540700019b0833","55 East 76th Street, Unit 1D")</f>
        <v>55 East 76th Street, Unit 1D</v>
      </c>
      <c r="C2688" s="25" t="s">
        <v>364</v>
      </c>
      <c r="D2688" s="26" t="s">
        <v>23</v>
      </c>
      <c r="E2688" s="27" t="str">
        <f>HYPERLINK("https://www.compass.com/building/55-e-76th-st-manhattan-ny-10075/307446726931453973/","55 E 76th St")</f>
        <v>55 E 76th St</v>
      </c>
      <c r="F2688" s="25" t="s">
        <v>64</v>
      </c>
      <c r="G2688" s="28">
        <v>950000.0</v>
      </c>
      <c r="H2688" s="29"/>
      <c r="I2688" s="28">
        <v>1844.0</v>
      </c>
      <c r="J2688" s="28">
        <v>0.0</v>
      </c>
      <c r="K2688" s="25" t="s">
        <v>25</v>
      </c>
      <c r="L2688" s="26">
        <v>5.0</v>
      </c>
      <c r="M2688" s="26">
        <v>2.0</v>
      </c>
      <c r="N2688" s="26">
        <v>1.0</v>
      </c>
      <c r="O2688" s="26">
        <v>0.0</v>
      </c>
      <c r="P2688" s="30"/>
      <c r="Q2688" s="35">
        <v>49.0</v>
      </c>
      <c r="R2688" s="32">
        <v>45408.0</v>
      </c>
      <c r="S2688" s="32">
        <v>45358.0</v>
      </c>
      <c r="T2688" s="29"/>
      <c r="U2688" s="33"/>
      <c r="V2688" s="1"/>
    </row>
    <row r="2689" ht="24.0" customHeight="1">
      <c r="A2689" s="1"/>
      <c r="B2689" s="24" t="str">
        <f>HYPERLINK("https://www.compass.com/listing/333-east-69th-street-unit-12b-manhattan-ny-10021/1838973597054592769/view?agent_id=610d3f3370540700019b0833","333 East 69th Street, Unit 12B")</f>
        <v>333 East 69th Street, Unit 12B</v>
      </c>
      <c r="C2689" s="25" t="s">
        <v>364</v>
      </c>
      <c r="D2689" s="26" t="s">
        <v>23</v>
      </c>
      <c r="E2689" s="27" t="str">
        <f>HYPERLINK("https://www.compass.com/building/premiere-manhattan-ny/281950479192227413/","Premiere")</f>
        <v>Premiere</v>
      </c>
      <c r="F2689" s="25" t="s">
        <v>64</v>
      </c>
      <c r="G2689" s="28">
        <v>1595000.0</v>
      </c>
      <c r="H2689" s="29"/>
      <c r="I2689" s="28">
        <v>2162.0</v>
      </c>
      <c r="J2689" s="29"/>
      <c r="K2689" s="25" t="s">
        <v>25</v>
      </c>
      <c r="L2689" s="26">
        <v>4.0</v>
      </c>
      <c r="M2689" s="26">
        <v>2.0</v>
      </c>
      <c r="N2689" s="26">
        <v>0.0</v>
      </c>
      <c r="O2689" s="26">
        <v>0.0</v>
      </c>
      <c r="P2689" s="30"/>
      <c r="Q2689" s="35">
        <v>52.0</v>
      </c>
      <c r="R2689" s="32">
        <v>45636.0</v>
      </c>
      <c r="S2689" s="32">
        <v>43119.0</v>
      </c>
      <c r="T2689" s="29"/>
      <c r="U2689" s="33"/>
      <c r="V2689" s="1"/>
    </row>
    <row r="2690" ht="24.0" customHeight="1">
      <c r="A2690" s="1"/>
      <c r="B2690" s="24" t="str">
        <f>HYPERLINK("https://www.compass.com/listing/479-lexington-avenue-unit-1-brooklyn-ny-11221/982790519214285353/view?agent_id=610d3f3370540700019b0833","479 Lexington Avenue, Unit 1")</f>
        <v>479 Lexington Avenue, Unit 1</v>
      </c>
      <c r="C2690" s="25" t="s">
        <v>365</v>
      </c>
      <c r="D2690" s="26" t="s">
        <v>23</v>
      </c>
      <c r="E2690" s="27" t="str">
        <f>HYPERLINK("https://www.compass.com/building/479-lexington-ave-brooklyn-ny-11221/293534690349008629/","479 Lexington Ave")</f>
        <v>479 Lexington Ave</v>
      </c>
      <c r="F2690" s="25" t="s">
        <v>51</v>
      </c>
      <c r="G2690" s="28">
        <v>999000.0</v>
      </c>
      <c r="H2690" s="28">
        <v>1073.0</v>
      </c>
      <c r="I2690" s="28">
        <v>761.0</v>
      </c>
      <c r="J2690" s="28">
        <v>2892.0</v>
      </c>
      <c r="K2690" s="25" t="s">
        <v>28</v>
      </c>
      <c r="L2690" s="26">
        <v>5.0</v>
      </c>
      <c r="M2690" s="26">
        <v>2.0</v>
      </c>
      <c r="N2690" s="26">
        <v>1.0</v>
      </c>
      <c r="O2690" s="26">
        <v>0.0</v>
      </c>
      <c r="P2690" s="26">
        <v>931.0</v>
      </c>
      <c r="Q2690" s="35">
        <v>77.0</v>
      </c>
      <c r="R2690" s="32">
        <v>44985.0</v>
      </c>
      <c r="S2690" s="32">
        <v>44607.0</v>
      </c>
      <c r="T2690" s="29"/>
      <c r="U2690" s="33"/>
      <c r="V2690" s="1"/>
    </row>
    <row r="2691" ht="24.0" customHeight="1">
      <c r="A2691" s="1"/>
      <c r="B2691" s="24" t="str">
        <f>HYPERLINK("https://www.compass.com/listing/214-north-11th-street-unit-1l-brooklyn-ny-11211/1838868512962098777/view?agent_id=610d3f3370540700019b0833","214 North 11th Street, Unit 1L")</f>
        <v>214 North 11th Street, Unit 1L</v>
      </c>
      <c r="C2691" s="25" t="s">
        <v>364</v>
      </c>
      <c r="D2691" s="26" t="s">
        <v>23</v>
      </c>
      <c r="E2691" s="27" t="str">
        <f>HYPERLINK("https://www.compass.com/building/warehouse-11-brooklyn-ny/282395154193643397/","Warehouse 11")</f>
        <v>Warehouse 11</v>
      </c>
      <c r="F2691" s="25" t="s">
        <v>46</v>
      </c>
      <c r="G2691" s="28">
        <v>850000.0</v>
      </c>
      <c r="H2691" s="28">
        <v>730.0</v>
      </c>
      <c r="I2691" s="28">
        <v>719.0</v>
      </c>
      <c r="J2691" s="28">
        <v>504.0</v>
      </c>
      <c r="K2691" s="25" t="s">
        <v>28</v>
      </c>
      <c r="L2691" s="26">
        <v>3.0</v>
      </c>
      <c r="M2691" s="26">
        <v>2.0</v>
      </c>
      <c r="N2691" s="26">
        <v>0.0</v>
      </c>
      <c r="O2691" s="26">
        <v>0.0</v>
      </c>
      <c r="P2691" s="34">
        <v>1164.0</v>
      </c>
      <c r="Q2691" s="35">
        <v>130.0</v>
      </c>
      <c r="R2691" s="32">
        <v>44581.0</v>
      </c>
      <c r="S2691" s="32">
        <v>41370.0</v>
      </c>
      <c r="T2691" s="29"/>
      <c r="U2691" s="33"/>
      <c r="V2691" s="1"/>
    </row>
    <row r="2692" ht="24.0" customHeight="1">
      <c r="A2692" s="1"/>
      <c r="B2692" s="24" t="str">
        <f>HYPERLINK("https://www.compass.com/listing/815-park-avenue-unit-2a-manhattan-ny-10021/70926360939413633/view?agent_id=610d3f3370540700019b0833","815 Park Avenue, Unit 2A")</f>
        <v>815 Park Avenue, Unit 2A</v>
      </c>
      <c r="C2692" s="25" t="s">
        <v>364</v>
      </c>
      <c r="D2692" s="26" t="s">
        <v>23</v>
      </c>
      <c r="E2692" s="27" t="str">
        <f>HYPERLINK("https://www.compass.com/building/815-park-ave-manhattan-ny-10021/281951881012512117/","815 Park Ave")</f>
        <v>815 Park Ave</v>
      </c>
      <c r="F2692" s="25" t="s">
        <v>64</v>
      </c>
      <c r="G2692" s="28">
        <v>1350000.0</v>
      </c>
      <c r="H2692" s="28">
        <v>1350.0</v>
      </c>
      <c r="I2692" s="28">
        <v>2888.0</v>
      </c>
      <c r="J2692" s="29"/>
      <c r="K2692" s="25" t="s">
        <v>25</v>
      </c>
      <c r="L2692" s="26">
        <v>4.0</v>
      </c>
      <c r="M2692" s="26">
        <v>2.0</v>
      </c>
      <c r="N2692" s="26">
        <v>0.0</v>
      </c>
      <c r="O2692" s="26">
        <v>0.0</v>
      </c>
      <c r="P2692" s="34">
        <v>1000.0</v>
      </c>
      <c r="Q2692" s="35">
        <v>99.0</v>
      </c>
      <c r="R2692" s="32">
        <v>44581.0</v>
      </c>
      <c r="S2692" s="32">
        <v>42891.0</v>
      </c>
      <c r="T2692" s="29"/>
      <c r="U2692" s="33"/>
      <c r="V2692" s="1"/>
    </row>
    <row r="2693" ht="24.0" customHeight="1">
      <c r="A2693" s="1"/>
      <c r="B2693" s="24" t="str">
        <f>HYPERLINK("https://www.compass.com/listing/205-east-78th-street-unit-11t-manhattan-ny-10075/951393779655576241/view?agent_id=610d3f3370540700019b0833","205 East 78th Street, Unit 11T")</f>
        <v>205 East 78th Street, Unit 11T</v>
      </c>
      <c r="C2693" s="25" t="s">
        <v>370</v>
      </c>
      <c r="D2693" s="26" t="s">
        <v>23</v>
      </c>
      <c r="E2693" s="27" t="str">
        <f>HYPERLINK("https://www.compass.com/building/205-e-78th-st-manhattan-ny-10075/282043171616084869/","205 E 78th St")</f>
        <v>205 E 78th St</v>
      </c>
      <c r="F2693" s="25" t="s">
        <v>44</v>
      </c>
      <c r="G2693" s="28">
        <v>875000.0</v>
      </c>
      <c r="H2693" s="29"/>
      <c r="I2693" s="28">
        <v>1985.0</v>
      </c>
      <c r="J2693" s="28">
        <v>0.0</v>
      </c>
      <c r="K2693" s="25" t="s">
        <v>25</v>
      </c>
      <c r="L2693" s="26">
        <v>4.0</v>
      </c>
      <c r="M2693" s="26">
        <v>2.0</v>
      </c>
      <c r="N2693" s="26">
        <v>1.0</v>
      </c>
      <c r="O2693" s="30"/>
      <c r="P2693" s="30"/>
      <c r="Q2693" s="35">
        <v>130.0</v>
      </c>
      <c r="R2693" s="32">
        <v>44694.0</v>
      </c>
      <c r="S2693" s="32">
        <v>44564.0</v>
      </c>
      <c r="T2693" s="29"/>
      <c r="U2693" s="33"/>
      <c r="V2693" s="1"/>
    </row>
    <row r="2694" ht="24.0" customHeight="1">
      <c r="A2694" s="1"/>
      <c r="B2694" s="24" t="str">
        <f>HYPERLINK("https://www.compass.com/listing/955-lexington-avenue-unit-10c-manhattan-ny-10021/1838978709089083073/view?agent_id=610d3f3370540700019b0833","955 Lexington Avenue, Unit 10C")</f>
        <v>955 Lexington Avenue, Unit 10C</v>
      </c>
      <c r="C2694" s="25" t="s">
        <v>364</v>
      </c>
      <c r="D2694" s="26" t="s">
        <v>23</v>
      </c>
      <c r="E2694" s="27" t="str">
        <f>HYPERLINK("https://www.compass.com/building/955-lexington-ave-manhattan-ny-10021/281952100106177717/","955 Lexington Ave")</f>
        <v>955 Lexington Ave</v>
      </c>
      <c r="F2694" s="25" t="s">
        <v>64</v>
      </c>
      <c r="G2694" s="28">
        <v>1895000.0</v>
      </c>
      <c r="H2694" s="29"/>
      <c r="I2694" s="28">
        <v>5230.0</v>
      </c>
      <c r="J2694" s="29"/>
      <c r="K2694" s="25" t="s">
        <v>25</v>
      </c>
      <c r="L2694" s="26">
        <v>6.0</v>
      </c>
      <c r="M2694" s="26">
        <v>2.0</v>
      </c>
      <c r="N2694" s="26">
        <v>0.0</v>
      </c>
      <c r="O2694" s="26">
        <v>0.0</v>
      </c>
      <c r="P2694" s="30"/>
      <c r="Q2694" s="35">
        <v>216.0</v>
      </c>
      <c r="R2694" s="32">
        <v>45636.0</v>
      </c>
      <c r="S2694" s="32">
        <v>42902.0</v>
      </c>
      <c r="T2694" s="29"/>
      <c r="U2694" s="33"/>
      <c r="V2694" s="1"/>
    </row>
    <row r="2695" ht="24.0" customHeight="1">
      <c r="A2695" s="1"/>
      <c r="B2695" s="24" t="str">
        <f>HYPERLINK("https://www.compass.com/listing/179-monroe-street-unit-1a-brooklyn-ny-11216/1248228314095240617/view?agent_id=610d3f3370540700019b0833","179 Monroe Street, Unit 1A")</f>
        <v>179 Monroe Street, Unit 1A</v>
      </c>
      <c r="C2695" s="25" t="s">
        <v>370</v>
      </c>
      <c r="D2695" s="26" t="s">
        <v>23</v>
      </c>
      <c r="E2695" s="27" t="str">
        <f>HYPERLINK("https://www.compass.com/building/179-monroe-st-brooklyn-ny-11216/293528155396781733/","179 Monroe St")</f>
        <v>179 Monroe St</v>
      </c>
      <c r="F2695" s="25" t="s">
        <v>51</v>
      </c>
      <c r="G2695" s="28">
        <v>525000.0</v>
      </c>
      <c r="H2695" s="28">
        <v>345.0</v>
      </c>
      <c r="I2695" s="28">
        <v>508.0</v>
      </c>
      <c r="J2695" s="28">
        <v>156.0</v>
      </c>
      <c r="K2695" s="25" t="s">
        <v>28</v>
      </c>
      <c r="L2695" s="26">
        <v>4.0</v>
      </c>
      <c r="M2695" s="26">
        <v>2.0</v>
      </c>
      <c r="N2695" s="26">
        <v>0.0</v>
      </c>
      <c r="O2695" s="26">
        <v>0.0</v>
      </c>
      <c r="P2695" s="34">
        <v>1520.0</v>
      </c>
      <c r="Q2695" s="35">
        <v>0.0</v>
      </c>
      <c r="R2695" s="32">
        <v>44581.0</v>
      </c>
      <c r="S2695" s="32">
        <v>41538.0</v>
      </c>
      <c r="T2695" s="29"/>
      <c r="U2695" s="33"/>
      <c r="V2695" s="1"/>
    </row>
    <row r="2696" ht="24.0" customHeight="1">
      <c r="A2696" s="1"/>
      <c r="B2696" s="24" t="str">
        <f>HYPERLINK("https://www.compass.com/listing/83-walker-street-unit-2-manhattan-ny-10013/1838941330316176641/view?agent_id=610d3f3370540700019b0833","83 Walker Street, Unit 2")</f>
        <v>83 Walker Street, Unit 2</v>
      </c>
      <c r="C2696" s="25" t="s">
        <v>364</v>
      </c>
      <c r="D2696" s="26" t="s">
        <v>23</v>
      </c>
      <c r="E2696" s="27" t="str">
        <f t="shared" ref="E2696:E2697" si="66">HYPERLINK("https://www.compass.com/building/83-walker-st-manhattan-ny-10013/281921390477610613/","83 Walker St")</f>
        <v>83 Walker St</v>
      </c>
      <c r="F2696" s="25" t="s">
        <v>60</v>
      </c>
      <c r="G2696" s="28">
        <v>2600000.0</v>
      </c>
      <c r="H2696" s="28">
        <v>1861.0</v>
      </c>
      <c r="I2696" s="28">
        <v>2919.0</v>
      </c>
      <c r="J2696" s="28">
        <v>25776.0</v>
      </c>
      <c r="K2696" s="25" t="s">
        <v>28</v>
      </c>
      <c r="L2696" s="26">
        <v>4.0</v>
      </c>
      <c r="M2696" s="26">
        <v>2.0</v>
      </c>
      <c r="N2696" s="26">
        <v>0.0</v>
      </c>
      <c r="O2696" s="26">
        <v>0.0</v>
      </c>
      <c r="P2696" s="34">
        <v>1397.0</v>
      </c>
      <c r="Q2696" s="35">
        <v>55.0</v>
      </c>
      <c r="R2696" s="32">
        <v>45636.0</v>
      </c>
      <c r="S2696" s="32">
        <v>43004.0</v>
      </c>
      <c r="T2696" s="29"/>
      <c r="U2696" s="33"/>
      <c r="V2696" s="1"/>
    </row>
    <row r="2697" ht="24.0" customHeight="1">
      <c r="A2697" s="1"/>
      <c r="B2697" s="24" t="str">
        <f>HYPERLINK("https://www.compass.com/listing/83-walker-street-unit-3-manhattan-ny-10013/1838976629377052913/view?agent_id=610d3f3370540700019b0833","83 Walker Street, Unit 3")</f>
        <v>83 Walker Street, Unit 3</v>
      </c>
      <c r="C2697" s="25" t="s">
        <v>364</v>
      </c>
      <c r="D2697" s="26" t="s">
        <v>23</v>
      </c>
      <c r="E2697" s="27" t="str">
        <f t="shared" si="66"/>
        <v>83 Walker St</v>
      </c>
      <c r="F2697" s="25" t="s">
        <v>60</v>
      </c>
      <c r="G2697" s="28">
        <v>2650000.0</v>
      </c>
      <c r="H2697" s="28">
        <v>1897.0</v>
      </c>
      <c r="I2697" s="28">
        <v>2952.0</v>
      </c>
      <c r="J2697" s="28">
        <v>26076.0</v>
      </c>
      <c r="K2697" s="25" t="s">
        <v>28</v>
      </c>
      <c r="L2697" s="26">
        <v>4.0</v>
      </c>
      <c r="M2697" s="26">
        <v>2.0</v>
      </c>
      <c r="N2697" s="26">
        <v>0.0</v>
      </c>
      <c r="O2697" s="26">
        <v>0.0</v>
      </c>
      <c r="P2697" s="34">
        <v>1397.0</v>
      </c>
      <c r="Q2697" s="35">
        <v>55.0</v>
      </c>
      <c r="R2697" s="32">
        <v>45636.0</v>
      </c>
      <c r="S2697" s="32">
        <v>43004.0</v>
      </c>
      <c r="T2697" s="29"/>
      <c r="U2697" s="33"/>
      <c r="V2697" s="1"/>
    </row>
    <row r="2698" ht="24.0" customHeight="1">
      <c r="A2698" s="1"/>
      <c r="B2698" s="24" t="str">
        <f>HYPERLINK("https://www.compass.com/listing/107-west-25th-street-unit-3e-manhattan-ny-10001/190732227049534689/view?agent_id=610d3f3370540700019b0833","107 West 25th Street, Unit 3E")</f>
        <v>107 West 25th Street, Unit 3E</v>
      </c>
      <c r="C2698" s="25" t="s">
        <v>364</v>
      </c>
      <c r="D2698" s="26" t="s">
        <v>23</v>
      </c>
      <c r="E2698" s="27" t="str">
        <f t="shared" ref="E2698:E2699" si="67">HYPERLINK("https://www.compass.com/building/107-w-25th-st-manhattan-ny-10001/281882376462663717/","107 W 25th St")</f>
        <v>107 W 25th St</v>
      </c>
      <c r="F2698" s="25" t="s">
        <v>27</v>
      </c>
      <c r="G2698" s="28">
        <v>1650000.0</v>
      </c>
      <c r="H2698" s="28">
        <v>1500.0</v>
      </c>
      <c r="I2698" s="28">
        <v>2022.0</v>
      </c>
      <c r="J2698" s="29"/>
      <c r="K2698" s="25" t="s">
        <v>25</v>
      </c>
      <c r="L2698" s="26">
        <v>4.0</v>
      </c>
      <c r="M2698" s="26">
        <v>2.0</v>
      </c>
      <c r="N2698" s="26">
        <v>1.0</v>
      </c>
      <c r="O2698" s="26">
        <v>0.0</v>
      </c>
      <c r="P2698" s="34">
        <v>1100.0</v>
      </c>
      <c r="Q2698" s="31"/>
      <c r="R2698" s="32">
        <v>45636.0</v>
      </c>
      <c r="S2698" s="33"/>
      <c r="T2698" s="29"/>
      <c r="U2698" s="33"/>
      <c r="V2698" s="1"/>
    </row>
    <row r="2699" ht="24.0" customHeight="1">
      <c r="A2699" s="1"/>
      <c r="B2699" s="24" t="str">
        <f>HYPERLINK("https://www.compass.com/listing/107-west-25th-street-unit-3e-manhattan-ny-10001/922034503509176169/view?agent_id=610d3f3370540700019b0833","107 West 25th Street, Unit 3E")</f>
        <v>107 West 25th Street, Unit 3E</v>
      </c>
      <c r="C2699" s="25" t="s">
        <v>364</v>
      </c>
      <c r="D2699" s="26" t="s">
        <v>23</v>
      </c>
      <c r="E2699" s="27" t="str">
        <f t="shared" si="67"/>
        <v>107 W 25th St</v>
      </c>
      <c r="F2699" s="25" t="s">
        <v>27</v>
      </c>
      <c r="G2699" s="28">
        <v>1475000.0</v>
      </c>
      <c r="H2699" s="28">
        <v>1341.0</v>
      </c>
      <c r="I2699" s="28">
        <v>2163.0</v>
      </c>
      <c r="J2699" s="29"/>
      <c r="K2699" s="25" t="s">
        <v>25</v>
      </c>
      <c r="L2699" s="26">
        <v>4.0</v>
      </c>
      <c r="M2699" s="26">
        <v>2.0</v>
      </c>
      <c r="N2699" s="26">
        <v>1.0</v>
      </c>
      <c r="O2699" s="26">
        <v>0.0</v>
      </c>
      <c r="P2699" s="34">
        <v>1100.0</v>
      </c>
      <c r="Q2699" s="35">
        <v>182.0</v>
      </c>
      <c r="R2699" s="32">
        <v>45636.0</v>
      </c>
      <c r="S2699" s="32">
        <v>43514.0</v>
      </c>
      <c r="T2699" s="29"/>
      <c r="U2699" s="33"/>
      <c r="V2699" s="1"/>
    </row>
    <row r="2700" ht="24.0" customHeight="1">
      <c r="A2700" s="1"/>
      <c r="B2700" s="24" t="str">
        <f>HYPERLINK("https://www.compass.com/listing/330-spring-street-unit-8c-manhattan-ny-10013/29366907127800129/view?agent_id=610d3f3370540700019b0833","330 Spring Street, Unit 8C")</f>
        <v>330 Spring Street, Unit 8C</v>
      </c>
      <c r="C2700" s="25" t="s">
        <v>364</v>
      </c>
      <c r="D2700" s="26" t="s">
        <v>23</v>
      </c>
      <c r="E2700" s="27" t="str">
        <f t="shared" ref="E2700:E2701" si="68">HYPERLINK("https://www.compass.com/building/the-urban-glass-house-manhattan-ny/281919040954338069/","The Urban Glass House")</f>
        <v>The Urban Glass House</v>
      </c>
      <c r="F2700" s="25" t="s">
        <v>135</v>
      </c>
      <c r="G2700" s="28">
        <v>2580000.0</v>
      </c>
      <c r="H2700" s="28">
        <v>1792.0</v>
      </c>
      <c r="I2700" s="28">
        <v>3227.0</v>
      </c>
      <c r="J2700" s="28">
        <v>15936.0</v>
      </c>
      <c r="K2700" s="25" t="s">
        <v>28</v>
      </c>
      <c r="L2700" s="26">
        <v>4.0</v>
      </c>
      <c r="M2700" s="26">
        <v>2.0</v>
      </c>
      <c r="N2700" s="26">
        <v>0.0</v>
      </c>
      <c r="O2700" s="26">
        <v>0.0</v>
      </c>
      <c r="P2700" s="34">
        <v>1440.0</v>
      </c>
      <c r="Q2700" s="35">
        <v>142.0</v>
      </c>
      <c r="R2700" s="32">
        <v>45636.0</v>
      </c>
      <c r="S2700" s="32">
        <v>42443.0</v>
      </c>
      <c r="T2700" s="29"/>
      <c r="U2700" s="33"/>
      <c r="V2700" s="1"/>
    </row>
    <row r="2701" ht="24.0" customHeight="1">
      <c r="A2701" s="1"/>
      <c r="B2701" s="24" t="str">
        <f>HYPERLINK("https://www.compass.com/listing/330-spring-street-unit-3c-manhattan-ny-10013/4852325802064229809/view?agent_id=610d3f3370540700019b0833","330 Spring Street, Unit 3C")</f>
        <v>330 Spring Street, Unit 3C</v>
      </c>
      <c r="C2701" s="25" t="s">
        <v>364</v>
      </c>
      <c r="D2701" s="26" t="s">
        <v>23</v>
      </c>
      <c r="E2701" s="27" t="str">
        <f t="shared" si="68"/>
        <v>The Urban Glass House</v>
      </c>
      <c r="F2701" s="25" t="s">
        <v>135</v>
      </c>
      <c r="G2701" s="28">
        <v>2550000.0</v>
      </c>
      <c r="H2701" s="28">
        <v>1771.0</v>
      </c>
      <c r="I2701" s="28">
        <v>2826.0</v>
      </c>
      <c r="J2701" s="28">
        <v>11184.0</v>
      </c>
      <c r="K2701" s="25" t="s">
        <v>28</v>
      </c>
      <c r="L2701" s="26">
        <v>4.0</v>
      </c>
      <c r="M2701" s="26">
        <v>2.0</v>
      </c>
      <c r="N2701" s="26">
        <v>0.0</v>
      </c>
      <c r="O2701" s="26">
        <v>0.0</v>
      </c>
      <c r="P2701" s="34">
        <v>1440.0</v>
      </c>
      <c r="Q2701" s="35">
        <v>89.0</v>
      </c>
      <c r="R2701" s="32">
        <v>45636.0</v>
      </c>
      <c r="S2701" s="32">
        <v>42389.0</v>
      </c>
      <c r="T2701" s="29"/>
      <c r="U2701" s="33"/>
      <c r="V2701" s="1"/>
    </row>
    <row r="2702" ht="24.0" customHeight="1">
      <c r="A2702" s="1"/>
      <c r="B2702" s="24" t="str">
        <f>HYPERLINK("https://www.compass.com/listing/404-east-79th-street-unit-22e-manhattan-ny-10075/4852267801307514833/view?agent_id=610d3f3370540700019b0833","404 East 79th Street, Unit 22E")</f>
        <v>404 East 79th Street, Unit 22E</v>
      </c>
      <c r="C2702" s="25" t="s">
        <v>364</v>
      </c>
      <c r="D2702" s="26" t="s">
        <v>23</v>
      </c>
      <c r="E2702" s="27" t="str">
        <f>HYPERLINK("https://www.compass.com/building/hampton-house-manhattan-ny/282044424882509477/","Hampton House")</f>
        <v>Hampton House</v>
      </c>
      <c r="F2702" s="25" t="s">
        <v>44</v>
      </c>
      <c r="G2702" s="28">
        <v>795000.0</v>
      </c>
      <c r="H2702" s="28">
        <v>1195.0</v>
      </c>
      <c r="I2702" s="28">
        <v>1688.0</v>
      </c>
      <c r="J2702" s="28">
        <v>8616.0</v>
      </c>
      <c r="K2702" s="25" t="s">
        <v>28</v>
      </c>
      <c r="L2702" s="26">
        <v>3.0</v>
      </c>
      <c r="M2702" s="26">
        <v>2.0</v>
      </c>
      <c r="N2702" s="26">
        <v>0.0</v>
      </c>
      <c r="O2702" s="26">
        <v>0.0</v>
      </c>
      <c r="P2702" s="26">
        <v>665.0</v>
      </c>
      <c r="Q2702" s="35">
        <v>179.0</v>
      </c>
      <c r="R2702" s="32">
        <v>45636.0</v>
      </c>
      <c r="S2702" s="32">
        <v>42243.0</v>
      </c>
      <c r="T2702" s="29"/>
      <c r="U2702" s="33"/>
      <c r="V2702" s="1"/>
    </row>
    <row r="2703" ht="24.0" customHeight="1">
      <c r="A2703" s="1"/>
      <c r="B2703" s="24" t="str">
        <f>HYPERLINK("https://www.compass.com/listing/345-east-73rd-street-unit-3a-manhattan-ny-10021/1663231764175113321/view?agent_id=610d3f3370540700019b0833","345 East 73rd Street, Unit 3A")</f>
        <v>345 East 73rd Street, Unit 3A</v>
      </c>
      <c r="C2703" s="25" t="s">
        <v>364</v>
      </c>
      <c r="D2703" s="26" t="s">
        <v>23</v>
      </c>
      <c r="E2703" s="27" t="str">
        <f t="shared" ref="E2703:E2704" si="69">HYPERLINK("https://www.compass.com/building/345-e-73rd-st-manhattan-ny-10021/281950686726389941/","345 E 73rd St")</f>
        <v>345 E 73rd St</v>
      </c>
      <c r="F2703" s="25" t="s">
        <v>64</v>
      </c>
      <c r="G2703" s="28">
        <v>790000.0</v>
      </c>
      <c r="H2703" s="29"/>
      <c r="I2703" s="28">
        <v>1900.0</v>
      </c>
      <c r="J2703" s="28">
        <v>0.0</v>
      </c>
      <c r="K2703" s="25" t="s">
        <v>25</v>
      </c>
      <c r="L2703" s="26">
        <v>4.0</v>
      </c>
      <c r="M2703" s="26">
        <v>2.0</v>
      </c>
      <c r="N2703" s="26">
        <v>1.0</v>
      </c>
      <c r="O2703" s="30"/>
      <c r="P2703" s="30"/>
      <c r="Q2703" s="35">
        <v>39.0</v>
      </c>
      <c r="R2703" s="32">
        <v>45586.0</v>
      </c>
      <c r="S2703" s="32">
        <v>45547.0</v>
      </c>
      <c r="T2703" s="29"/>
      <c r="U2703" s="33"/>
      <c r="V2703" s="1"/>
    </row>
    <row r="2704" ht="24.0" customHeight="1">
      <c r="A2704" s="1"/>
      <c r="B2704" s="24" t="str">
        <f>HYPERLINK("https://www.compass.com/listing/345-east-73rd-street-unit-3a-manhattan-ny-10021/1342106065640856929/view?agent_id=610d3f3370540700019b0833","345 East 73rd Street, Unit 3A")</f>
        <v>345 East 73rd Street, Unit 3A</v>
      </c>
      <c r="C2704" s="25" t="s">
        <v>365</v>
      </c>
      <c r="D2704" s="26" t="s">
        <v>23</v>
      </c>
      <c r="E2704" s="27" t="str">
        <f t="shared" si="69"/>
        <v>345 E 73rd St</v>
      </c>
      <c r="F2704" s="25" t="s">
        <v>64</v>
      </c>
      <c r="G2704" s="28">
        <v>750000.0</v>
      </c>
      <c r="H2704" s="29"/>
      <c r="I2704" s="28">
        <v>1900.0</v>
      </c>
      <c r="J2704" s="28">
        <v>0.0</v>
      </c>
      <c r="K2704" s="25" t="s">
        <v>25</v>
      </c>
      <c r="L2704" s="26">
        <v>4.0</v>
      </c>
      <c r="M2704" s="26">
        <v>2.0</v>
      </c>
      <c r="N2704" s="26">
        <v>1.0</v>
      </c>
      <c r="O2704" s="30"/>
      <c r="P2704" s="30"/>
      <c r="Q2704" s="35">
        <v>142.0</v>
      </c>
      <c r="R2704" s="32">
        <v>45245.0</v>
      </c>
      <c r="S2704" s="32">
        <v>45103.0</v>
      </c>
      <c r="T2704" s="29"/>
      <c r="U2704" s="33"/>
      <c r="V2704" s="1"/>
    </row>
    <row r="2705" ht="24.0" customHeight="1">
      <c r="A2705" s="1"/>
      <c r="B2705" s="24" t="str">
        <f>HYPERLINK("https://www.compass.com/listing/156-east-79th-street-unit-11d-manhattan-ny-10075/563219135138983873/view?agent_id=610d3f3370540700019b0833","156 East 79th Street, Unit 11D")</f>
        <v>156 East 79th Street, Unit 11D</v>
      </c>
      <c r="C2705" s="25" t="s">
        <v>370</v>
      </c>
      <c r="D2705" s="26" t="s">
        <v>23</v>
      </c>
      <c r="E2705" s="27" t="str">
        <f>HYPERLINK("https://www.compass.com/building/156-e-79th-st-manhattan-ny-10075/282042740080923205/","156 E 79th St")</f>
        <v>156 E 79th St</v>
      </c>
      <c r="F2705" s="25" t="s">
        <v>44</v>
      </c>
      <c r="G2705" s="28">
        <v>825000.0</v>
      </c>
      <c r="H2705" s="29"/>
      <c r="I2705" s="28">
        <v>2275.0</v>
      </c>
      <c r="J2705" s="28">
        <v>0.0</v>
      </c>
      <c r="K2705" s="25" t="s">
        <v>25</v>
      </c>
      <c r="L2705" s="26">
        <v>4.0</v>
      </c>
      <c r="M2705" s="26">
        <v>2.0</v>
      </c>
      <c r="N2705" s="26">
        <v>1.0</v>
      </c>
      <c r="O2705" s="26">
        <v>0.0</v>
      </c>
      <c r="P2705" s="30"/>
      <c r="Q2705" s="35">
        <v>183.0</v>
      </c>
      <c r="R2705" s="32">
        <v>44212.0</v>
      </c>
      <c r="S2705" s="32">
        <v>44028.0</v>
      </c>
      <c r="T2705" s="29"/>
      <c r="U2705" s="33"/>
      <c r="V2705" s="1"/>
    </row>
    <row r="2706" ht="24.0" customHeight="1">
      <c r="A2706" s="1"/>
      <c r="B2706" s="24" t="str">
        <f>HYPERLINK("https://www.compass.com/listing/190-east-72nd-street-unit-33b-manhattan-ny-10021/1838965954747142425/view?agent_id=610d3f3370540700019b0833","190 East 72nd Street, Unit 33B")</f>
        <v>190 East 72nd Street, Unit 33B</v>
      </c>
      <c r="C2706" s="25" t="s">
        <v>364</v>
      </c>
      <c r="D2706" s="26" t="s">
        <v>23</v>
      </c>
      <c r="E2706" s="27" t="str">
        <f>HYPERLINK("https://www.compass.com/building/tower-east-manhattan-ny/292849863534644965/","Tower East")</f>
        <v>Tower East</v>
      </c>
      <c r="F2706" s="25" t="s">
        <v>64</v>
      </c>
      <c r="G2706" s="28">
        <v>1095000.0</v>
      </c>
      <c r="H2706" s="28">
        <v>782.0</v>
      </c>
      <c r="I2706" s="28">
        <v>4640.0</v>
      </c>
      <c r="J2706" s="29"/>
      <c r="K2706" s="25" t="s">
        <v>25</v>
      </c>
      <c r="L2706" s="26">
        <v>5.0</v>
      </c>
      <c r="M2706" s="26">
        <v>2.0</v>
      </c>
      <c r="N2706" s="26">
        <v>0.0</v>
      </c>
      <c r="O2706" s="26">
        <v>0.0</v>
      </c>
      <c r="P2706" s="34">
        <v>1400.0</v>
      </c>
      <c r="Q2706" s="31"/>
      <c r="R2706" s="32">
        <v>44581.0</v>
      </c>
      <c r="S2706" s="33"/>
      <c r="T2706" s="29"/>
      <c r="U2706" s="33"/>
      <c r="V2706" s="1"/>
    </row>
    <row r="2707" ht="24.0" customHeight="1">
      <c r="A2707" s="1"/>
      <c r="B2707" s="24" t="str">
        <f>HYPERLINK("https://www.compass.com/listing/18-east-63rd-street-unit-4-manhattan-ny-10065/440369731871408177/view?agent_id=610d3f3370540700019b0833","18 East 63rd Street, Unit 4")</f>
        <v>18 East 63rd Street, Unit 4</v>
      </c>
      <c r="C2707" s="25" t="s">
        <v>364</v>
      </c>
      <c r="D2707" s="26" t="s">
        <v>23</v>
      </c>
      <c r="E2707" s="27" t="str">
        <f>HYPERLINK("https://www.compass.com/building/18-e-63rd-st-manhattan-ny-10065/282037347078393589/","18 E 63rd St")</f>
        <v>18 E 63rd St</v>
      </c>
      <c r="F2707" s="25" t="s">
        <v>64</v>
      </c>
      <c r="G2707" s="28">
        <v>999000.0</v>
      </c>
      <c r="H2707" s="29"/>
      <c r="I2707" s="28">
        <v>3287.0</v>
      </c>
      <c r="J2707" s="29"/>
      <c r="K2707" s="25" t="s">
        <v>25</v>
      </c>
      <c r="L2707" s="26">
        <v>5.0</v>
      </c>
      <c r="M2707" s="26">
        <v>2.0</v>
      </c>
      <c r="N2707" s="26">
        <v>1.0</v>
      </c>
      <c r="O2707" s="26">
        <v>0.0</v>
      </c>
      <c r="P2707" s="30"/>
      <c r="Q2707" s="35">
        <v>321.0</v>
      </c>
      <c r="R2707" s="32">
        <v>45636.0</v>
      </c>
      <c r="S2707" s="32">
        <v>43859.0</v>
      </c>
      <c r="T2707" s="29"/>
      <c r="U2707" s="33"/>
      <c r="V2707" s="1"/>
    </row>
    <row r="2708" ht="24.0" customHeight="1">
      <c r="A2708" s="1"/>
      <c r="B2708" s="24" t="str">
        <f>HYPERLINK("https://www.compass.com/listing/205-east-77th-street-unit-1d-2f-manhattan-ny-10075/4852305780805735377/view?agent_id=610d3f3370540700019b0833","205 East 77th Street, Unit 1D/2F")</f>
        <v>205 East 77th Street, Unit 1D/2F</v>
      </c>
      <c r="C2708" s="25" t="s">
        <v>370</v>
      </c>
      <c r="D2708" s="26" t="s">
        <v>23</v>
      </c>
      <c r="E2708" s="27" t="str">
        <f>HYPERLINK("https://www.compass.com/building/the-dover-house-manhattan-ny/282057821598546693/","The Dover House")</f>
        <v>The Dover House</v>
      </c>
      <c r="F2708" s="25" t="s">
        <v>44</v>
      </c>
      <c r="G2708" s="28">
        <v>1150000.0</v>
      </c>
      <c r="H2708" s="29"/>
      <c r="I2708" s="28">
        <v>1958.0</v>
      </c>
      <c r="J2708" s="29"/>
      <c r="K2708" s="25" t="s">
        <v>25</v>
      </c>
      <c r="L2708" s="26">
        <v>6.0</v>
      </c>
      <c r="M2708" s="26">
        <v>2.0</v>
      </c>
      <c r="N2708" s="26">
        <v>0.0</v>
      </c>
      <c r="O2708" s="26">
        <v>0.0</v>
      </c>
      <c r="P2708" s="30"/>
      <c r="Q2708" s="35">
        <v>0.0</v>
      </c>
      <c r="R2708" s="32">
        <v>44581.0</v>
      </c>
      <c r="S2708" s="32">
        <v>41538.0</v>
      </c>
      <c r="T2708" s="29"/>
      <c r="U2708" s="33"/>
      <c r="V2708" s="1"/>
    </row>
    <row r="2709" ht="24.0" customHeight="1">
      <c r="A2709" s="1"/>
      <c r="B2709" s="24" t="str">
        <f>HYPERLINK("https://www.compass.com/listing/25-east-83rd-street-unit-10e-manhattan-ny-10028/29506640239721281/view?agent_id=610d3f3370540700019b0833","25 East 83rd Street, Unit 10E")</f>
        <v>25 East 83rd Street, Unit 10E</v>
      </c>
      <c r="C2709" s="25" t="s">
        <v>364</v>
      </c>
      <c r="D2709" s="26" t="s">
        <v>23</v>
      </c>
      <c r="E2709" s="27" t="str">
        <f>HYPERLINK("https://www.compass.com/building/25-e-83rd-st-manhattan-ny-10028/292891132155769333/","25 E 83rd St")</f>
        <v>25 E 83rd St</v>
      </c>
      <c r="F2709" s="25" t="s">
        <v>44</v>
      </c>
      <c r="G2709" s="28">
        <v>2195000.0</v>
      </c>
      <c r="H2709" s="29"/>
      <c r="I2709" s="28">
        <v>4065.0</v>
      </c>
      <c r="J2709" s="29"/>
      <c r="K2709" s="25" t="s">
        <v>25</v>
      </c>
      <c r="L2709" s="26">
        <v>5.0</v>
      </c>
      <c r="M2709" s="26">
        <v>2.0</v>
      </c>
      <c r="N2709" s="26">
        <v>0.0</v>
      </c>
      <c r="O2709" s="26">
        <v>0.0</v>
      </c>
      <c r="P2709" s="30"/>
      <c r="Q2709" s="35">
        <v>152.0</v>
      </c>
      <c r="R2709" s="32">
        <v>45636.0</v>
      </c>
      <c r="S2709" s="32">
        <v>42888.0</v>
      </c>
      <c r="T2709" s="29"/>
      <c r="U2709" s="33"/>
      <c r="V2709" s="1"/>
    </row>
    <row r="2710" ht="24.0" customHeight="1">
      <c r="A2710" s="1"/>
      <c r="B2710" s="24" t="str">
        <f>HYPERLINK("https://www.compass.com/listing/120-east-86th-street-unit-3b-manhattan-ny-10028/807932555950217057/view?agent_id=610d3f3370540700019b0833","120 East 86th Street, Unit 3B")</f>
        <v>120 East 86th Street, Unit 3B</v>
      </c>
      <c r="C2710" s="25" t="s">
        <v>364</v>
      </c>
      <c r="D2710" s="26" t="s">
        <v>23</v>
      </c>
      <c r="E2710" s="27" t="str">
        <f>HYPERLINK("https://www.compass.com/building/120-e-86th-st-manhattan-ny-10028/281984103367152933/","120 E 86th St")</f>
        <v>120 E 86th St</v>
      </c>
      <c r="F2710" s="25" t="s">
        <v>44</v>
      </c>
      <c r="G2710" s="28">
        <v>1275000.0</v>
      </c>
      <c r="H2710" s="29"/>
      <c r="I2710" s="28">
        <v>1542.0</v>
      </c>
      <c r="J2710" s="28">
        <v>0.0</v>
      </c>
      <c r="K2710" s="25" t="s">
        <v>25</v>
      </c>
      <c r="L2710" s="26">
        <v>4.0</v>
      </c>
      <c r="M2710" s="26">
        <v>2.0</v>
      </c>
      <c r="N2710" s="30"/>
      <c r="O2710" s="30"/>
      <c r="P2710" s="30"/>
      <c r="Q2710" s="35">
        <v>10.0</v>
      </c>
      <c r="R2710" s="32">
        <v>44376.0</v>
      </c>
      <c r="S2710" s="32">
        <v>44366.0</v>
      </c>
      <c r="T2710" s="29"/>
      <c r="U2710" s="33"/>
      <c r="V2710" s="1"/>
    </row>
    <row r="2711" ht="24.0" customHeight="1">
      <c r="A2711" s="1"/>
      <c r="B2711" s="24" t="str">
        <f>HYPERLINK("https://www.compass.com/listing/55-east-65th-street-unit-4a-manhattan-ny-10065/99019999670241073/view?agent_id=610d3f3370540700019b0833","55 East 65th Street, Unit 4A")</f>
        <v>55 East 65th Street, Unit 4A</v>
      </c>
      <c r="C2711" s="25" t="s">
        <v>364</v>
      </c>
      <c r="D2711" s="26" t="s">
        <v>23</v>
      </c>
      <c r="E2711" s="27" t="str">
        <f>HYPERLINK("https://www.compass.com/building/55-e-65th-st-manhattan-ny-10065/282040209556657557/","55 E 65th St")</f>
        <v>55 E 65th St</v>
      </c>
      <c r="F2711" s="25" t="s">
        <v>64</v>
      </c>
      <c r="G2711" s="28">
        <v>1250000.0</v>
      </c>
      <c r="H2711" s="29"/>
      <c r="I2711" s="28">
        <v>1873.0</v>
      </c>
      <c r="J2711" s="28">
        <v>0.0</v>
      </c>
      <c r="K2711" s="25" t="s">
        <v>25</v>
      </c>
      <c r="L2711" s="26">
        <v>5.0</v>
      </c>
      <c r="M2711" s="26">
        <v>2.0</v>
      </c>
      <c r="N2711" s="26">
        <v>1.0</v>
      </c>
      <c r="O2711" s="26">
        <v>0.0</v>
      </c>
      <c r="P2711" s="30"/>
      <c r="Q2711" s="35">
        <v>192.0</v>
      </c>
      <c r="R2711" s="32">
        <v>43725.0</v>
      </c>
      <c r="S2711" s="32">
        <v>43389.0</v>
      </c>
      <c r="T2711" s="29"/>
      <c r="U2711" s="33"/>
      <c r="V2711" s="1"/>
    </row>
    <row r="2712" ht="24.0" customHeight="1">
      <c r="A2712" s="1"/>
      <c r="B2712" s="24" t="str">
        <f>HYPERLINK("https://www.compass.com/listing/161-jackson-street-unit-3-brooklyn-ny-11211/389731396356207921/view?agent_id=610d3f3370540700019b0833","161 Jackson Street, Unit 3")</f>
        <v>161 Jackson Street, Unit 3</v>
      </c>
      <c r="C2712" s="25" t="s">
        <v>364</v>
      </c>
      <c r="D2712" s="26" t="s">
        <v>23</v>
      </c>
      <c r="E2712" s="27" t="str">
        <f>HYPERLINK("https://www.compass.com/building/161-jackson-st-brooklyn-ny-11211/282404707710875109/","161 Jackson St")</f>
        <v>161 Jackson St</v>
      </c>
      <c r="F2712" s="25" t="s">
        <v>46</v>
      </c>
      <c r="G2712" s="28">
        <v>1200000.0</v>
      </c>
      <c r="H2712" s="28">
        <v>1333.0</v>
      </c>
      <c r="I2712" s="28">
        <v>505.0</v>
      </c>
      <c r="J2712" s="28">
        <v>324.0</v>
      </c>
      <c r="K2712" s="25" t="s">
        <v>28</v>
      </c>
      <c r="L2712" s="26">
        <v>4.0</v>
      </c>
      <c r="M2712" s="26">
        <v>2.0</v>
      </c>
      <c r="N2712" s="26">
        <v>1.0</v>
      </c>
      <c r="O2712" s="26">
        <v>0.0</v>
      </c>
      <c r="P2712" s="26">
        <v>900.0</v>
      </c>
      <c r="Q2712" s="35">
        <v>99.0</v>
      </c>
      <c r="R2712" s="32">
        <v>43901.0</v>
      </c>
      <c r="S2712" s="32">
        <v>43790.0</v>
      </c>
      <c r="T2712" s="29"/>
      <c r="U2712" s="33"/>
      <c r="V2712" s="1"/>
    </row>
    <row r="2713" ht="24.0" customHeight="1">
      <c r="A2713" s="1"/>
      <c r="B2713" s="24" t="str">
        <f>HYPERLINK("https://www.compass.com/listing/1139-prospect-avenue-unit-4g-brooklyn-ny-11218/1811109137208079017/view?agent_id=610d3f3370540700019b0833","1139 Prospect Avenue, Unit 4G")</f>
        <v>1139 Prospect Avenue, Unit 4G</v>
      </c>
      <c r="C2713" s="25" t="s">
        <v>365</v>
      </c>
      <c r="D2713" s="26" t="s">
        <v>23</v>
      </c>
      <c r="E2713" s="27" t="str">
        <f>HYPERLINK("https://www.compass.com/building/prospect-park-mews-brooklyn-ny/294838301122736021/","Prospect Park Mews")</f>
        <v>Prospect Park Mews</v>
      </c>
      <c r="F2713" s="25" t="s">
        <v>106</v>
      </c>
      <c r="G2713" s="28">
        <v>995000.0</v>
      </c>
      <c r="H2713" s="29"/>
      <c r="I2713" s="28">
        <v>851.0</v>
      </c>
      <c r="J2713" s="28">
        <v>3324.0</v>
      </c>
      <c r="K2713" s="25" t="s">
        <v>28</v>
      </c>
      <c r="L2713" s="26">
        <v>4.0</v>
      </c>
      <c r="M2713" s="26">
        <v>2.0</v>
      </c>
      <c r="N2713" s="26">
        <v>1.0</v>
      </c>
      <c r="O2713" s="30"/>
      <c r="P2713" s="30"/>
      <c r="Q2713" s="35">
        <v>89.0</v>
      </c>
      <c r="R2713" s="32">
        <v>45840.0</v>
      </c>
      <c r="S2713" s="32">
        <v>45750.0</v>
      </c>
      <c r="T2713" s="29"/>
      <c r="U2713" s="33"/>
      <c r="V2713" s="1"/>
    </row>
    <row r="2714" ht="24.0" customHeight="1">
      <c r="A2714" s="1"/>
      <c r="B2714" s="24" t="str">
        <f>HYPERLINK("https://www.compass.com/listing/252-7th-avenue-unit-6u-manhattan-ny-10001/29372401691167009/view?agent_id=610d3f3370540700019b0833","252 7th Avenue, Unit 6U")</f>
        <v>252 7th Avenue, Unit 6U</v>
      </c>
      <c r="C2714" s="25" t="s">
        <v>370</v>
      </c>
      <c r="D2714" s="26" t="s">
        <v>23</v>
      </c>
      <c r="E2714" s="27" t="str">
        <f>HYPERLINK("https://www.compass.com/building/chelsea-mercantile-manhattan-ny/281883077574132517/","Chelsea Mercantile")</f>
        <v>Chelsea Mercantile</v>
      </c>
      <c r="F2714" s="25" t="s">
        <v>27</v>
      </c>
      <c r="G2714" s="28">
        <v>2450000.0</v>
      </c>
      <c r="H2714" s="28">
        <v>1483.0</v>
      </c>
      <c r="I2714" s="28">
        <v>1363.0</v>
      </c>
      <c r="J2714" s="28">
        <v>7896.0</v>
      </c>
      <c r="K2714" s="25" t="s">
        <v>28</v>
      </c>
      <c r="L2714" s="26">
        <v>5.0</v>
      </c>
      <c r="M2714" s="26">
        <v>2.0</v>
      </c>
      <c r="N2714" s="26">
        <v>0.0</v>
      </c>
      <c r="O2714" s="26">
        <v>0.0</v>
      </c>
      <c r="P2714" s="34">
        <v>1652.0</v>
      </c>
      <c r="Q2714" s="35">
        <v>0.0</v>
      </c>
      <c r="R2714" s="32">
        <v>44581.0</v>
      </c>
      <c r="S2714" s="32">
        <v>41538.0</v>
      </c>
      <c r="T2714" s="29"/>
      <c r="U2714" s="33"/>
      <c r="V2714" s="1"/>
    </row>
    <row r="2715" ht="24.0" customHeight="1">
      <c r="A2715" s="1"/>
      <c r="B2715" s="24" t="str">
        <f>HYPERLINK("https://www.compass.com/listing/333-east-69th-street-unit-12-manhattan-ny-10021/4852289738851235345/view?agent_id=610d3f3370540700019b0833","333 East 69th Street, Unit 12")</f>
        <v>333 East 69th Street, Unit 12</v>
      </c>
      <c r="C2715" s="25" t="s">
        <v>364</v>
      </c>
      <c r="D2715" s="26" t="s">
        <v>23</v>
      </c>
      <c r="E2715" s="27" t="str">
        <f>HYPERLINK("https://www.compass.com/building/premiere-manhattan-ny/281950479192227413/","Premiere")</f>
        <v>Premiere</v>
      </c>
      <c r="F2715" s="25" t="s">
        <v>64</v>
      </c>
      <c r="G2715" s="28">
        <v>1495000.0</v>
      </c>
      <c r="H2715" s="29"/>
      <c r="I2715" s="28">
        <v>1896.0</v>
      </c>
      <c r="J2715" s="29"/>
      <c r="K2715" s="25" t="s">
        <v>25</v>
      </c>
      <c r="L2715" s="26">
        <v>4.0</v>
      </c>
      <c r="M2715" s="26">
        <v>2.0</v>
      </c>
      <c r="N2715" s="26">
        <v>0.0</v>
      </c>
      <c r="O2715" s="26">
        <v>0.0</v>
      </c>
      <c r="P2715" s="30"/>
      <c r="Q2715" s="35">
        <v>201.0</v>
      </c>
      <c r="R2715" s="32">
        <v>45636.0</v>
      </c>
      <c r="S2715" s="32">
        <v>42620.0</v>
      </c>
      <c r="T2715" s="29"/>
      <c r="U2715" s="33"/>
      <c r="V2715" s="1"/>
    </row>
    <row r="2716" ht="24.0" customHeight="1">
      <c r="A2716" s="1"/>
      <c r="B2716" s="24" t="str">
        <f>HYPERLINK("https://www.compass.com/listing/83-walker-street-unit-3-manhattan-ny-10013/70927433229979185/view?agent_id=610d3f3370540700019b0833","83 Walker Street, Unit 3")</f>
        <v>83 Walker Street, Unit 3</v>
      </c>
      <c r="C2716" s="25" t="s">
        <v>364</v>
      </c>
      <c r="D2716" s="26" t="s">
        <v>23</v>
      </c>
      <c r="E2716" s="27" t="str">
        <f>HYPERLINK("https://www.compass.com/building/83-walker-st-manhattan-ny-10013/281921390477610613/","83 Walker St")</f>
        <v>83 Walker St</v>
      </c>
      <c r="F2716" s="25" t="s">
        <v>60</v>
      </c>
      <c r="G2716" s="28">
        <v>2650000.0</v>
      </c>
      <c r="H2716" s="28">
        <v>1897.0</v>
      </c>
      <c r="I2716" s="28">
        <v>2952.0</v>
      </c>
      <c r="J2716" s="28">
        <v>26076.0</v>
      </c>
      <c r="K2716" s="25" t="s">
        <v>28</v>
      </c>
      <c r="L2716" s="26">
        <v>4.0</v>
      </c>
      <c r="M2716" s="26">
        <v>2.0</v>
      </c>
      <c r="N2716" s="26">
        <v>0.0</v>
      </c>
      <c r="O2716" s="26">
        <v>0.0</v>
      </c>
      <c r="P2716" s="34">
        <v>1397.0</v>
      </c>
      <c r="Q2716" s="35">
        <v>55.0</v>
      </c>
      <c r="R2716" s="32">
        <v>45636.0</v>
      </c>
      <c r="S2716" s="32">
        <v>43004.0</v>
      </c>
      <c r="T2716" s="29"/>
      <c r="U2716" s="33"/>
      <c r="V2716" s="1"/>
    </row>
    <row r="2717" ht="24.0" customHeight="1">
      <c r="A2717" s="1"/>
      <c r="B2717" s="24" t="str">
        <f>HYPERLINK("https://www.compass.com/listing/161-east-79th-street-unit-1rw-manhattan-ny-10075/1596442535934982545/view?agent_id=610d3f3370540700019b0833","161 East 79th Street, Unit 1RW")</f>
        <v>161 East 79th Street, Unit 1RW</v>
      </c>
      <c r="C2717" s="25" t="s">
        <v>365</v>
      </c>
      <c r="D2717" s="26" t="s">
        <v>23</v>
      </c>
      <c r="E2717" s="27" t="str">
        <f>HYPERLINK("https://www.compass.com/building/161-e-79th-st-manhattan-ny-10075/282042804127945349/","161 E 79th St")</f>
        <v>161 E 79th St</v>
      </c>
      <c r="F2717" s="25" t="s">
        <v>44</v>
      </c>
      <c r="G2717" s="28">
        <v>795000.0</v>
      </c>
      <c r="H2717" s="29"/>
      <c r="I2717" s="28">
        <v>2825.0</v>
      </c>
      <c r="J2717" s="28">
        <v>0.0</v>
      </c>
      <c r="K2717" s="25" t="s">
        <v>25</v>
      </c>
      <c r="L2717" s="26">
        <v>4.0</v>
      </c>
      <c r="M2717" s="26">
        <v>2.0</v>
      </c>
      <c r="N2717" s="26">
        <v>1.0</v>
      </c>
      <c r="O2717" s="30"/>
      <c r="P2717" s="30"/>
      <c r="Q2717" s="35">
        <v>106.0</v>
      </c>
      <c r="R2717" s="32">
        <v>45589.0</v>
      </c>
      <c r="S2717" s="32">
        <v>45483.0</v>
      </c>
      <c r="T2717" s="29"/>
      <c r="U2717" s="33"/>
      <c r="V2717" s="1"/>
    </row>
    <row r="2718" ht="24.0" customHeight="1">
      <c r="A2718" s="1"/>
      <c r="B2718" s="24" t="str">
        <f>HYPERLINK("https://www.compass.com/listing/325-east-72nd-street-unit-16d-manhattan-ny-10021/1838908950708445761/view?agent_id=610d3f3370540700019b0833","325 East 72nd Street, Unit 16D")</f>
        <v>325 East 72nd Street, Unit 16D</v>
      </c>
      <c r="C2718" s="25" t="s">
        <v>364</v>
      </c>
      <c r="D2718" s="26" t="s">
        <v>23</v>
      </c>
      <c r="E2718" s="27" t="str">
        <f>HYPERLINK("https://www.compass.com/building/walton-hall-manhattan-ny/281950398846140357/","Walton Hall")</f>
        <v>Walton Hall</v>
      </c>
      <c r="F2718" s="25" t="s">
        <v>64</v>
      </c>
      <c r="G2718" s="28">
        <v>1495000.0</v>
      </c>
      <c r="H2718" s="29"/>
      <c r="I2718" s="28">
        <v>2917.0</v>
      </c>
      <c r="J2718" s="29"/>
      <c r="K2718" s="25" t="s">
        <v>25</v>
      </c>
      <c r="L2718" s="26">
        <v>4.0</v>
      </c>
      <c r="M2718" s="26">
        <v>2.0</v>
      </c>
      <c r="N2718" s="26">
        <v>0.0</v>
      </c>
      <c r="O2718" s="26">
        <v>0.0</v>
      </c>
      <c r="P2718" s="30"/>
      <c r="Q2718" s="35">
        <v>32.0</v>
      </c>
      <c r="R2718" s="32">
        <v>44581.0</v>
      </c>
      <c r="S2718" s="32">
        <v>43140.0</v>
      </c>
      <c r="T2718" s="29"/>
      <c r="U2718" s="33"/>
      <c r="V2718" s="1"/>
    </row>
    <row r="2719" ht="24.0" customHeight="1">
      <c r="A2719" s="1"/>
      <c r="B2719" s="24" t="str">
        <f>HYPERLINK("https://www.compass.com/listing/230-east-71st-street-manhattan-ny-10021/1682825598767700361/view?agent_id=610d3f3370540700019b0833","230 East 71st Street")</f>
        <v>230 East 71st Street</v>
      </c>
      <c r="C2719" s="25" t="s">
        <v>364</v>
      </c>
      <c r="D2719" s="26" t="s">
        <v>23</v>
      </c>
      <c r="E2719" s="27" t="str">
        <f>HYPERLINK("https://www.compass.com/building/230-e-71st-st-manhattan-ny-10021/281949721038226405/","230 E 71st St")</f>
        <v>230 E 71st St</v>
      </c>
      <c r="F2719" s="25" t="s">
        <v>64</v>
      </c>
      <c r="G2719" s="28">
        <v>799000.0</v>
      </c>
      <c r="H2719" s="29"/>
      <c r="I2719" s="28">
        <v>1805.0</v>
      </c>
      <c r="J2719" s="28">
        <v>0.0</v>
      </c>
      <c r="K2719" s="25" t="s">
        <v>25</v>
      </c>
      <c r="L2719" s="26">
        <v>5.0</v>
      </c>
      <c r="M2719" s="26">
        <v>2.0</v>
      </c>
      <c r="N2719" s="26">
        <v>1.0</v>
      </c>
      <c r="O2719" s="26">
        <v>0.0</v>
      </c>
      <c r="P2719" s="30"/>
      <c r="Q2719" s="35">
        <v>0.0</v>
      </c>
      <c r="R2719" s="32">
        <v>45580.0</v>
      </c>
      <c r="S2719" s="32">
        <v>45580.0</v>
      </c>
      <c r="T2719" s="29"/>
      <c r="U2719" s="33"/>
      <c r="V2719" s="1"/>
    </row>
    <row r="2720" ht="24.0" customHeight="1">
      <c r="A2720" s="1"/>
      <c r="B2720" s="24" t="str">
        <f>HYPERLINK("https://www.compass.com/listing/354-broome-street-unit-3f-manhattan-ny-10013/192569163187764977/view?agent_id=610d3f3370540700019b0833","354 Broome Street, Unit 3F")</f>
        <v>354 Broome Street, Unit 3F</v>
      </c>
      <c r="C2720" s="25" t="s">
        <v>370</v>
      </c>
      <c r="D2720" s="26" t="s">
        <v>23</v>
      </c>
      <c r="E2720" s="27" t="str">
        <f>HYPERLINK("https://www.compass.com/building/354-broome-st-manhattan-ny-10013/281919182369491925/","354 Broome St")</f>
        <v>354 Broome St</v>
      </c>
      <c r="F2720" s="25" t="s">
        <v>101</v>
      </c>
      <c r="G2720" s="28">
        <v>1725000.0</v>
      </c>
      <c r="H2720" s="28">
        <v>1133.0</v>
      </c>
      <c r="I2720" s="28">
        <v>1569.0</v>
      </c>
      <c r="J2720" s="28">
        <v>9000.0</v>
      </c>
      <c r="K2720" s="25" t="s">
        <v>28</v>
      </c>
      <c r="L2720" s="26">
        <v>5.0</v>
      </c>
      <c r="M2720" s="26">
        <v>2.0</v>
      </c>
      <c r="N2720" s="26">
        <v>0.0</v>
      </c>
      <c r="O2720" s="26">
        <v>0.0</v>
      </c>
      <c r="P2720" s="34">
        <v>1522.0</v>
      </c>
      <c r="Q2720" s="35">
        <v>21.0</v>
      </c>
      <c r="R2720" s="32">
        <v>45636.0</v>
      </c>
      <c r="S2720" s="32">
        <v>41877.0</v>
      </c>
      <c r="T2720" s="29"/>
      <c r="U2720" s="33"/>
      <c r="V2720" s="1"/>
    </row>
    <row r="2721" ht="24.0" customHeight="1">
      <c r="A2721" s="1"/>
      <c r="B2721" s="24" t="str">
        <f>HYPERLINK("https://www.compass.com/listing/1160-3rd-avenue-unit-10d-manhattan-ny-10065/1334209968333605313/view?agent_id=610d3f3370540700019b0833","1160 3rd Avenue, Unit 10D")</f>
        <v>1160 3rd Avenue, Unit 10D</v>
      </c>
      <c r="C2721" s="25" t="s">
        <v>365</v>
      </c>
      <c r="D2721" s="26" t="s">
        <v>23</v>
      </c>
      <c r="E2721" s="27" t="str">
        <f>HYPERLINK("https://www.compass.com/building/frost-house-manhattan-ny/294841838984617765/","Frost House")</f>
        <v>Frost House</v>
      </c>
      <c r="F2721" s="25" t="s">
        <v>64</v>
      </c>
      <c r="G2721" s="28">
        <v>899999.0</v>
      </c>
      <c r="H2721" s="29"/>
      <c r="I2721" s="28">
        <v>2685.0</v>
      </c>
      <c r="J2721" s="28">
        <v>0.0</v>
      </c>
      <c r="K2721" s="25" t="s">
        <v>25</v>
      </c>
      <c r="L2721" s="26">
        <v>5.0</v>
      </c>
      <c r="M2721" s="26">
        <v>2.0</v>
      </c>
      <c r="N2721" s="30"/>
      <c r="O2721" s="30"/>
      <c r="P2721" s="30"/>
      <c r="Q2721" s="35">
        <v>158.0</v>
      </c>
      <c r="R2721" s="32">
        <v>45278.0</v>
      </c>
      <c r="S2721" s="32">
        <v>45092.0</v>
      </c>
      <c r="T2721" s="29"/>
      <c r="U2721" s="33"/>
      <c r="V2721" s="1"/>
    </row>
    <row r="2722" ht="24.0" customHeight="1">
      <c r="A2722" s="1"/>
      <c r="B2722" s="24" t="str">
        <f>HYPERLINK("https://www.compass.com/listing/333-east-69th-street-unit-6b-pom-manhattan-ny-10021/4852267468019734865/view?agent_id=610d3f3370540700019b0833","333 East 69th Street, Unit 6B POM")</f>
        <v>333 East 69th Street, Unit 6B POM</v>
      </c>
      <c r="C2722" s="25" t="s">
        <v>364</v>
      </c>
      <c r="D2722" s="26" t="s">
        <v>23</v>
      </c>
      <c r="E2722" s="27" t="str">
        <f t="shared" ref="E2722:E2723" si="70">HYPERLINK("https://www.compass.com/building/premiere-manhattan-ny/281950479192227413/","Premiere")</f>
        <v>Premiere</v>
      </c>
      <c r="F2722" s="25" t="s">
        <v>64</v>
      </c>
      <c r="G2722" s="28">
        <v>1550000.0</v>
      </c>
      <c r="H2722" s="29"/>
      <c r="I2722" s="28">
        <v>2023.0</v>
      </c>
      <c r="J2722" s="29"/>
      <c r="K2722" s="25" t="s">
        <v>25</v>
      </c>
      <c r="L2722" s="26">
        <v>4.0</v>
      </c>
      <c r="M2722" s="26">
        <v>2.0</v>
      </c>
      <c r="N2722" s="26">
        <v>0.0</v>
      </c>
      <c r="O2722" s="26">
        <v>0.0</v>
      </c>
      <c r="P2722" s="30"/>
      <c r="Q2722" s="35">
        <v>48.0</v>
      </c>
      <c r="R2722" s="32">
        <v>45636.0</v>
      </c>
      <c r="S2722" s="32">
        <v>42128.0</v>
      </c>
      <c r="T2722" s="29"/>
      <c r="U2722" s="33"/>
      <c r="V2722" s="1"/>
    </row>
    <row r="2723" ht="24.0" customHeight="1">
      <c r="A2723" s="1"/>
      <c r="B2723" s="24" t="str">
        <f>HYPERLINK("https://www.compass.com/listing/333-east-69th-street-unit-12e-manhattan-ny-10021/70921645543471025/view?agent_id=610d3f3370540700019b0833","333 East 69th Street, Unit 12E")</f>
        <v>333 East 69th Street, Unit 12E</v>
      </c>
      <c r="C2723" s="25" t="s">
        <v>364</v>
      </c>
      <c r="D2723" s="26" t="s">
        <v>23</v>
      </c>
      <c r="E2723" s="27" t="str">
        <f t="shared" si="70"/>
        <v>Premiere</v>
      </c>
      <c r="F2723" s="25" t="s">
        <v>64</v>
      </c>
      <c r="G2723" s="28">
        <v>1495000.0</v>
      </c>
      <c r="H2723" s="29"/>
      <c r="I2723" s="28">
        <v>1896.0</v>
      </c>
      <c r="J2723" s="29"/>
      <c r="K2723" s="25" t="s">
        <v>25</v>
      </c>
      <c r="L2723" s="26">
        <v>4.0</v>
      </c>
      <c r="M2723" s="26">
        <v>2.0</v>
      </c>
      <c r="N2723" s="26">
        <v>0.0</v>
      </c>
      <c r="O2723" s="26">
        <v>0.0</v>
      </c>
      <c r="P2723" s="30"/>
      <c r="Q2723" s="35">
        <v>14.0</v>
      </c>
      <c r="R2723" s="32">
        <v>45636.0</v>
      </c>
      <c r="S2723" s="32">
        <v>42536.0</v>
      </c>
      <c r="T2723" s="29"/>
      <c r="U2723" s="33"/>
      <c r="V2723" s="1"/>
    </row>
    <row r="2724" ht="24.0" customHeight="1">
      <c r="A2724" s="1"/>
      <c r="B2724" s="24" t="str">
        <f>HYPERLINK("https://www.compass.com/listing/714-sackett-street-unit-4r-brooklyn-ny-11217/246886658018967857/view?agent_id=610d3f3370540700019b0833","714 Sackett Street, Unit 4R")</f>
        <v>714 Sackett Street, Unit 4R</v>
      </c>
      <c r="C2724" s="25" t="s">
        <v>364</v>
      </c>
      <c r="D2724" s="26" t="s">
        <v>23</v>
      </c>
      <c r="E2724" s="27" t="str">
        <f>HYPERLINK("https://www.compass.com/building/714-sackett-st-brooklyn-ny-11217/293416940490304725/","714 Sackett St")</f>
        <v>714 Sackett St</v>
      </c>
      <c r="F2724" s="25" t="s">
        <v>40</v>
      </c>
      <c r="G2724" s="28">
        <v>899000.0</v>
      </c>
      <c r="H2724" s="29"/>
      <c r="I2724" s="28">
        <v>843.0</v>
      </c>
      <c r="J2724" s="28">
        <v>5811.0</v>
      </c>
      <c r="K2724" s="25" t="s">
        <v>28</v>
      </c>
      <c r="L2724" s="26">
        <v>4.0</v>
      </c>
      <c r="M2724" s="26">
        <v>2.0</v>
      </c>
      <c r="N2724" s="26">
        <v>1.0</v>
      </c>
      <c r="O2724" s="30"/>
      <c r="P2724" s="30"/>
      <c r="Q2724" s="35">
        <v>110.0</v>
      </c>
      <c r="R2724" s="32">
        <v>43902.0</v>
      </c>
      <c r="S2724" s="32">
        <v>43593.0</v>
      </c>
      <c r="T2724" s="29"/>
      <c r="U2724" s="33"/>
      <c r="V2724" s="1"/>
    </row>
    <row r="2725" ht="24.0" customHeight="1">
      <c r="A2725" s="1"/>
      <c r="B2725" s="24" t="str">
        <f>HYPERLINK("https://www.compass.com/listing/330-spring-street-unit-4d-manhattan-ny-10013/29511252816559361/view?agent_id=610d3f3370540700019b0833","330 Spring Street, Unit 4D")</f>
        <v>330 Spring Street, Unit 4D</v>
      </c>
      <c r="C2725" s="25" t="s">
        <v>370</v>
      </c>
      <c r="D2725" s="26" t="s">
        <v>23</v>
      </c>
      <c r="E2725" s="27" t="str">
        <f>HYPERLINK("https://www.compass.com/building/the-urban-glass-house-manhattan-ny/281919040954338069/","The Urban Glass House")</f>
        <v>The Urban Glass House</v>
      </c>
      <c r="F2725" s="25" t="s">
        <v>135</v>
      </c>
      <c r="G2725" s="28">
        <v>2250000.0</v>
      </c>
      <c r="H2725" s="29"/>
      <c r="I2725" s="28">
        <v>3306.0</v>
      </c>
      <c r="J2725" s="28">
        <v>15600.0</v>
      </c>
      <c r="K2725" s="25" t="s">
        <v>28</v>
      </c>
      <c r="L2725" s="26">
        <v>4.0</v>
      </c>
      <c r="M2725" s="26">
        <v>2.0</v>
      </c>
      <c r="N2725" s="26">
        <v>0.0</v>
      </c>
      <c r="O2725" s="26">
        <v>0.0</v>
      </c>
      <c r="P2725" s="30"/>
      <c r="Q2725" s="35">
        <v>105.0</v>
      </c>
      <c r="R2725" s="32">
        <v>45636.0</v>
      </c>
      <c r="S2725" s="32">
        <v>43214.0</v>
      </c>
      <c r="T2725" s="29"/>
      <c r="U2725" s="33"/>
      <c r="V2725" s="1"/>
    </row>
    <row r="2726" ht="24.0" customHeight="1">
      <c r="A2726" s="1"/>
      <c r="B2726" s="24" t="str">
        <f>HYPERLINK("https://www.compass.com/listing/252-7th-avenue-unit-12r-manhattan-ny-10001/803361456195752673/view?agent_id=610d3f3370540700019b0833","252 7th Avenue, Unit 12R")</f>
        <v>252 7th Avenue, Unit 12R</v>
      </c>
      <c r="C2726" s="25" t="s">
        <v>364</v>
      </c>
      <c r="D2726" s="26" t="s">
        <v>23</v>
      </c>
      <c r="E2726" s="27" t="str">
        <f>HYPERLINK("https://www.compass.com/building/chelsea-mercantile-manhattan-ny/281883077574132517/","Chelsea Mercantile")</f>
        <v>Chelsea Mercantile</v>
      </c>
      <c r="F2726" s="25" t="s">
        <v>27</v>
      </c>
      <c r="G2726" s="28">
        <v>3400000.0</v>
      </c>
      <c r="H2726" s="28">
        <v>1505.0</v>
      </c>
      <c r="I2726" s="28">
        <v>3251.0</v>
      </c>
      <c r="J2726" s="28">
        <v>20604.0</v>
      </c>
      <c r="K2726" s="25" t="s">
        <v>28</v>
      </c>
      <c r="L2726" s="26">
        <v>6.0</v>
      </c>
      <c r="M2726" s="26">
        <v>2.0</v>
      </c>
      <c r="N2726" s="26">
        <v>0.0</v>
      </c>
      <c r="O2726" s="26">
        <v>0.0</v>
      </c>
      <c r="P2726" s="34">
        <v>2259.0</v>
      </c>
      <c r="Q2726" s="35">
        <v>51.0</v>
      </c>
      <c r="R2726" s="32">
        <v>44581.0</v>
      </c>
      <c r="S2726" s="32">
        <v>42559.0</v>
      </c>
      <c r="T2726" s="29"/>
      <c r="U2726" s="33"/>
      <c r="V2726" s="1"/>
    </row>
    <row r="2727" ht="24.0" customHeight="1">
      <c r="A2727" s="1"/>
      <c r="B2727" s="24" t="str">
        <f>HYPERLINK("https://www.compass.com/listing/345-east-86th-street-unit-2g-manhattan-ny-10028/79629560219436545/view?agent_id=610d3f3370540700019b0833","345 East 86th Street, Unit 2G")</f>
        <v>345 East 86th Street, Unit 2G</v>
      </c>
      <c r="C2727" s="25" t="s">
        <v>370</v>
      </c>
      <c r="D2727" s="26" t="s">
        <v>23</v>
      </c>
      <c r="E2727" s="27" t="str">
        <f>HYPERLINK("https://www.compass.com/building/345-e-86th-st-manhattan-ny-10028/281986447270059925/","345 E 86th St")</f>
        <v>345 E 86th St</v>
      </c>
      <c r="F2727" s="25" t="s">
        <v>44</v>
      </c>
      <c r="G2727" s="28">
        <v>749000.0</v>
      </c>
      <c r="H2727" s="28">
        <v>881.0</v>
      </c>
      <c r="I2727" s="28">
        <v>1500.0</v>
      </c>
      <c r="J2727" s="28">
        <v>0.0</v>
      </c>
      <c r="K2727" s="25" t="s">
        <v>25</v>
      </c>
      <c r="L2727" s="26">
        <v>4.0</v>
      </c>
      <c r="M2727" s="26">
        <v>2.0</v>
      </c>
      <c r="N2727" s="26">
        <v>1.0</v>
      </c>
      <c r="O2727" s="26">
        <v>0.0</v>
      </c>
      <c r="P2727" s="26">
        <v>850.0</v>
      </c>
      <c r="Q2727" s="35">
        <v>188.0</v>
      </c>
      <c r="R2727" s="32">
        <v>43553.0</v>
      </c>
      <c r="S2727" s="32">
        <v>43364.0</v>
      </c>
      <c r="T2727" s="29"/>
      <c r="U2727" s="33"/>
      <c r="V2727" s="1"/>
    </row>
    <row r="2728" ht="24.0" customHeight="1">
      <c r="A2728" s="1"/>
      <c r="B2728" s="24" t="str">
        <f>HYPERLINK("https://www.compass.com/listing/66-north-1st-street-unit-5b-brooklyn-ny-11249/29484676422852385/view?agent_id=610d3f3370540700019b0833","66 North 1st Street, Unit 5B")</f>
        <v>66 North 1st Street, Unit 5B</v>
      </c>
      <c r="C2728" s="25" t="s">
        <v>364</v>
      </c>
      <c r="D2728" s="26" t="s">
        <v>23</v>
      </c>
      <c r="E2728" s="27" t="str">
        <f>HYPERLINK("https://www.compass.com/building/factory-lofts-brooklyn-ny/293423164770290709/","Factory Lofts")</f>
        <v>Factory Lofts</v>
      </c>
      <c r="F2728" s="25" t="s">
        <v>46</v>
      </c>
      <c r="G2728" s="28">
        <v>1200000.0</v>
      </c>
      <c r="H2728" s="28">
        <v>1282.0</v>
      </c>
      <c r="I2728" s="28">
        <v>497.0</v>
      </c>
      <c r="J2728" s="28">
        <v>516.0</v>
      </c>
      <c r="K2728" s="25" t="s">
        <v>28</v>
      </c>
      <c r="L2728" s="26">
        <v>4.0</v>
      </c>
      <c r="M2728" s="26">
        <v>2.0</v>
      </c>
      <c r="N2728" s="26">
        <v>0.0</v>
      </c>
      <c r="O2728" s="26">
        <v>0.0</v>
      </c>
      <c r="P2728" s="26">
        <v>936.0</v>
      </c>
      <c r="Q2728" s="35">
        <v>538.0</v>
      </c>
      <c r="R2728" s="32">
        <v>44581.0</v>
      </c>
      <c r="S2728" s="32">
        <v>42340.0</v>
      </c>
      <c r="T2728" s="29"/>
      <c r="U2728" s="33"/>
      <c r="V2728" s="1"/>
    </row>
    <row r="2729" ht="24.0" customHeight="1">
      <c r="A2729" s="1"/>
      <c r="B2729" s="24" t="str">
        <f>HYPERLINK("https://www.compass.com/listing/135-pacific-street-unit-garden-brooklyn-ny-11201/4852288308769732209/view?agent_id=610d3f3370540700019b0833","135 Pacific Street, Unit GARDEN")</f>
        <v>135 Pacific Street, Unit GARDEN</v>
      </c>
      <c r="C2729" s="25" t="s">
        <v>364</v>
      </c>
      <c r="D2729" s="26" t="s">
        <v>23</v>
      </c>
      <c r="E2729" s="27" t="str">
        <f>HYPERLINK("https://www.compass.com/building/135-pacific-st-brooklyn-ny-11201/282499430127577461/","135 Pacific St")</f>
        <v>135 Pacific St</v>
      </c>
      <c r="F2729" s="25" t="s">
        <v>131</v>
      </c>
      <c r="G2729" s="28">
        <v>1450000.0</v>
      </c>
      <c r="H2729" s="28">
        <v>1422.0</v>
      </c>
      <c r="I2729" s="28">
        <v>725.0</v>
      </c>
      <c r="J2729" s="29"/>
      <c r="K2729" s="25" t="s">
        <v>25</v>
      </c>
      <c r="L2729" s="26">
        <v>4.0</v>
      </c>
      <c r="M2729" s="26">
        <v>2.0</v>
      </c>
      <c r="N2729" s="26">
        <v>1.0</v>
      </c>
      <c r="O2729" s="26">
        <v>0.0</v>
      </c>
      <c r="P2729" s="34">
        <v>1020.0</v>
      </c>
      <c r="Q2729" s="35">
        <v>20.0</v>
      </c>
      <c r="R2729" s="32">
        <v>45636.0</v>
      </c>
      <c r="S2729" s="32">
        <v>42164.0</v>
      </c>
      <c r="T2729" s="29"/>
      <c r="U2729" s="33"/>
      <c r="V2729" s="1"/>
    </row>
    <row r="2730" ht="24.0" customHeight="1">
      <c r="A2730" s="1"/>
      <c r="B2730" s="24" t="str">
        <f>HYPERLINK("https://www.compass.com/listing/523-east-84th-street-unit-2b-manhattan-ny-10028/844922962031531313/view?agent_id=610d3f3370540700019b0833","523 East 84th Street, Unit 2B")</f>
        <v>523 East 84th Street, Unit 2B</v>
      </c>
      <c r="C2730" s="25" t="s">
        <v>364</v>
      </c>
      <c r="D2730" s="26" t="s">
        <v>23</v>
      </c>
      <c r="E2730" s="27" t="str">
        <f>HYPERLINK("https://www.compass.com/building/523-e-84th-st-manhattan-ny-10028/281987528989451765/","523 E 84th St")</f>
        <v>523 E 84th St</v>
      </c>
      <c r="F2730" s="25" t="s">
        <v>44</v>
      </c>
      <c r="G2730" s="28">
        <v>745000.0</v>
      </c>
      <c r="H2730" s="29"/>
      <c r="I2730" s="28">
        <v>1680.0</v>
      </c>
      <c r="J2730" s="28">
        <v>0.0</v>
      </c>
      <c r="K2730" s="25" t="s">
        <v>25</v>
      </c>
      <c r="L2730" s="26">
        <v>4.0</v>
      </c>
      <c r="M2730" s="26">
        <v>2.0</v>
      </c>
      <c r="N2730" s="26">
        <v>1.0</v>
      </c>
      <c r="O2730" s="30"/>
      <c r="P2730" s="30"/>
      <c r="Q2730" s="35">
        <v>109.0</v>
      </c>
      <c r="R2730" s="32">
        <v>44586.0</v>
      </c>
      <c r="S2730" s="32">
        <v>44417.0</v>
      </c>
      <c r="T2730" s="29"/>
      <c r="U2730" s="33"/>
      <c r="V2730" s="1"/>
    </row>
    <row r="2731" ht="24.0" customHeight="1">
      <c r="A2731" s="1"/>
      <c r="B2731" s="24" t="str">
        <f>HYPERLINK("https://www.compass.com/listing/420-west-25th-street-unit-6hpom-manhattan-ny-10001/4817629872077674529/view?agent_id=610d3f3370540700019b0833","420 West 25th Street, Unit 6HPOM")</f>
        <v>420 West 25th Street, Unit 6HPOM</v>
      </c>
      <c r="C2731" s="25" t="s">
        <v>364</v>
      </c>
      <c r="D2731" s="26" t="s">
        <v>23</v>
      </c>
      <c r="E2731" s="27" t="str">
        <f>HYPERLINK("https://www.compass.com/building/loft-25-manhattan-ny/281883800923801173/","Loft 25")</f>
        <v>Loft 25</v>
      </c>
      <c r="F2731" s="25" t="s">
        <v>27</v>
      </c>
      <c r="G2731" s="28">
        <v>1900000.0</v>
      </c>
      <c r="H2731" s="28">
        <v>1512.0</v>
      </c>
      <c r="I2731" s="28">
        <v>3349.0</v>
      </c>
      <c r="J2731" s="28">
        <v>20352.0</v>
      </c>
      <c r="K2731" s="25" t="s">
        <v>28</v>
      </c>
      <c r="L2731" s="26">
        <v>4.0</v>
      </c>
      <c r="M2731" s="26">
        <v>2.0</v>
      </c>
      <c r="N2731" s="26">
        <v>0.0</v>
      </c>
      <c r="O2731" s="26">
        <v>0.0</v>
      </c>
      <c r="P2731" s="34">
        <v>1257.0</v>
      </c>
      <c r="Q2731" s="35">
        <v>46.0</v>
      </c>
      <c r="R2731" s="32">
        <v>44581.0</v>
      </c>
      <c r="S2731" s="32">
        <v>43035.0</v>
      </c>
      <c r="T2731" s="29"/>
      <c r="U2731" s="33"/>
      <c r="V2731" s="1"/>
    </row>
    <row r="2732" ht="24.0" customHeight="1">
      <c r="A2732" s="1"/>
      <c r="B2732" s="24" t="str">
        <f>HYPERLINK("https://www.compass.com/listing/523-east-84th-street-unit-2b-manhattan-ny-10028/1075295698218149041/view?agent_id=610d3f3370540700019b0833","523 East 84th Street, Unit 2B")</f>
        <v>523 East 84th Street, Unit 2B</v>
      </c>
      <c r="C2732" s="25" t="s">
        <v>370</v>
      </c>
      <c r="D2732" s="26" t="s">
        <v>23</v>
      </c>
      <c r="E2732" s="27" t="str">
        <f>HYPERLINK("https://www.compass.com/building/523-e-84th-st-manhattan-ny-10028/281987528989451765/","523 E 84th St")</f>
        <v>523 E 84th St</v>
      </c>
      <c r="F2732" s="25" t="s">
        <v>44</v>
      </c>
      <c r="G2732" s="28">
        <v>725000.0</v>
      </c>
      <c r="H2732" s="29"/>
      <c r="I2732" s="28">
        <v>1765.0</v>
      </c>
      <c r="J2732" s="28">
        <v>0.0</v>
      </c>
      <c r="K2732" s="25" t="s">
        <v>25</v>
      </c>
      <c r="L2732" s="26">
        <v>4.0</v>
      </c>
      <c r="M2732" s="26">
        <v>2.0</v>
      </c>
      <c r="N2732" s="26">
        <v>1.0</v>
      </c>
      <c r="O2732" s="30"/>
      <c r="P2732" s="30"/>
      <c r="Q2732" s="35">
        <v>203.0</v>
      </c>
      <c r="R2732" s="32">
        <v>44939.0</v>
      </c>
      <c r="S2732" s="32">
        <v>44735.0</v>
      </c>
      <c r="T2732" s="29"/>
      <c r="U2732" s="33"/>
      <c r="V2732" s="1"/>
    </row>
    <row r="2733" ht="24.0" customHeight="1">
      <c r="A2733" s="1"/>
      <c r="B2733" s="24" t="str">
        <f>HYPERLINK("https://www.compass.com/listing/420-west-25th-street-unit-6h-manhattan-ny-10001/1838892300504071809/view?agent_id=610d3f3370540700019b0833","420 West 25th Street, Unit 6H")</f>
        <v>420 West 25th Street, Unit 6H</v>
      </c>
      <c r="C2733" s="25" t="s">
        <v>364</v>
      </c>
      <c r="D2733" s="26" t="s">
        <v>23</v>
      </c>
      <c r="E2733" s="27" t="str">
        <f>HYPERLINK("https://www.compass.com/building/loft-25-manhattan-ny/281883800923801173/","Loft 25")</f>
        <v>Loft 25</v>
      </c>
      <c r="F2733" s="25" t="s">
        <v>27</v>
      </c>
      <c r="G2733" s="28">
        <v>1900000.0</v>
      </c>
      <c r="H2733" s="28">
        <v>1512.0</v>
      </c>
      <c r="I2733" s="28">
        <v>3349.0</v>
      </c>
      <c r="J2733" s="28">
        <v>20352.0</v>
      </c>
      <c r="K2733" s="25" t="s">
        <v>28</v>
      </c>
      <c r="L2733" s="26">
        <v>4.0</v>
      </c>
      <c r="M2733" s="26">
        <v>2.0</v>
      </c>
      <c r="N2733" s="26">
        <v>0.0</v>
      </c>
      <c r="O2733" s="26">
        <v>0.0</v>
      </c>
      <c r="P2733" s="34">
        <v>1257.0</v>
      </c>
      <c r="Q2733" s="35">
        <v>1.0</v>
      </c>
      <c r="R2733" s="32">
        <v>44581.0</v>
      </c>
      <c r="S2733" s="32">
        <v>43171.0</v>
      </c>
      <c r="T2733" s="29"/>
      <c r="U2733" s="33"/>
      <c r="V2733" s="1"/>
    </row>
    <row r="2734" ht="24.0" customHeight="1">
      <c r="A2734" s="1"/>
      <c r="B2734" s="24" t="str">
        <f>HYPERLINK("https://www.compass.com/listing/181-east-73rd-street-unit-4g-manhattan-ny-10021/919786664797000049/view?agent_id=610d3f3370540700019b0833","181 East 73rd Street, Unit 4G")</f>
        <v>181 East 73rd Street, Unit 4G</v>
      </c>
      <c r="C2734" s="25" t="s">
        <v>364</v>
      </c>
      <c r="D2734" s="26" t="s">
        <v>23</v>
      </c>
      <c r="E2734" s="27" t="str">
        <f>HYPERLINK("https://www.compass.com/building/181-e-73rd-st-manhattan-ny-10021/292849972636881221/","181 E 73rd St")</f>
        <v>181 E 73rd St</v>
      </c>
      <c r="F2734" s="25" t="s">
        <v>64</v>
      </c>
      <c r="G2734" s="28">
        <v>749000.0</v>
      </c>
      <c r="H2734" s="28">
        <v>788.0</v>
      </c>
      <c r="I2734" s="28">
        <v>1407.0</v>
      </c>
      <c r="J2734" s="29"/>
      <c r="K2734" s="25" t="s">
        <v>25</v>
      </c>
      <c r="L2734" s="26">
        <v>3.0</v>
      </c>
      <c r="M2734" s="26">
        <v>2.0</v>
      </c>
      <c r="N2734" s="26">
        <v>0.0</v>
      </c>
      <c r="O2734" s="26">
        <v>0.0</v>
      </c>
      <c r="P2734" s="26">
        <v>950.0</v>
      </c>
      <c r="Q2734" s="35">
        <v>756.0</v>
      </c>
      <c r="R2734" s="32">
        <v>44581.0</v>
      </c>
      <c r="S2734" s="32">
        <v>41172.0</v>
      </c>
      <c r="T2734" s="29"/>
      <c r="U2734" s="33"/>
      <c r="V2734" s="1"/>
    </row>
    <row r="2735" ht="24.0" customHeight="1">
      <c r="A2735" s="1"/>
      <c r="B2735" s="24" t="str">
        <f>HYPERLINK("https://www.compass.com/listing/1628-2nd-avenue-unit-5e-manhattan-ny-10028/1018900965145290017/view?agent_id=610d3f3370540700019b0833","1628 2nd Avenue, Unit 5E")</f>
        <v>1628 2nd Avenue, Unit 5E</v>
      </c>
      <c r="C2735" s="25" t="s">
        <v>364</v>
      </c>
      <c r="D2735" s="26" t="s">
        <v>23</v>
      </c>
      <c r="E2735" s="27" t="str">
        <f t="shared" ref="E2735:E2736" si="71">HYPERLINK("https://www.compass.com/building/1628-2nd-ave-manhattan-ny-10028/281985139377021461/","1628 2nd Ave")</f>
        <v>1628 2nd Ave</v>
      </c>
      <c r="F2735" s="25" t="s">
        <v>44</v>
      </c>
      <c r="G2735" s="28">
        <v>900000.0</v>
      </c>
      <c r="H2735" s="28">
        <v>1286.0</v>
      </c>
      <c r="I2735" s="28">
        <v>1578.0</v>
      </c>
      <c r="J2735" s="28">
        <v>10380.0</v>
      </c>
      <c r="K2735" s="25" t="s">
        <v>28</v>
      </c>
      <c r="L2735" s="26">
        <v>4.0</v>
      </c>
      <c r="M2735" s="26">
        <v>2.0</v>
      </c>
      <c r="N2735" s="26">
        <v>1.0</v>
      </c>
      <c r="O2735" s="26">
        <v>0.0</v>
      </c>
      <c r="P2735" s="26">
        <v>700.0</v>
      </c>
      <c r="Q2735" s="35">
        <v>46.0</v>
      </c>
      <c r="R2735" s="32">
        <v>44704.0</v>
      </c>
      <c r="S2735" s="32">
        <v>44657.0</v>
      </c>
      <c r="T2735" s="29"/>
      <c r="U2735" s="33"/>
      <c r="V2735" s="1"/>
    </row>
    <row r="2736" ht="24.0" customHeight="1">
      <c r="A2736" s="1"/>
      <c r="B2736" s="24" t="str">
        <f>HYPERLINK("https://www.compass.com/listing/1628-2nd-avenue-unit-6b-manhattan-ny-10028/1423334840714307065/view?agent_id=610d3f3370540700019b0833","1628 2nd Avenue, Unit 6B")</f>
        <v>1628 2nd Avenue, Unit 6B</v>
      </c>
      <c r="C2736" s="25" t="s">
        <v>365</v>
      </c>
      <c r="D2736" s="26" t="s">
        <v>23</v>
      </c>
      <c r="E2736" s="27" t="str">
        <f t="shared" si="71"/>
        <v>1628 2nd Ave</v>
      </c>
      <c r="F2736" s="25" t="s">
        <v>44</v>
      </c>
      <c r="G2736" s="28">
        <v>880000.0</v>
      </c>
      <c r="H2736" s="28">
        <v>1257.0</v>
      </c>
      <c r="I2736" s="28">
        <v>1579.0</v>
      </c>
      <c r="J2736" s="28">
        <v>10380.0</v>
      </c>
      <c r="K2736" s="25" t="s">
        <v>28</v>
      </c>
      <c r="L2736" s="26">
        <v>4.0</v>
      </c>
      <c r="M2736" s="26">
        <v>2.0</v>
      </c>
      <c r="N2736" s="26">
        <v>1.0</v>
      </c>
      <c r="O2736" s="26">
        <v>0.0</v>
      </c>
      <c r="P2736" s="26">
        <v>700.0</v>
      </c>
      <c r="Q2736" s="35">
        <v>161.0</v>
      </c>
      <c r="R2736" s="32">
        <v>45377.0</v>
      </c>
      <c r="S2736" s="32">
        <v>45215.0</v>
      </c>
      <c r="T2736" s="29"/>
      <c r="U2736" s="33"/>
      <c r="V2736" s="1"/>
    </row>
    <row r="2737" ht="24.0" customHeight="1">
      <c r="A2737" s="1"/>
      <c r="B2737" s="24" t="str">
        <f>HYPERLINK("https://www.compass.com/listing/175-east-62nd-street-unit-17b-manhattan-ny-10065/4852269988855154673/view?agent_id=610d3f3370540700019b0833","175 East 62nd Street, Unit 17B")</f>
        <v>175 East 62nd Street, Unit 17B</v>
      </c>
      <c r="C2737" s="25" t="s">
        <v>364</v>
      </c>
      <c r="D2737" s="26" t="s">
        <v>23</v>
      </c>
      <c r="E2737" s="27" t="str">
        <f>HYPERLINK("https://www.compass.com/building/175-e-62nd-st-manhattan-ny-10065/292923290815584773/","175 E 62nd St")</f>
        <v>175 E 62nd St</v>
      </c>
      <c r="F2737" s="25" t="s">
        <v>64</v>
      </c>
      <c r="G2737" s="28">
        <v>1775000.0</v>
      </c>
      <c r="H2737" s="28">
        <v>888.0</v>
      </c>
      <c r="I2737" s="28">
        <v>5311.0</v>
      </c>
      <c r="J2737" s="29"/>
      <c r="K2737" s="25" t="s">
        <v>25</v>
      </c>
      <c r="L2737" s="26">
        <v>5.0</v>
      </c>
      <c r="M2737" s="26">
        <v>2.0</v>
      </c>
      <c r="N2737" s="26">
        <v>0.0</v>
      </c>
      <c r="O2737" s="26">
        <v>0.0</v>
      </c>
      <c r="P2737" s="34">
        <v>2000.0</v>
      </c>
      <c r="Q2737" s="35">
        <v>153.0</v>
      </c>
      <c r="R2737" s="32">
        <v>45636.0</v>
      </c>
      <c r="S2737" s="32">
        <v>42432.0</v>
      </c>
      <c r="T2737" s="29"/>
      <c r="U2737" s="33"/>
      <c r="V2737" s="1"/>
    </row>
    <row r="2738" ht="24.0" customHeight="1">
      <c r="A2738" s="1"/>
      <c r="B2738" s="24" t="str">
        <f>HYPERLINK("https://www.compass.com/listing/311-east-83rd-street-unit-3a-manhattan-ny-10028/1838991158051528385/view?agent_id=610d3f3370540700019b0833","311 East 83rd Street, Unit 3A")</f>
        <v>311 East 83rd Street, Unit 3A</v>
      </c>
      <c r="C2738" s="25" t="s">
        <v>364</v>
      </c>
      <c r="D2738" s="26" t="s">
        <v>23</v>
      </c>
      <c r="E2738" s="27" t="str">
        <f>HYPERLINK("https://www.compass.com/building/311-e-83rd-st-manhattan-ny-10028/281986119913021381/","311 E 83rd St")</f>
        <v>311 E 83rd St</v>
      </c>
      <c r="F2738" s="25" t="s">
        <v>44</v>
      </c>
      <c r="G2738" s="28">
        <v>1325000.0</v>
      </c>
      <c r="H2738" s="29"/>
      <c r="I2738" s="28">
        <v>2635.0</v>
      </c>
      <c r="J2738" s="29"/>
      <c r="K2738" s="25" t="s">
        <v>25</v>
      </c>
      <c r="L2738" s="26">
        <v>5.0</v>
      </c>
      <c r="M2738" s="26">
        <v>2.0</v>
      </c>
      <c r="N2738" s="26">
        <v>0.0</v>
      </c>
      <c r="O2738" s="26">
        <v>0.0</v>
      </c>
      <c r="P2738" s="30"/>
      <c r="Q2738" s="31"/>
      <c r="R2738" s="32">
        <v>44581.0</v>
      </c>
      <c r="S2738" s="33"/>
      <c r="T2738" s="29"/>
      <c r="U2738" s="33"/>
      <c r="V2738" s="1"/>
    </row>
    <row r="2739" ht="24.0" customHeight="1">
      <c r="A2739" s="1"/>
      <c r="B2739" s="24" t="str">
        <f>HYPERLINK("https://www.compass.com/listing/52-3rd-avenue-unit-b5-brooklyn-ny-11217/638979396203734969/view?agent_id=610d3f3370540700019b0833","52 3rd Avenue, Unit B5")</f>
        <v>52 3rd Avenue, Unit B5</v>
      </c>
      <c r="C2739" s="25" t="s">
        <v>364</v>
      </c>
      <c r="D2739" s="26" t="s">
        <v>23</v>
      </c>
      <c r="E2739" s="27" t="str">
        <f>HYPERLINK("https://www.compass.com/building/52-3rd-ave-brooklyn-ny-11217/282507753371553701/","52 3rd Ave")</f>
        <v>52 3rd Ave</v>
      </c>
      <c r="F2739" s="25" t="s">
        <v>102</v>
      </c>
      <c r="G2739" s="28">
        <v>1150000.0</v>
      </c>
      <c r="H2739" s="28">
        <v>1247.0</v>
      </c>
      <c r="I2739" s="28">
        <v>1429.0</v>
      </c>
      <c r="J2739" s="28">
        <v>5988.0</v>
      </c>
      <c r="K2739" s="25" t="s">
        <v>28</v>
      </c>
      <c r="L2739" s="26">
        <v>4.0</v>
      </c>
      <c r="M2739" s="26">
        <v>2.0</v>
      </c>
      <c r="N2739" s="26">
        <v>1.0</v>
      </c>
      <c r="O2739" s="26">
        <v>0.0</v>
      </c>
      <c r="P2739" s="26">
        <v>922.0</v>
      </c>
      <c r="Q2739" s="35">
        <v>56.0</v>
      </c>
      <c r="R2739" s="32">
        <v>44189.0</v>
      </c>
      <c r="S2739" s="32">
        <v>44133.0</v>
      </c>
      <c r="T2739" s="29"/>
      <c r="U2739" s="33"/>
      <c r="V2739" s="1"/>
    </row>
    <row r="2740" ht="24.0" customHeight="1">
      <c r="A2740" s="1"/>
      <c r="B2740" s="24" t="str">
        <f>HYPERLINK("https://www.compass.com/listing/178-east-80th-street-unit-2c-manhattan-ny-10075/1199932406089902441/view?agent_id=610d3f3370540700019b0833","178 East 80th Street, Unit 2C")</f>
        <v>178 East 80th Street, Unit 2C</v>
      </c>
      <c r="C2740" s="25" t="s">
        <v>365</v>
      </c>
      <c r="D2740" s="26" t="s">
        <v>23</v>
      </c>
      <c r="E2740" s="27" t="str">
        <f>HYPERLINK("https://www.compass.com/building/the-kenilworth-manhattan-ny/282060668415279813/","The Kenilworth")</f>
        <v>The Kenilworth</v>
      </c>
      <c r="F2740" s="25" t="s">
        <v>44</v>
      </c>
      <c r="G2740" s="28">
        <v>850000.0</v>
      </c>
      <c r="H2740" s="29"/>
      <c r="I2740" s="28">
        <v>2230.0</v>
      </c>
      <c r="J2740" s="28">
        <v>0.0</v>
      </c>
      <c r="K2740" s="25" t="s">
        <v>25</v>
      </c>
      <c r="L2740" s="26">
        <v>4.0</v>
      </c>
      <c r="M2740" s="26">
        <v>2.0</v>
      </c>
      <c r="N2740" s="26">
        <v>1.0</v>
      </c>
      <c r="O2740" s="30"/>
      <c r="P2740" s="30"/>
      <c r="Q2740" s="35">
        <v>125.0</v>
      </c>
      <c r="R2740" s="32">
        <v>45033.0</v>
      </c>
      <c r="S2740" s="32">
        <v>44907.0</v>
      </c>
      <c r="T2740" s="29"/>
      <c r="U2740" s="33"/>
      <c r="V2740" s="1"/>
    </row>
    <row r="2741" ht="24.0" customHeight="1">
      <c r="A2741" s="1"/>
      <c r="B2741" s="24" t="str">
        <f>HYPERLINK("https://www.compass.com/listing/26-butler-place-unit-34-brooklyn-ny-11238/29470738272583921/view?agent_id=610d3f3370540700019b0833","26 Butler Place, Unit 34")</f>
        <v>26 Butler Place, Unit 34</v>
      </c>
      <c r="C2741" s="25" t="s">
        <v>364</v>
      </c>
      <c r="D2741" s="26" t="s">
        <v>23</v>
      </c>
      <c r="E2741" s="27" t="str">
        <f>HYPERLINK("https://www.compass.com/building/26-butler-pl-brooklyn-ny-11238/293419012585485077/","26 Butler Pl")</f>
        <v>26 Butler Pl</v>
      </c>
      <c r="F2741" s="25" t="s">
        <v>39</v>
      </c>
      <c r="G2741" s="28">
        <v>809000.0</v>
      </c>
      <c r="H2741" s="28">
        <v>1049.0</v>
      </c>
      <c r="I2741" s="28">
        <v>826.0</v>
      </c>
      <c r="J2741" s="28">
        <v>4393.0</v>
      </c>
      <c r="K2741" s="25" t="s">
        <v>28</v>
      </c>
      <c r="L2741" s="26">
        <v>5.0</v>
      </c>
      <c r="M2741" s="26">
        <v>2.0</v>
      </c>
      <c r="N2741" s="30"/>
      <c r="O2741" s="30"/>
      <c r="P2741" s="26">
        <v>771.0</v>
      </c>
      <c r="Q2741" s="35">
        <v>177.0</v>
      </c>
      <c r="R2741" s="32">
        <v>43454.0</v>
      </c>
      <c r="S2741" s="32">
        <v>43257.0</v>
      </c>
      <c r="T2741" s="29"/>
      <c r="U2741" s="33"/>
      <c r="V2741" s="1"/>
    </row>
    <row r="2742" ht="24.0" customHeight="1">
      <c r="A2742" s="1"/>
      <c r="B2742" s="24" t="str">
        <f>HYPERLINK("https://www.compass.com/listing/55-east-65th-street-unit-4aa-manhattan-ny-10065/349122278775984209/view?agent_id=610d3f3370540700019b0833","55 East 65th Street, Unit 4AA")</f>
        <v>55 East 65th Street, Unit 4AA</v>
      </c>
      <c r="C2742" s="25" t="s">
        <v>364</v>
      </c>
      <c r="D2742" s="26" t="s">
        <v>23</v>
      </c>
      <c r="E2742" s="27" t="str">
        <f t="shared" ref="E2742:E2743" si="72">HYPERLINK("https://www.compass.com/building/55-e-65th-st-manhattan-ny-10065/282040209556657557/","55 E 65th St")</f>
        <v>55 E 65th St</v>
      </c>
      <c r="F2742" s="25" t="s">
        <v>64</v>
      </c>
      <c r="G2742" s="28">
        <v>1250000.0</v>
      </c>
      <c r="H2742" s="29"/>
      <c r="I2742" s="28">
        <v>1873.0</v>
      </c>
      <c r="J2742" s="28">
        <v>0.0</v>
      </c>
      <c r="K2742" s="25" t="s">
        <v>25</v>
      </c>
      <c r="L2742" s="26">
        <v>4.0</v>
      </c>
      <c r="M2742" s="26">
        <v>2.0</v>
      </c>
      <c r="N2742" s="26">
        <v>1.0</v>
      </c>
      <c r="O2742" s="30"/>
      <c r="P2742" s="30"/>
      <c r="Q2742" s="35">
        <v>54.0</v>
      </c>
      <c r="R2742" s="32">
        <v>43902.0</v>
      </c>
      <c r="S2742" s="32">
        <v>43733.0</v>
      </c>
      <c r="T2742" s="29"/>
      <c r="U2742" s="33"/>
      <c r="V2742" s="1"/>
    </row>
    <row r="2743" ht="24.0" customHeight="1">
      <c r="A2743" s="1"/>
      <c r="B2743" s="24" t="str">
        <f>HYPERLINK("https://www.compass.com/listing/55-east-65th-street-unit-4a-manhattan-ny-10065/444845393852528025/view?agent_id=610d3f3370540700019b0833","55 East 65th Street, Unit 4A")</f>
        <v>55 East 65th Street, Unit 4A</v>
      </c>
      <c r="C2743" s="25" t="s">
        <v>365</v>
      </c>
      <c r="D2743" s="26" t="s">
        <v>23</v>
      </c>
      <c r="E2743" s="27" t="str">
        <f t="shared" si="72"/>
        <v>55 E 65th St</v>
      </c>
      <c r="F2743" s="25" t="s">
        <v>64</v>
      </c>
      <c r="G2743" s="28">
        <v>1250000.0</v>
      </c>
      <c r="H2743" s="29"/>
      <c r="I2743" s="28">
        <v>1873.0</v>
      </c>
      <c r="J2743" s="28">
        <v>0.0</v>
      </c>
      <c r="K2743" s="25" t="s">
        <v>25</v>
      </c>
      <c r="L2743" s="26">
        <v>4.0</v>
      </c>
      <c r="M2743" s="26">
        <v>2.0</v>
      </c>
      <c r="N2743" s="26">
        <v>1.0</v>
      </c>
      <c r="O2743" s="30"/>
      <c r="P2743" s="30"/>
      <c r="Q2743" s="35">
        <v>30.0</v>
      </c>
      <c r="R2743" s="32">
        <v>43951.0</v>
      </c>
      <c r="S2743" s="32">
        <v>43879.0</v>
      </c>
      <c r="T2743" s="29"/>
      <c r="U2743" s="33"/>
      <c r="V2743" s="1"/>
    </row>
    <row r="2744" ht="24.0" customHeight="1">
      <c r="A2744" s="1"/>
      <c r="B2744" s="24" t="str">
        <f>HYPERLINK("https://www.compass.com/listing/252-7th-avenue-unit-6u-manhattan-ny-10001/70973701293713985/view?agent_id=610d3f3370540700019b0833","252 7th Avenue, Unit 6U")</f>
        <v>252 7th Avenue, Unit 6U</v>
      </c>
      <c r="C2744" s="25" t="s">
        <v>364</v>
      </c>
      <c r="D2744" s="26" t="s">
        <v>23</v>
      </c>
      <c r="E2744" s="27" t="str">
        <f>HYPERLINK("https://www.compass.com/building/chelsea-mercantile-manhattan-ny/281883077574132517/","Chelsea Mercantile")</f>
        <v>Chelsea Mercantile</v>
      </c>
      <c r="F2744" s="25" t="s">
        <v>27</v>
      </c>
      <c r="G2744" s="28">
        <v>3200000.0</v>
      </c>
      <c r="H2744" s="28">
        <v>1922.0</v>
      </c>
      <c r="I2744" s="28">
        <v>2580.0</v>
      </c>
      <c r="J2744" s="28">
        <v>17940.0</v>
      </c>
      <c r="K2744" s="25" t="s">
        <v>28</v>
      </c>
      <c r="L2744" s="26">
        <v>5.0</v>
      </c>
      <c r="M2744" s="26">
        <v>2.0</v>
      </c>
      <c r="N2744" s="26">
        <v>0.0</v>
      </c>
      <c r="O2744" s="26">
        <v>0.0</v>
      </c>
      <c r="P2744" s="34">
        <v>1665.0</v>
      </c>
      <c r="Q2744" s="35">
        <v>68.0</v>
      </c>
      <c r="R2744" s="32">
        <v>45636.0</v>
      </c>
      <c r="S2744" s="32">
        <v>42642.0</v>
      </c>
      <c r="T2744" s="29"/>
      <c r="U2744" s="33"/>
      <c r="V2744" s="1"/>
    </row>
    <row r="2745" ht="24.0" customHeight="1">
      <c r="A2745" s="1"/>
      <c r="B2745" s="24" t="str">
        <f>HYPERLINK("https://www.compass.com/listing/50-franklin-street-unit-5d-manhattan-ny-10013/923575374918442369/view?agent_id=610d3f3370540700019b0833","50 Franklin Street, Unit 5D")</f>
        <v>50 Franklin Street, Unit 5D</v>
      </c>
      <c r="C2745" s="25" t="s">
        <v>370</v>
      </c>
      <c r="D2745" s="26" t="s">
        <v>23</v>
      </c>
      <c r="E2745" s="27" t="str">
        <f>HYPERLINK("https://www.compass.com/building/50-franklin-st-manhattan-ny-10013/281920381009301701/","50 Franklin St")</f>
        <v>50 Franklin St</v>
      </c>
      <c r="F2745" s="25" t="s">
        <v>60</v>
      </c>
      <c r="G2745" s="28">
        <v>1595000.0</v>
      </c>
      <c r="H2745" s="28">
        <v>1606.0</v>
      </c>
      <c r="I2745" s="28">
        <v>2287.0</v>
      </c>
      <c r="J2745" s="28">
        <v>12216.0</v>
      </c>
      <c r="K2745" s="25" t="s">
        <v>209</v>
      </c>
      <c r="L2745" s="26">
        <v>4.0</v>
      </c>
      <c r="M2745" s="26">
        <v>2.0</v>
      </c>
      <c r="N2745" s="26">
        <v>0.0</v>
      </c>
      <c r="O2745" s="26">
        <v>0.0</v>
      </c>
      <c r="P2745" s="26">
        <v>993.0</v>
      </c>
      <c r="Q2745" s="35">
        <v>174.0</v>
      </c>
      <c r="R2745" s="32">
        <v>45695.0</v>
      </c>
      <c r="S2745" s="32">
        <v>43143.0</v>
      </c>
      <c r="T2745" s="29"/>
      <c r="U2745" s="33"/>
      <c r="V2745" s="1"/>
    </row>
    <row r="2746" ht="24.0" customHeight="1">
      <c r="A2746" s="1"/>
      <c r="B2746" s="24" t="str">
        <f>HYPERLINK("https://www.compass.com/listing/128-east-83rd-street-unit-1c-manhattan-ny-10028/354857172907153553/view?agent_id=610d3f3370540700019b0833","128 East 83rd Street, Unit 1C")</f>
        <v>128 East 83rd Street, Unit 1C</v>
      </c>
      <c r="C2746" s="25" t="s">
        <v>364</v>
      </c>
      <c r="D2746" s="26" t="s">
        <v>23</v>
      </c>
      <c r="E2746" s="27" t="str">
        <f>HYPERLINK("https://www.compass.com/building/128-e-83rd-st-manhattan-ny-10028/281926500322680533/","128 E 83rd St")</f>
        <v>128 E 83rd St</v>
      </c>
      <c r="F2746" s="25" t="s">
        <v>44</v>
      </c>
      <c r="G2746" s="28">
        <v>650000.0</v>
      </c>
      <c r="H2746" s="29"/>
      <c r="I2746" s="28">
        <v>1287.0</v>
      </c>
      <c r="J2746" s="28">
        <v>0.0</v>
      </c>
      <c r="K2746" s="25" t="s">
        <v>25</v>
      </c>
      <c r="L2746" s="26">
        <v>4.0</v>
      </c>
      <c r="M2746" s="26">
        <v>2.0</v>
      </c>
      <c r="N2746" s="26">
        <v>1.0</v>
      </c>
      <c r="O2746" s="30"/>
      <c r="P2746" s="30"/>
      <c r="Q2746" s="35">
        <v>104.0</v>
      </c>
      <c r="R2746" s="32">
        <v>43857.0</v>
      </c>
      <c r="S2746" s="32">
        <v>43753.0</v>
      </c>
      <c r="T2746" s="29"/>
      <c r="U2746" s="33"/>
      <c r="V2746" s="1"/>
    </row>
    <row r="2747" ht="24.0" customHeight="1">
      <c r="A2747" s="1"/>
      <c r="B2747" s="24" t="str">
        <f>HYPERLINK("https://www.compass.com/listing/401-east-65th-street-unit-12f-manhattan-ny-10065/1612433399411617985/view?agent_id=610d3f3370540700019b0833","401 East 65th Street, Unit 12F")</f>
        <v>401 East 65th Street, Unit 12F</v>
      </c>
      <c r="C2747" s="25" t="s">
        <v>370</v>
      </c>
      <c r="D2747" s="26" t="s">
        <v>23</v>
      </c>
      <c r="E2747" s="27" t="str">
        <f>HYPERLINK("https://www.compass.com/building/401-e-65th-st-manhattan-ny-10065/292923805045644325/","401 E 65th St")</f>
        <v>401 E 65th St</v>
      </c>
      <c r="F2747" s="25" t="s">
        <v>64</v>
      </c>
      <c r="G2747" s="28">
        <v>775000.0</v>
      </c>
      <c r="H2747" s="29"/>
      <c r="I2747" s="28">
        <v>1803.0</v>
      </c>
      <c r="J2747" s="28">
        <v>0.0</v>
      </c>
      <c r="K2747" s="25" t="s">
        <v>25</v>
      </c>
      <c r="L2747" s="26">
        <v>4.0</v>
      </c>
      <c r="M2747" s="26">
        <v>2.0</v>
      </c>
      <c r="N2747" s="30"/>
      <c r="O2747" s="30"/>
      <c r="P2747" s="30"/>
      <c r="Q2747" s="35">
        <v>28.0</v>
      </c>
      <c r="R2747" s="32">
        <v>45526.0</v>
      </c>
      <c r="S2747" s="32">
        <v>45476.0</v>
      </c>
      <c r="T2747" s="29"/>
      <c r="U2747" s="33"/>
      <c r="V2747" s="1"/>
    </row>
    <row r="2748" ht="24.0" customHeight="1">
      <c r="A2748" s="1"/>
      <c r="B2748" s="24" t="str">
        <f>HYPERLINK("https://www.compass.com/listing/575-park-avenue-unit-1401-manhattan-ny-10065/1838949174351925753/view?agent_id=610d3f3370540700019b0833","575 Park Avenue, Unit 1401")</f>
        <v>575 Park Avenue, Unit 1401</v>
      </c>
      <c r="C2748" s="25" t="s">
        <v>370</v>
      </c>
      <c r="D2748" s="26" t="s">
        <v>23</v>
      </c>
      <c r="E2748" s="27" t="str">
        <f>HYPERLINK("https://www.compass.com/building/beekman-tenants-corp-manhattan-ny/292926270247824005/","Beekman Tenants Corp.")</f>
        <v>Beekman Tenants Corp.</v>
      </c>
      <c r="F2748" s="25" t="s">
        <v>64</v>
      </c>
      <c r="G2748" s="28">
        <v>1550000.0</v>
      </c>
      <c r="H2748" s="29"/>
      <c r="I2748" s="28">
        <v>6090.0</v>
      </c>
      <c r="J2748" s="29"/>
      <c r="K2748" s="25" t="s">
        <v>25</v>
      </c>
      <c r="L2748" s="26">
        <v>4.0</v>
      </c>
      <c r="M2748" s="26">
        <v>2.0</v>
      </c>
      <c r="N2748" s="26">
        <v>0.0</v>
      </c>
      <c r="O2748" s="26">
        <v>0.0</v>
      </c>
      <c r="P2748" s="30"/>
      <c r="Q2748" s="35">
        <v>104.0</v>
      </c>
      <c r="R2748" s="32">
        <v>44581.0</v>
      </c>
      <c r="S2748" s="32">
        <v>42839.0</v>
      </c>
      <c r="T2748" s="29"/>
      <c r="U2748" s="33"/>
      <c r="V2748" s="1"/>
    </row>
    <row r="2749" ht="24.0" customHeight="1">
      <c r="A2749" s="1"/>
      <c r="B2749" s="24" t="str">
        <f>HYPERLINK("https://www.compass.com/listing/1160-3rd-avenue-unit-11d-manhattan-ny-10065/569426465975275617/view?agent_id=610d3f3370540700019b0833","1160 3rd Avenue, Unit 11D")</f>
        <v>1160 3rd Avenue, Unit 11D</v>
      </c>
      <c r="C2749" s="25" t="s">
        <v>364</v>
      </c>
      <c r="D2749" s="26" t="s">
        <v>23</v>
      </c>
      <c r="E2749" s="27" t="str">
        <f>HYPERLINK("https://www.compass.com/building/frost-house-manhattan-ny/294841838984617765/","Frost House")</f>
        <v>Frost House</v>
      </c>
      <c r="F2749" s="25" t="s">
        <v>64</v>
      </c>
      <c r="G2749" s="28">
        <v>750000.0</v>
      </c>
      <c r="H2749" s="29"/>
      <c r="I2749" s="28">
        <v>2455.0</v>
      </c>
      <c r="J2749" s="29"/>
      <c r="K2749" s="25" t="s">
        <v>25</v>
      </c>
      <c r="L2749" s="26">
        <v>4.0</v>
      </c>
      <c r="M2749" s="26">
        <v>2.0</v>
      </c>
      <c r="N2749" s="26">
        <v>1.0</v>
      </c>
      <c r="O2749" s="26">
        <v>0.0</v>
      </c>
      <c r="P2749" s="30"/>
      <c r="Q2749" s="35">
        <v>44.0</v>
      </c>
      <c r="R2749" s="32">
        <v>44581.0</v>
      </c>
      <c r="S2749" s="32">
        <v>44035.0</v>
      </c>
      <c r="T2749" s="29"/>
      <c r="U2749" s="33"/>
      <c r="V2749" s="1"/>
    </row>
    <row r="2750" ht="24.0" customHeight="1">
      <c r="A2750" s="1"/>
      <c r="B2750" s="24" t="str">
        <f>HYPERLINK("https://www.compass.com/listing/254-west-25th-street-unit-5a-manhattan-ny-10001/1012517369323283905/view?agent_id=610d3f3370540700019b0833","254 West 25th Street, Unit 5A")</f>
        <v>254 West 25th Street, Unit 5A</v>
      </c>
      <c r="C2750" s="25" t="s">
        <v>365</v>
      </c>
      <c r="D2750" s="26" t="s">
        <v>23</v>
      </c>
      <c r="E2750" s="27" t="str">
        <f>HYPERLINK("https://www.compass.com/building/254-w-25th-st-manhattan-ny-10001/281883091641828149/","254 W 25th St")</f>
        <v>254 W 25th St</v>
      </c>
      <c r="F2750" s="25" t="s">
        <v>27</v>
      </c>
      <c r="G2750" s="28">
        <v>1399000.0</v>
      </c>
      <c r="H2750" s="29"/>
      <c r="I2750" s="28">
        <v>1807.0</v>
      </c>
      <c r="J2750" s="28">
        <v>0.0</v>
      </c>
      <c r="K2750" s="25" t="s">
        <v>25</v>
      </c>
      <c r="L2750" s="26">
        <v>5.0</v>
      </c>
      <c r="M2750" s="26">
        <v>2.0</v>
      </c>
      <c r="N2750" s="26">
        <v>1.0</v>
      </c>
      <c r="O2750" s="26">
        <v>0.0</v>
      </c>
      <c r="P2750" s="30"/>
      <c r="Q2750" s="35">
        <v>50.0</v>
      </c>
      <c r="R2750" s="32">
        <v>44702.0</v>
      </c>
      <c r="S2750" s="32">
        <v>44652.0</v>
      </c>
      <c r="T2750" s="29"/>
      <c r="U2750" s="33"/>
      <c r="V2750" s="1"/>
    </row>
    <row r="2751" ht="24.0" customHeight="1">
      <c r="A2751" s="1"/>
      <c r="B2751" s="24" t="str">
        <f>HYPERLINK("https://www.compass.com/listing/530-east-79th-street-unit-2l-manhattan-ny-10075/608389007531400913/view?agent_id=610d3f3370540700019b0833","530 East 79th Street, Unit 2L")</f>
        <v>530 East 79th Street, Unit 2L</v>
      </c>
      <c r="C2751" s="25" t="s">
        <v>364</v>
      </c>
      <c r="D2751" s="26" t="s">
        <v>23</v>
      </c>
      <c r="E2751" s="27" t="str">
        <f>HYPERLINK("https://www.compass.com/building/530-e-79th-st-manhattan-ny-10075/377669939447534261/","530 E 79th St")</f>
        <v>530 E 79th St</v>
      </c>
      <c r="F2751" s="25" t="s">
        <v>44</v>
      </c>
      <c r="G2751" s="28">
        <v>725000.0</v>
      </c>
      <c r="H2751" s="29"/>
      <c r="I2751" s="28">
        <v>2076.0</v>
      </c>
      <c r="J2751" s="28">
        <v>0.0</v>
      </c>
      <c r="K2751" s="25" t="s">
        <v>25</v>
      </c>
      <c r="L2751" s="26">
        <v>4.0</v>
      </c>
      <c r="M2751" s="26">
        <v>2.0</v>
      </c>
      <c r="N2751" s="26">
        <v>1.0</v>
      </c>
      <c r="O2751" s="30"/>
      <c r="P2751" s="30"/>
      <c r="Q2751" s="31"/>
      <c r="R2751" s="32">
        <v>44091.0</v>
      </c>
      <c r="S2751" s="33"/>
      <c r="T2751" s="29"/>
      <c r="U2751" s="33"/>
      <c r="V2751" s="1"/>
    </row>
    <row r="2752" ht="24.0" customHeight="1">
      <c r="A2752" s="1"/>
      <c r="B2752" s="24" t="str">
        <f>HYPERLINK("https://www.compass.com/listing/1115-1139-prospect-avenue-unit-4g-brooklyn-ny-11218/1242023957659563969/view?agent_id=610d3f3370540700019b0833","1115-1139 Prospect Avenue, Unit 4G")</f>
        <v>1115-1139 Prospect Avenue, Unit 4G</v>
      </c>
      <c r="C2752" s="25" t="s">
        <v>364</v>
      </c>
      <c r="D2752" s="26" t="s">
        <v>23</v>
      </c>
      <c r="E2752" s="26" t="s">
        <v>378</v>
      </c>
      <c r="F2752" s="25" t="s">
        <v>106</v>
      </c>
      <c r="G2752" s="28">
        <v>1025000.0</v>
      </c>
      <c r="H2752" s="29"/>
      <c r="I2752" s="28">
        <v>716.0</v>
      </c>
      <c r="J2752" s="28">
        <v>2928.0</v>
      </c>
      <c r="K2752" s="25" t="s">
        <v>28</v>
      </c>
      <c r="L2752" s="26">
        <v>4.0</v>
      </c>
      <c r="M2752" s="26">
        <v>2.0</v>
      </c>
      <c r="N2752" s="26">
        <v>1.0</v>
      </c>
      <c r="O2752" s="26">
        <v>0.0</v>
      </c>
      <c r="P2752" s="30"/>
      <c r="Q2752" s="35">
        <v>131.0</v>
      </c>
      <c r="R2752" s="32">
        <v>45636.0</v>
      </c>
      <c r="S2752" s="32">
        <v>44965.0</v>
      </c>
      <c r="T2752" s="29"/>
      <c r="U2752" s="33"/>
      <c r="V2752" s="1"/>
    </row>
    <row r="2753" ht="24.0" customHeight="1">
      <c r="A2753" s="1"/>
      <c r="B2753" s="24" t="str">
        <f>HYPERLINK("https://www.compass.com/listing/433-warren-street-unit-phb-brooklyn-ny-11217/1466728974548913273/view?agent_id=610d3f3370540700019b0833","433 Warren Street, Unit PHB")</f>
        <v>433 Warren Street, Unit PHB</v>
      </c>
      <c r="C2753" s="25" t="s">
        <v>364</v>
      </c>
      <c r="D2753" s="26" t="s">
        <v>23</v>
      </c>
      <c r="E2753" s="27" t="str">
        <f>HYPERLINK("https://www.compass.com/building/433-warren-st-brooklyn-ny-11217/282507604205325557/","433 Warren St")</f>
        <v>433 Warren St</v>
      </c>
      <c r="F2753" s="25" t="s">
        <v>102</v>
      </c>
      <c r="G2753" s="28">
        <v>1049000.0</v>
      </c>
      <c r="H2753" s="28">
        <v>999.0</v>
      </c>
      <c r="I2753" s="28">
        <v>1684.0</v>
      </c>
      <c r="J2753" s="28">
        <v>12648.0</v>
      </c>
      <c r="K2753" s="25" t="s">
        <v>28</v>
      </c>
      <c r="L2753" s="26">
        <v>4.0</v>
      </c>
      <c r="M2753" s="26">
        <v>2.0</v>
      </c>
      <c r="N2753" s="26">
        <v>1.0</v>
      </c>
      <c r="O2753" s="30"/>
      <c r="P2753" s="34">
        <v>1050.0</v>
      </c>
      <c r="Q2753" s="35">
        <v>122.0</v>
      </c>
      <c r="R2753" s="32">
        <v>45397.0</v>
      </c>
      <c r="S2753" s="32">
        <v>45275.0</v>
      </c>
      <c r="T2753" s="29"/>
      <c r="U2753" s="33"/>
      <c r="V2753" s="1"/>
    </row>
    <row r="2754" ht="24.0" customHeight="1">
      <c r="A2754" s="1"/>
      <c r="B2754" s="24" t="str">
        <f>HYPERLINK("https://www.compass.com/listing/333-east-66th-street-unit-6h-manhattan-ny-10065/1078294025675906569/view?agent_id=610d3f3370540700019b0833","333 East 66th Street, Unit 6H")</f>
        <v>333 East 66th Street, Unit 6H</v>
      </c>
      <c r="C2754" s="25" t="s">
        <v>370</v>
      </c>
      <c r="D2754" s="26" t="s">
        <v>23</v>
      </c>
      <c r="E2754" s="27" t="str">
        <f>HYPERLINK("https://www.compass.com/building/bryn-mawr-manhattan-ny/281928670933725557/","Bryn Mawr")</f>
        <v>Bryn Mawr</v>
      </c>
      <c r="F2754" s="25" t="s">
        <v>64</v>
      </c>
      <c r="G2754" s="28">
        <v>850000.0</v>
      </c>
      <c r="H2754" s="28">
        <v>944.0</v>
      </c>
      <c r="I2754" s="28">
        <v>1815.0</v>
      </c>
      <c r="J2754" s="28">
        <v>0.0</v>
      </c>
      <c r="K2754" s="25" t="s">
        <v>25</v>
      </c>
      <c r="L2754" s="26">
        <v>5.0</v>
      </c>
      <c r="M2754" s="26">
        <v>2.0</v>
      </c>
      <c r="N2754" s="26">
        <v>1.0</v>
      </c>
      <c r="O2754" s="30"/>
      <c r="P2754" s="26">
        <v>900.0</v>
      </c>
      <c r="Q2754" s="35">
        <v>146.0</v>
      </c>
      <c r="R2754" s="32">
        <v>44895.0</v>
      </c>
      <c r="S2754" s="32">
        <v>44748.0</v>
      </c>
      <c r="T2754" s="29"/>
      <c r="U2754" s="33"/>
      <c r="V2754" s="1"/>
    </row>
    <row r="2755" ht="24.0" customHeight="1">
      <c r="A2755" s="1"/>
      <c r="B2755" s="24" t="str">
        <f>HYPERLINK("https://www.compass.com/listing/300-east-79th-street-unit-8a-manhattan-ny-10075/192565812291270385/view?agent_id=610d3f3370540700019b0833","300 East 79th Street, Unit 8A")</f>
        <v>300 East 79th Street, Unit 8A</v>
      </c>
      <c r="C2755" s="25" t="s">
        <v>364</v>
      </c>
      <c r="D2755" s="26" t="s">
        <v>23</v>
      </c>
      <c r="E2755" s="27" t="str">
        <f>HYPERLINK("https://www.compass.com/building/300-e-79th-st-manhattan-ny-10075/282043798857473589/","300 E 79th St")</f>
        <v>300 E 79th St</v>
      </c>
      <c r="F2755" s="25" t="s">
        <v>44</v>
      </c>
      <c r="G2755" s="28">
        <v>1390000.0</v>
      </c>
      <c r="H2755" s="29"/>
      <c r="I2755" s="28">
        <v>2002.0</v>
      </c>
      <c r="J2755" s="28">
        <v>3816.0</v>
      </c>
      <c r="K2755" s="25" t="s">
        <v>28</v>
      </c>
      <c r="L2755" s="26">
        <v>4.0</v>
      </c>
      <c r="M2755" s="26">
        <v>2.0</v>
      </c>
      <c r="N2755" s="26">
        <v>0.0</v>
      </c>
      <c r="O2755" s="26">
        <v>0.0</v>
      </c>
      <c r="P2755" s="30"/>
      <c r="Q2755" s="35">
        <v>600.0</v>
      </c>
      <c r="R2755" s="32">
        <v>44581.0</v>
      </c>
      <c r="S2755" s="32">
        <v>41328.0</v>
      </c>
      <c r="T2755" s="29"/>
      <c r="U2755" s="33"/>
      <c r="V2755" s="1"/>
    </row>
    <row r="2756" ht="24.0" customHeight="1">
      <c r="A2756" s="1"/>
      <c r="B2756" s="24" t="str">
        <f>HYPERLINK("https://www.compass.com/listing/875-5th-avenue-unit-4e-manhattan-ny-10065/29411131667816193/view?agent_id=610d3f3370540700019b0833","875 5th Avenue, Unit 4E")</f>
        <v>875 5th Avenue, Unit 4E</v>
      </c>
      <c r="C2756" s="25" t="s">
        <v>370</v>
      </c>
      <c r="D2756" s="26" t="s">
        <v>23</v>
      </c>
      <c r="E2756" s="27" t="str">
        <f>HYPERLINK("https://www.compass.com/building/875-5th-ave-manhattan-ny-10065/282040971997236853/","875 5th Ave")</f>
        <v>875 5th Ave</v>
      </c>
      <c r="F2756" s="25" t="s">
        <v>64</v>
      </c>
      <c r="G2756" s="28">
        <v>2595000.0</v>
      </c>
      <c r="H2756" s="29"/>
      <c r="I2756" s="28">
        <v>2723.0</v>
      </c>
      <c r="J2756" s="29"/>
      <c r="K2756" s="25" t="s">
        <v>25</v>
      </c>
      <c r="L2756" s="26">
        <v>5.0</v>
      </c>
      <c r="M2756" s="26">
        <v>2.0</v>
      </c>
      <c r="N2756" s="26">
        <v>0.0</v>
      </c>
      <c r="O2756" s="26">
        <v>0.0</v>
      </c>
      <c r="P2756" s="30"/>
      <c r="Q2756" s="35">
        <v>112.0</v>
      </c>
      <c r="R2756" s="32">
        <v>45636.0</v>
      </c>
      <c r="S2756" s="32">
        <v>42809.0</v>
      </c>
      <c r="T2756" s="29"/>
      <c r="U2756" s="33"/>
      <c r="V2756" s="1"/>
    </row>
    <row r="2757" ht="24.0" customHeight="1">
      <c r="A2757" s="1"/>
      <c r="B2757" s="24" t="str">
        <f>HYPERLINK("https://www.compass.com/listing/940-park-avenue-unit-4-b-manhattan-ny-10028/803358652211863201/view?agent_id=610d3f3370540700019b0833","940 Park Avenue, Unit 4/B")</f>
        <v>940 Park Avenue, Unit 4/B</v>
      </c>
      <c r="C2757" s="25" t="s">
        <v>364</v>
      </c>
      <c r="D2757" s="26" t="s">
        <v>23</v>
      </c>
      <c r="E2757" s="27" t="str">
        <f>HYPERLINK("https://www.compass.com/building/940-park-ave-manhattan-ny-10028/281927002758357877/","940 Park Ave")</f>
        <v>940 Park Ave</v>
      </c>
      <c r="F2757" s="25" t="s">
        <v>44</v>
      </c>
      <c r="G2757" s="28">
        <v>1940000.0</v>
      </c>
      <c r="H2757" s="28">
        <v>1268.0</v>
      </c>
      <c r="I2757" s="28">
        <v>3302.0</v>
      </c>
      <c r="J2757" s="29"/>
      <c r="K2757" s="25" t="s">
        <v>25</v>
      </c>
      <c r="L2757" s="26">
        <v>5.0</v>
      </c>
      <c r="M2757" s="26">
        <v>2.0</v>
      </c>
      <c r="N2757" s="26">
        <v>0.0</v>
      </c>
      <c r="O2757" s="26">
        <v>0.0</v>
      </c>
      <c r="P2757" s="34">
        <v>1530.0</v>
      </c>
      <c r="Q2757" s="35">
        <v>0.0</v>
      </c>
      <c r="R2757" s="32">
        <v>44581.0</v>
      </c>
      <c r="S2757" s="32">
        <v>43182.0</v>
      </c>
      <c r="T2757" s="29"/>
      <c r="U2757" s="33"/>
      <c r="V2757" s="1"/>
    </row>
    <row r="2758" ht="24.0" customHeight="1">
      <c r="A2758" s="1"/>
      <c r="B2758" s="24" t="str">
        <f>HYPERLINK("https://www.compass.com/listing/230-east-79th-street-unit-11c-manhattan-ny-10075/486180686257725841/view?agent_id=610d3f3370540700019b0833","230 East 79th Street, Unit 11C")</f>
        <v>230 East 79th Street, Unit 11C</v>
      </c>
      <c r="C2758" s="25" t="s">
        <v>364</v>
      </c>
      <c r="D2758" s="26" t="s">
        <v>23</v>
      </c>
      <c r="E2758" s="27" t="str">
        <f>HYPERLINK("https://www.compass.com/building/belmont-79-manhattan-ny/282043394232966437/","Belmont 79")</f>
        <v>Belmont 79</v>
      </c>
      <c r="F2758" s="25" t="s">
        <v>44</v>
      </c>
      <c r="G2758" s="28">
        <v>1100000.0</v>
      </c>
      <c r="H2758" s="28">
        <v>917.0</v>
      </c>
      <c r="I2758" s="28">
        <v>2456.0</v>
      </c>
      <c r="J2758" s="29"/>
      <c r="K2758" s="25" t="s">
        <v>25</v>
      </c>
      <c r="L2758" s="26">
        <v>5.0</v>
      </c>
      <c r="M2758" s="26">
        <v>2.0</v>
      </c>
      <c r="N2758" s="26">
        <v>0.0</v>
      </c>
      <c r="O2758" s="26">
        <v>0.0</v>
      </c>
      <c r="P2758" s="34">
        <v>1200.0</v>
      </c>
      <c r="Q2758" s="35">
        <v>397.0</v>
      </c>
      <c r="R2758" s="32">
        <v>45636.0</v>
      </c>
      <c r="S2758" s="32">
        <v>42076.0</v>
      </c>
      <c r="T2758" s="29"/>
      <c r="U2758" s="33"/>
      <c r="V2758" s="1"/>
    </row>
    <row r="2759" ht="24.0" customHeight="1">
      <c r="A2759" s="1"/>
      <c r="B2759" s="24" t="str">
        <f>HYPERLINK("https://www.compass.com/listing/65-patchen-avenue-unit-garden-brooklyn-ny-11221/1340242619202664249/view?agent_id=610d3f3370540700019b0833","65 Patchen Avenue, Unit GARDEN")</f>
        <v>65 Patchen Avenue, Unit GARDEN</v>
      </c>
      <c r="C2759" s="25" t="s">
        <v>370</v>
      </c>
      <c r="D2759" s="26" t="s">
        <v>23</v>
      </c>
      <c r="E2759" s="27" t="str">
        <f>HYPERLINK("https://www.compass.com/building/65-patchen-ave-brooklyn-ny-11221/293526379494977461/","65 Patchen Ave")</f>
        <v>65 Patchen Ave</v>
      </c>
      <c r="F2759" s="25" t="s">
        <v>51</v>
      </c>
      <c r="G2759" s="28">
        <v>3000.0</v>
      </c>
      <c r="H2759" s="28">
        <v>1.0</v>
      </c>
      <c r="I2759" s="28">
        <v>0.0</v>
      </c>
      <c r="J2759" s="28">
        <v>0.0</v>
      </c>
      <c r="K2759" s="25" t="s">
        <v>97</v>
      </c>
      <c r="L2759" s="26">
        <v>4.0</v>
      </c>
      <c r="M2759" s="26">
        <v>2.0</v>
      </c>
      <c r="N2759" s="26">
        <v>1.0</v>
      </c>
      <c r="O2759" s="30"/>
      <c r="P2759" s="34">
        <v>2280.0</v>
      </c>
      <c r="Q2759" s="35">
        <v>1.0</v>
      </c>
      <c r="R2759" s="32">
        <v>45101.0</v>
      </c>
      <c r="S2759" s="32">
        <v>45010.0</v>
      </c>
      <c r="T2759" s="29"/>
      <c r="U2759" s="33"/>
      <c r="V2759" s="1"/>
    </row>
    <row r="2760" ht="24.0" customHeight="1">
      <c r="A2760" s="1"/>
      <c r="B2760" s="24" t="str">
        <f>HYPERLINK("https://www.compass.com/listing/131-devoe-street-unit-3c-brooklyn-ny-11211/533343129614162841/view?agent_id=610d3f3370540700019b0833","131 Devoe Street, Unit 3C")</f>
        <v>131 Devoe Street, Unit 3C</v>
      </c>
      <c r="C2760" s="25" t="s">
        <v>364</v>
      </c>
      <c r="D2760" s="26" t="s">
        <v>23</v>
      </c>
      <c r="E2760" s="27" t="str">
        <f>HYPERLINK("https://www.compass.com/building/131-devoe-brooklyn-ny/282392032222176757/","131 Devoe")</f>
        <v>131 Devoe</v>
      </c>
      <c r="F2760" s="25" t="s">
        <v>46</v>
      </c>
      <c r="G2760" s="28">
        <v>1150000.0</v>
      </c>
      <c r="H2760" s="29"/>
      <c r="I2760" s="28">
        <v>1284.0</v>
      </c>
      <c r="J2760" s="28">
        <v>9876.0</v>
      </c>
      <c r="K2760" s="25" t="s">
        <v>28</v>
      </c>
      <c r="L2760" s="26">
        <v>4.0</v>
      </c>
      <c r="M2760" s="26">
        <v>2.0</v>
      </c>
      <c r="N2760" s="26">
        <v>1.0</v>
      </c>
      <c r="O2760" s="30"/>
      <c r="P2760" s="30"/>
      <c r="Q2760" s="35">
        <v>42.0</v>
      </c>
      <c r="R2760" s="32">
        <v>44046.0</v>
      </c>
      <c r="S2760" s="32">
        <v>43990.0</v>
      </c>
      <c r="T2760" s="29"/>
      <c r="U2760" s="33"/>
      <c r="V2760" s="1"/>
    </row>
    <row r="2761" ht="24.0" customHeight="1">
      <c r="A2761" s="1"/>
      <c r="B2761" s="24" t="str">
        <f>HYPERLINK("https://www.compass.com/listing/55-east-76th-street-unit-6-manhattan-ny-10075/469476366657149041/view?agent_id=610d3f3370540700019b0833","55 East 76th Street, Unit 6")</f>
        <v>55 East 76th Street, Unit 6</v>
      </c>
      <c r="C2761" s="25" t="s">
        <v>370</v>
      </c>
      <c r="D2761" s="26" t="s">
        <v>23</v>
      </c>
      <c r="E2761" s="27" t="str">
        <f>HYPERLINK("https://www.compass.com/building/55-e-76th-st-manhattan-ny-10075/307446726931453973/","55 E 76th St")</f>
        <v>55 E 76th St</v>
      </c>
      <c r="F2761" s="25" t="s">
        <v>64</v>
      </c>
      <c r="G2761" s="28">
        <v>1100000.0</v>
      </c>
      <c r="H2761" s="29"/>
      <c r="I2761" s="28">
        <v>3448.0</v>
      </c>
      <c r="J2761" s="28">
        <v>0.0</v>
      </c>
      <c r="K2761" s="25" t="s">
        <v>25</v>
      </c>
      <c r="L2761" s="26">
        <v>5.0</v>
      </c>
      <c r="M2761" s="26">
        <v>2.0</v>
      </c>
      <c r="N2761" s="26">
        <v>1.0</v>
      </c>
      <c r="O2761" s="26">
        <v>0.0</v>
      </c>
      <c r="P2761" s="30"/>
      <c r="Q2761" s="35">
        <v>49.0</v>
      </c>
      <c r="R2761" s="32">
        <v>44043.0</v>
      </c>
      <c r="S2761" s="32">
        <v>43899.0</v>
      </c>
      <c r="T2761" s="29"/>
      <c r="U2761" s="33"/>
      <c r="V2761" s="1"/>
    </row>
    <row r="2762" ht="24.0" customHeight="1">
      <c r="A2762" s="1"/>
      <c r="B2762" s="24" t="str">
        <f>HYPERLINK("https://www.compass.com/listing/61-lexington-avenue-unit-6f-manhattan-ny-10010/390526358991752705/view?agent_id=610d3f3370540700019b0833","61 Lexington Avenue, Unit 6F")</f>
        <v>61 Lexington Avenue, Unit 6F</v>
      </c>
      <c r="C2762" s="25" t="s">
        <v>364</v>
      </c>
      <c r="D2762" s="26" t="s">
        <v>23</v>
      </c>
      <c r="E2762" s="27" t="str">
        <f>HYPERLINK("https://www.compass.com/building/61-lexington-ave-manhattan-ny-10010/281903843774581541/","61 Lexington Ave")</f>
        <v>61 Lexington Ave</v>
      </c>
      <c r="F2762" s="25" t="s">
        <v>107</v>
      </c>
      <c r="G2762" s="28">
        <v>830000.0</v>
      </c>
      <c r="H2762" s="29"/>
      <c r="I2762" s="28">
        <v>2145.0</v>
      </c>
      <c r="J2762" s="28">
        <v>0.0</v>
      </c>
      <c r="K2762" s="25" t="s">
        <v>209</v>
      </c>
      <c r="L2762" s="26">
        <v>3.0</v>
      </c>
      <c r="M2762" s="26">
        <v>2.0</v>
      </c>
      <c r="N2762" s="26">
        <v>1.0</v>
      </c>
      <c r="O2762" s="26">
        <v>0.0</v>
      </c>
      <c r="P2762" s="30"/>
      <c r="Q2762" s="35">
        <v>117.0</v>
      </c>
      <c r="R2762" s="32">
        <v>43937.0</v>
      </c>
      <c r="S2762" s="32">
        <v>43791.0</v>
      </c>
      <c r="T2762" s="29"/>
      <c r="U2762" s="33"/>
      <c r="V2762" s="1"/>
    </row>
    <row r="2763" ht="24.0" customHeight="1">
      <c r="A2763" s="1"/>
      <c r="B2763" s="24" t="str">
        <f>HYPERLINK("https://www.compass.com/listing/105-lexington-avenue-unit-1d-brooklyn-ny-11238/1094473973140534425/view?agent_id=610d3f3370540700019b0833","105 Lexington Avenue, Unit 1D")</f>
        <v>105 Lexington Avenue, Unit 1D</v>
      </c>
      <c r="C2763" s="25" t="s">
        <v>364</v>
      </c>
      <c r="D2763" s="26" t="s">
        <v>23</v>
      </c>
      <c r="E2763" s="27" t="str">
        <f>HYPERLINK("https://www.compass.com/building/lot-58-lofts-brooklyn-ny/293417332255092245/","Lot 58 Lofts")</f>
        <v>Lot 58 Lofts</v>
      </c>
      <c r="F2763" s="25" t="s">
        <v>51</v>
      </c>
      <c r="G2763" s="28">
        <v>1190000.0</v>
      </c>
      <c r="H2763" s="28">
        <v>1014.0</v>
      </c>
      <c r="I2763" s="28">
        <v>1240.0</v>
      </c>
      <c r="J2763" s="28">
        <v>8724.0</v>
      </c>
      <c r="K2763" s="25" t="s">
        <v>28</v>
      </c>
      <c r="L2763" s="26">
        <v>6.0</v>
      </c>
      <c r="M2763" s="26">
        <v>2.0</v>
      </c>
      <c r="N2763" s="26">
        <v>1.0</v>
      </c>
      <c r="O2763" s="30"/>
      <c r="P2763" s="34">
        <v>1173.0</v>
      </c>
      <c r="Q2763" s="35">
        <v>4.0</v>
      </c>
      <c r="R2763" s="32">
        <v>44819.0</v>
      </c>
      <c r="S2763" s="32">
        <v>44762.0</v>
      </c>
      <c r="T2763" s="29"/>
      <c r="U2763" s="33"/>
      <c r="V2763" s="1"/>
    </row>
    <row r="2764" ht="24.0" customHeight="1">
      <c r="A2764" s="1"/>
      <c r="B2764" s="24" t="str">
        <f>HYPERLINK("https://www.compass.com/listing/252-7th-avenue-unit-8u-manhattan-ny-10001/4852276830838725809/view?agent_id=610d3f3370540700019b0833","252 7th Avenue, Unit 8U")</f>
        <v>252 7th Avenue, Unit 8U</v>
      </c>
      <c r="C2764" s="25" t="s">
        <v>364</v>
      </c>
      <c r="D2764" s="26" t="s">
        <v>23</v>
      </c>
      <c r="E2764" s="27" t="str">
        <f>HYPERLINK("https://www.compass.com/building/chelsea-mercantile-manhattan-ny/281883077574132517/","Chelsea Mercantile")</f>
        <v>Chelsea Mercantile</v>
      </c>
      <c r="F2764" s="25" t="s">
        <v>27</v>
      </c>
      <c r="G2764" s="28">
        <v>2100000.0</v>
      </c>
      <c r="H2764" s="28">
        <v>1261.0</v>
      </c>
      <c r="I2764" s="28">
        <v>955.0</v>
      </c>
      <c r="J2764" s="28">
        <v>12.0</v>
      </c>
      <c r="K2764" s="25" t="s">
        <v>28</v>
      </c>
      <c r="L2764" s="26">
        <v>5.0</v>
      </c>
      <c r="M2764" s="26">
        <v>2.0</v>
      </c>
      <c r="N2764" s="26">
        <v>0.0</v>
      </c>
      <c r="O2764" s="26">
        <v>0.0</v>
      </c>
      <c r="P2764" s="34">
        <v>1665.0</v>
      </c>
      <c r="Q2764" s="35">
        <v>1605.0</v>
      </c>
      <c r="R2764" s="32">
        <v>44581.0</v>
      </c>
      <c r="S2764" s="32">
        <v>41331.0</v>
      </c>
      <c r="T2764" s="29"/>
      <c r="U2764" s="33"/>
      <c r="V2764" s="1"/>
    </row>
    <row r="2765" ht="24.0" customHeight="1">
      <c r="A2765" s="1"/>
      <c r="B2765" s="24" t="str">
        <f>HYPERLINK("https://www.compass.com/listing/245-10th-avenue-unit-2w-manhattan-ny-10001/4852324307977647441/view?agent_id=610d3f3370540700019b0833","245 10th Avenue, Unit 2W")</f>
        <v>245 10th Avenue, Unit 2W</v>
      </c>
      <c r="C2765" s="25" t="s">
        <v>370</v>
      </c>
      <c r="D2765" s="26" t="s">
        <v>23</v>
      </c>
      <c r="E2765" s="27" t="str">
        <f>HYPERLINK("https://www.compass.com/building/245-10th-ave-manhattan-ny-10001/281882944061047509/","245 10th Ave")</f>
        <v>245 10th Ave</v>
      </c>
      <c r="F2765" s="25" t="s">
        <v>27</v>
      </c>
      <c r="G2765" s="28">
        <v>2950000.0</v>
      </c>
      <c r="H2765" s="28">
        <v>2007.0</v>
      </c>
      <c r="I2765" s="28">
        <v>2909.0</v>
      </c>
      <c r="J2765" s="28">
        <v>6348.0</v>
      </c>
      <c r="K2765" s="25" t="s">
        <v>28</v>
      </c>
      <c r="L2765" s="26">
        <v>4.0</v>
      </c>
      <c r="M2765" s="26">
        <v>2.0</v>
      </c>
      <c r="N2765" s="26">
        <v>0.0</v>
      </c>
      <c r="O2765" s="26">
        <v>0.0</v>
      </c>
      <c r="P2765" s="34">
        <v>1470.0</v>
      </c>
      <c r="Q2765" s="35">
        <v>156.0</v>
      </c>
      <c r="R2765" s="32">
        <v>45636.0</v>
      </c>
      <c r="S2765" s="32">
        <v>42153.0</v>
      </c>
      <c r="T2765" s="29"/>
      <c r="U2765" s="33"/>
      <c r="V2765" s="1"/>
    </row>
    <row r="2766" ht="24.0" customHeight="1">
      <c r="A2766" s="1"/>
      <c r="B2766" s="24" t="str">
        <f>HYPERLINK("https://www.compass.com/listing/360-furman-street-unit-308-brooklyn-ny-11201/810116388585725401/view?agent_id=610d3f3370540700019b0833","360 Furman Street, Unit 308")</f>
        <v>360 Furman Street, Unit 308</v>
      </c>
      <c r="C2766" s="25" t="s">
        <v>365</v>
      </c>
      <c r="D2766" s="26" t="s">
        <v>23</v>
      </c>
      <c r="E2766" s="27" t="str">
        <f>HYPERLINK("https://www.compass.com/building/one-brooklyn-bridge-park-brooklyn-ny/282511476177068565/","One Brooklyn Bridge Park")</f>
        <v>One Brooklyn Bridge Park</v>
      </c>
      <c r="F2766" s="25" t="s">
        <v>52</v>
      </c>
      <c r="G2766" s="28">
        <v>999000.0</v>
      </c>
      <c r="H2766" s="28">
        <v>994.0</v>
      </c>
      <c r="I2766" s="28">
        <v>1830.0</v>
      </c>
      <c r="J2766" s="28">
        <v>6480.0</v>
      </c>
      <c r="K2766" s="25" t="s">
        <v>28</v>
      </c>
      <c r="L2766" s="26">
        <v>4.0</v>
      </c>
      <c r="M2766" s="26">
        <v>2.0</v>
      </c>
      <c r="N2766" s="26">
        <v>1.0</v>
      </c>
      <c r="O2766" s="26">
        <v>0.0</v>
      </c>
      <c r="P2766" s="34">
        <v>1005.0</v>
      </c>
      <c r="Q2766" s="35">
        <v>272.0</v>
      </c>
      <c r="R2766" s="32">
        <v>44712.0</v>
      </c>
      <c r="S2766" s="32">
        <v>44369.0</v>
      </c>
      <c r="T2766" s="29"/>
      <c r="U2766" s="33"/>
      <c r="V2766" s="1"/>
    </row>
    <row r="2767" ht="24.0" customHeight="1">
      <c r="A2767" s="1"/>
      <c r="B2767" s="24" t="str">
        <f>HYPERLINK("https://www.compass.com/listing/301-east-62nd-street-unit-6h-manhattan-ny-10065/760916669764088577/view?agent_id=610d3f3370540700019b0833","301 East 62nd Street, Unit 6H")</f>
        <v>301 East 62nd Street, Unit 6H</v>
      </c>
      <c r="C2767" s="25" t="s">
        <v>364</v>
      </c>
      <c r="D2767" s="26" t="s">
        <v>23</v>
      </c>
      <c r="E2767" s="27" t="str">
        <f>HYPERLINK("https://www.compass.com/building/301-e-62nd-st-manhattan-ny-10065/292827095887824261/","301 E 62nd St")</f>
        <v>301 E 62nd St</v>
      </c>
      <c r="F2767" s="25" t="s">
        <v>64</v>
      </c>
      <c r="G2767" s="28">
        <v>1075000.0</v>
      </c>
      <c r="H2767" s="29"/>
      <c r="I2767" s="28">
        <v>1312.0</v>
      </c>
      <c r="J2767" s="28">
        <v>0.0</v>
      </c>
      <c r="K2767" s="25" t="s">
        <v>25</v>
      </c>
      <c r="L2767" s="26">
        <v>5.0</v>
      </c>
      <c r="M2767" s="26">
        <v>2.0</v>
      </c>
      <c r="N2767" s="26">
        <v>1.0</v>
      </c>
      <c r="O2767" s="26">
        <v>0.0</v>
      </c>
      <c r="P2767" s="30"/>
      <c r="Q2767" s="35">
        <v>119.0</v>
      </c>
      <c r="R2767" s="32">
        <v>44484.0</v>
      </c>
      <c r="S2767" s="32">
        <v>44301.0</v>
      </c>
      <c r="T2767" s="29"/>
      <c r="U2767" s="33"/>
      <c r="V2767" s="1"/>
    </row>
    <row r="2768" ht="24.0" customHeight="1">
      <c r="A2768" s="1"/>
      <c r="B2768" s="24" t="str">
        <f>HYPERLINK("https://www.compass.com/listing/300-east-71st-street-unit-16h-manhattan-ny-10021/29416370353544257/view?agent_id=610d3f3370540700019b0833","300 East 71st Street, Unit 16H")</f>
        <v>300 East 71st Street, Unit 16H</v>
      </c>
      <c r="C2768" s="25" t="s">
        <v>370</v>
      </c>
      <c r="D2768" s="26" t="s">
        <v>23</v>
      </c>
      <c r="E2768" s="27" t="str">
        <f>HYPERLINK("https://www.compass.com/building/the-theso-manhattan-ny/292850351952958069/","The Theso")</f>
        <v>The Theso</v>
      </c>
      <c r="F2768" s="25" t="s">
        <v>64</v>
      </c>
      <c r="G2768" s="28">
        <v>1295000.0</v>
      </c>
      <c r="H2768" s="28">
        <v>1126.0</v>
      </c>
      <c r="I2768" s="28">
        <v>2343.0</v>
      </c>
      <c r="J2768" s="29"/>
      <c r="K2768" s="25" t="s">
        <v>25</v>
      </c>
      <c r="L2768" s="26">
        <v>4.0</v>
      </c>
      <c r="M2768" s="26">
        <v>2.0</v>
      </c>
      <c r="N2768" s="26">
        <v>0.0</v>
      </c>
      <c r="O2768" s="26">
        <v>0.0</v>
      </c>
      <c r="P2768" s="34">
        <v>1150.0</v>
      </c>
      <c r="Q2768" s="31"/>
      <c r="R2768" s="32">
        <v>44581.0</v>
      </c>
      <c r="S2768" s="33"/>
      <c r="T2768" s="29"/>
      <c r="U2768" s="33"/>
      <c r="V2768" s="1"/>
    </row>
    <row r="2769" ht="24.0" customHeight="1">
      <c r="A2769" s="1"/>
      <c r="B2769" s="24" t="str">
        <f>HYPERLINK("https://www.compass.com/listing/135-west-70th-street-unit-7g-manhattan-ny-10023/4852305625666824897/view?agent_id=610d3f3370540700019b0833","135 West 70th Street, Unit 7G")</f>
        <v>135 West 70th Street, Unit 7G</v>
      </c>
      <c r="C2769" s="25" t="s">
        <v>370</v>
      </c>
      <c r="D2769" s="26" t="s">
        <v>23</v>
      </c>
      <c r="E2769" s="27" t="str">
        <f>HYPERLINK("https://www.compass.com/building/the-pythian-manhattan-ny/281957009195078933/","The Pythian")</f>
        <v>The Pythian</v>
      </c>
      <c r="F2769" s="25" t="s">
        <v>29</v>
      </c>
      <c r="G2769" s="28">
        <v>1695000.0</v>
      </c>
      <c r="H2769" s="29"/>
      <c r="I2769" s="28">
        <v>1848.0</v>
      </c>
      <c r="J2769" s="28">
        <v>7512.0</v>
      </c>
      <c r="K2769" s="25" t="s">
        <v>28</v>
      </c>
      <c r="L2769" s="26">
        <v>5.0</v>
      </c>
      <c r="M2769" s="26">
        <v>2.0</v>
      </c>
      <c r="N2769" s="26">
        <v>0.0</v>
      </c>
      <c r="O2769" s="26">
        <v>0.0</v>
      </c>
      <c r="P2769" s="30"/>
      <c r="Q2769" s="35">
        <v>0.0</v>
      </c>
      <c r="R2769" s="32">
        <v>44581.0</v>
      </c>
      <c r="S2769" s="32">
        <v>41538.0</v>
      </c>
      <c r="T2769" s="29"/>
      <c r="U2769" s="33"/>
      <c r="V2769" s="1"/>
    </row>
    <row r="2770" ht="24.0" customHeight="1">
      <c r="A2770" s="1"/>
      <c r="B2770" s="24" t="str">
        <f>HYPERLINK("https://www.compass.com/listing/174-pacific-street-unit-3f-brooklyn-ny-11201/29461811946427985/view?agent_id=610d3f3370540700019b0833","174 Pacific Street, Unit 3F")</f>
        <v>174 Pacific Street, Unit 3F</v>
      </c>
      <c r="C2770" s="25" t="s">
        <v>370</v>
      </c>
      <c r="D2770" s="26" t="s">
        <v>23</v>
      </c>
      <c r="E2770" s="27" t="str">
        <f>HYPERLINK("https://www.compass.com/building/174-pacific-st-brooklyn-ny-11201/282501945283917509/","174 Pacific St")</f>
        <v>174 Pacific St</v>
      </c>
      <c r="F2770" s="25" t="s">
        <v>131</v>
      </c>
      <c r="G2770" s="28">
        <v>875000.0</v>
      </c>
      <c r="H2770" s="28">
        <v>795.0</v>
      </c>
      <c r="I2770" s="28">
        <v>1103.0</v>
      </c>
      <c r="J2770" s="29"/>
      <c r="K2770" s="25" t="s">
        <v>25</v>
      </c>
      <c r="L2770" s="26">
        <v>3.0</v>
      </c>
      <c r="M2770" s="26">
        <v>2.0</v>
      </c>
      <c r="N2770" s="26">
        <v>0.0</v>
      </c>
      <c r="O2770" s="26">
        <v>0.0</v>
      </c>
      <c r="P2770" s="34">
        <v>1100.0</v>
      </c>
      <c r="Q2770" s="35">
        <v>156.0</v>
      </c>
      <c r="R2770" s="32">
        <v>44581.0</v>
      </c>
      <c r="S2770" s="32">
        <v>41172.0</v>
      </c>
      <c r="T2770" s="29"/>
      <c r="U2770" s="33"/>
      <c r="V2770" s="1"/>
    </row>
    <row r="2771" ht="24.0" customHeight="1">
      <c r="A2771" s="1"/>
      <c r="B2771" s="24" t="str">
        <f>HYPERLINK("https://www.compass.com/listing/36-east-69th-street-unit-4ab-manhattan-ny-10065/962305544771321017/view?agent_id=610d3f3370540700019b0833","36 East 69th Street, Unit 4AB")</f>
        <v>36 East 69th Street, Unit 4AB</v>
      </c>
      <c r="C2771" s="25" t="s">
        <v>370</v>
      </c>
      <c r="D2771" s="26" t="s">
        <v>23</v>
      </c>
      <c r="E2771" s="26" t="s">
        <v>379</v>
      </c>
      <c r="F2771" s="25" t="s">
        <v>44</v>
      </c>
      <c r="G2771" s="28">
        <v>2300000.0</v>
      </c>
      <c r="H2771" s="29"/>
      <c r="I2771" s="28">
        <v>4943.0</v>
      </c>
      <c r="J2771" s="28">
        <v>59316.0</v>
      </c>
      <c r="K2771" s="25" t="s">
        <v>25</v>
      </c>
      <c r="L2771" s="26">
        <v>3.0</v>
      </c>
      <c r="M2771" s="26">
        <v>2.0</v>
      </c>
      <c r="N2771" s="26">
        <v>1.0</v>
      </c>
      <c r="O2771" s="26">
        <v>0.0</v>
      </c>
      <c r="P2771" s="30"/>
      <c r="Q2771" s="35">
        <v>39.0</v>
      </c>
      <c r="R2771" s="32">
        <v>45320.0</v>
      </c>
      <c r="S2771" s="32">
        <v>45223.0</v>
      </c>
      <c r="T2771" s="29"/>
      <c r="U2771" s="33"/>
      <c r="V2771" s="1"/>
    </row>
    <row r="2772" ht="24.0" customHeight="1">
      <c r="A2772" s="1"/>
      <c r="B2772" s="24" t="str">
        <f>HYPERLINK("https://www.compass.com/listing/330-spring-street-unit-10a-manhattan-ny-10013/444789210302703473/view?agent_id=610d3f3370540700019b0833","330 Spring Street, Unit 10A")</f>
        <v>330 Spring Street, Unit 10A</v>
      </c>
      <c r="C2772" s="25" t="s">
        <v>364</v>
      </c>
      <c r="D2772" s="26" t="s">
        <v>23</v>
      </c>
      <c r="E2772" s="27" t="str">
        <f>HYPERLINK("https://www.compass.com/building/the-urban-glass-house-manhattan-ny/281919040954338069/","The Urban Glass House")</f>
        <v>The Urban Glass House</v>
      </c>
      <c r="F2772" s="25" t="s">
        <v>135</v>
      </c>
      <c r="G2772" s="28">
        <v>3450000.0</v>
      </c>
      <c r="H2772" s="28">
        <v>1917.0</v>
      </c>
      <c r="I2772" s="28">
        <v>2983.0</v>
      </c>
      <c r="J2772" s="28">
        <v>8040.0</v>
      </c>
      <c r="K2772" s="25" t="s">
        <v>28</v>
      </c>
      <c r="L2772" s="26">
        <v>5.0</v>
      </c>
      <c r="M2772" s="26">
        <v>2.0</v>
      </c>
      <c r="N2772" s="26">
        <v>0.0</v>
      </c>
      <c r="O2772" s="26">
        <v>0.0</v>
      </c>
      <c r="P2772" s="34">
        <v>1800.0</v>
      </c>
      <c r="Q2772" s="35">
        <v>167.0</v>
      </c>
      <c r="R2772" s="32">
        <v>45636.0</v>
      </c>
      <c r="S2772" s="32">
        <v>41471.0</v>
      </c>
      <c r="T2772" s="29"/>
      <c r="U2772" s="33"/>
      <c r="V2772" s="1"/>
    </row>
    <row r="2773" ht="24.0" customHeight="1">
      <c r="A2773" s="1"/>
      <c r="B2773" s="24" t="str">
        <f>HYPERLINK("https://www.compass.com/listing/263-9th-avenue-unit-7d-manhattan-ny-10001/29370576959285457/view?agent_id=610d3f3370540700019b0833","263 9th Avenue, Unit 7D")</f>
        <v>263 9th Avenue, Unit 7D</v>
      </c>
      <c r="C2773" s="25" t="s">
        <v>370</v>
      </c>
      <c r="D2773" s="26" t="s">
        <v>23</v>
      </c>
      <c r="E2773" s="27" t="str">
        <f>HYPERLINK("https://www.compass.com/building/the-heywood-manhattan-ny/281883178128376693/","The Heywood")</f>
        <v>The Heywood</v>
      </c>
      <c r="F2773" s="25" t="s">
        <v>27</v>
      </c>
      <c r="G2773" s="28">
        <v>1549000.0</v>
      </c>
      <c r="H2773" s="28">
        <v>1033.0</v>
      </c>
      <c r="I2773" s="28">
        <v>1765.0</v>
      </c>
      <c r="J2773" s="28">
        <v>8424.0</v>
      </c>
      <c r="K2773" s="25" t="s">
        <v>28</v>
      </c>
      <c r="L2773" s="26">
        <v>4.0</v>
      </c>
      <c r="M2773" s="26">
        <v>2.0</v>
      </c>
      <c r="N2773" s="26">
        <v>0.0</v>
      </c>
      <c r="O2773" s="26">
        <v>0.0</v>
      </c>
      <c r="P2773" s="34">
        <v>1500.0</v>
      </c>
      <c r="Q2773" s="35">
        <v>0.0</v>
      </c>
      <c r="R2773" s="32">
        <v>44581.0</v>
      </c>
      <c r="S2773" s="32">
        <v>41538.0</v>
      </c>
      <c r="T2773" s="29"/>
      <c r="U2773" s="33"/>
      <c r="V2773" s="1"/>
    </row>
    <row r="2774" ht="24.0" customHeight="1">
      <c r="A2774" s="1"/>
      <c r="B2774" s="24" t="str">
        <f>HYPERLINK("https://www.compass.com/listing/215-east-80th-street-unit-12k-manhattan-ny-10075/4852309965076965553/view?agent_id=610d3f3370540700019b0833","215 East 80th Street, Unit 12K")</f>
        <v>215 East 80th Street, Unit 12K</v>
      </c>
      <c r="C2774" s="25" t="s">
        <v>364</v>
      </c>
      <c r="D2774" s="26" t="s">
        <v>23</v>
      </c>
      <c r="E2774" s="27" t="str">
        <f>HYPERLINK("https://www.compass.com/building/215-e-80th-st-manhattan-ny-10075/281928889800897093/","215 E 80th St")</f>
        <v>215 E 80th St</v>
      </c>
      <c r="F2774" s="25" t="s">
        <v>44</v>
      </c>
      <c r="G2774" s="28">
        <v>850000.0</v>
      </c>
      <c r="H2774" s="28">
        <v>875.0</v>
      </c>
      <c r="I2774" s="28">
        <v>1277.0</v>
      </c>
      <c r="J2774" s="28">
        <v>8352.0</v>
      </c>
      <c r="K2774" s="25" t="s">
        <v>28</v>
      </c>
      <c r="L2774" s="26">
        <v>4.0</v>
      </c>
      <c r="M2774" s="26">
        <v>2.0</v>
      </c>
      <c r="N2774" s="26">
        <v>1.0</v>
      </c>
      <c r="O2774" s="26">
        <v>0.0</v>
      </c>
      <c r="P2774" s="26">
        <v>971.0</v>
      </c>
      <c r="Q2774" s="35">
        <v>33.0</v>
      </c>
      <c r="R2774" s="32">
        <v>44581.0</v>
      </c>
      <c r="S2774" s="32">
        <v>41179.0</v>
      </c>
      <c r="T2774" s="29"/>
      <c r="U2774" s="33"/>
      <c r="V2774" s="1"/>
    </row>
    <row r="2775" ht="24.0" customHeight="1">
      <c r="A2775" s="1"/>
      <c r="B2775" s="24" t="str">
        <f>HYPERLINK("https://www.compass.com/listing/401-east-65th-street-unit-9d-manhattan-ny-10065/101348037544189825/view?agent_id=610d3f3370540700019b0833","401 East 65th Street, Unit 9D")</f>
        <v>401 East 65th Street, Unit 9D</v>
      </c>
      <c r="C2775" s="25" t="s">
        <v>364</v>
      </c>
      <c r="D2775" s="26" t="s">
        <v>23</v>
      </c>
      <c r="E2775" s="27" t="str">
        <f>HYPERLINK("https://www.compass.com/building/401-e-65th-st-manhattan-ny-10065/292923805045644325/","401 E 65th St")</f>
        <v>401 E 65th St</v>
      </c>
      <c r="F2775" s="25" t="s">
        <v>64</v>
      </c>
      <c r="G2775" s="28">
        <v>975000.0</v>
      </c>
      <c r="H2775" s="29"/>
      <c r="I2775" s="28">
        <v>1529.0</v>
      </c>
      <c r="J2775" s="28">
        <v>0.0</v>
      </c>
      <c r="K2775" s="25" t="s">
        <v>25</v>
      </c>
      <c r="L2775" s="26">
        <v>4.0</v>
      </c>
      <c r="M2775" s="26">
        <v>2.0</v>
      </c>
      <c r="N2775" s="26">
        <v>1.0</v>
      </c>
      <c r="O2775" s="26">
        <v>0.0</v>
      </c>
      <c r="P2775" s="30"/>
      <c r="Q2775" s="35">
        <v>27.0</v>
      </c>
      <c r="R2775" s="32">
        <v>43418.0</v>
      </c>
      <c r="S2775" s="32">
        <v>43391.0</v>
      </c>
      <c r="T2775" s="29"/>
      <c r="U2775" s="33"/>
      <c r="V2775" s="1"/>
    </row>
    <row r="2776" ht="24.0" customHeight="1">
      <c r="A2776" s="1"/>
      <c r="B2776" s="24" t="str">
        <f>HYPERLINK("https://www.compass.com/listing/65-east-76th-street-unit-12a-manhattan-ny-10021/1838953266726557233/view?agent_id=610d3f3370540700019b0833","65 East 76th Street, Unit 12A")</f>
        <v>65 East 76th Street, Unit 12A</v>
      </c>
      <c r="C2776" s="25" t="s">
        <v>364</v>
      </c>
      <c r="D2776" s="26" t="s">
        <v>23</v>
      </c>
      <c r="E2776" s="27" t="str">
        <f>HYPERLINK("https://www.compass.com/building/65-e-76th-st-manhattan-ny-10021/281951725210895077/","65 E 76th St")</f>
        <v>65 E 76th St</v>
      </c>
      <c r="F2776" s="25" t="s">
        <v>64</v>
      </c>
      <c r="G2776" s="28">
        <v>1650000.0</v>
      </c>
      <c r="H2776" s="29"/>
      <c r="I2776" s="28">
        <v>2552.0</v>
      </c>
      <c r="J2776" s="29"/>
      <c r="K2776" s="25" t="s">
        <v>25</v>
      </c>
      <c r="L2776" s="26">
        <v>4.0</v>
      </c>
      <c r="M2776" s="26">
        <v>2.0</v>
      </c>
      <c r="N2776" s="26">
        <v>0.0</v>
      </c>
      <c r="O2776" s="26">
        <v>0.0</v>
      </c>
      <c r="P2776" s="30"/>
      <c r="Q2776" s="35">
        <v>0.0</v>
      </c>
      <c r="R2776" s="32">
        <v>44581.0</v>
      </c>
      <c r="S2776" s="32">
        <v>41794.0</v>
      </c>
      <c r="T2776" s="29"/>
      <c r="U2776" s="33"/>
      <c r="V2776" s="1"/>
    </row>
    <row r="2777" ht="24.0" customHeight="1">
      <c r="A2777" s="1"/>
      <c r="B2777" s="24" t="str">
        <f>HYPERLINK("https://www.compass.com/listing/120-east-86th-street-unit-4d-manhattan-ny-10028/875607259223609489/view?agent_id=610d3f3370540700019b0833","120 East 86th Street, Unit 4D")</f>
        <v>120 East 86th Street, Unit 4D</v>
      </c>
      <c r="C2777" s="25" t="s">
        <v>365</v>
      </c>
      <c r="D2777" s="26" t="s">
        <v>23</v>
      </c>
      <c r="E2777" s="27" t="str">
        <f>HYPERLINK("https://www.compass.com/building/120-e-86th-st-manhattan-ny-10028/281984103367152933/","120 E 86th St")</f>
        <v>120 E 86th St</v>
      </c>
      <c r="F2777" s="25" t="s">
        <v>44</v>
      </c>
      <c r="G2777" s="28">
        <v>895000.0</v>
      </c>
      <c r="H2777" s="29"/>
      <c r="I2777" s="28">
        <v>1306.0</v>
      </c>
      <c r="J2777" s="28">
        <v>0.0</v>
      </c>
      <c r="K2777" s="25" t="s">
        <v>25</v>
      </c>
      <c r="L2777" s="26">
        <v>4.0</v>
      </c>
      <c r="M2777" s="26">
        <v>2.0</v>
      </c>
      <c r="N2777" s="26">
        <v>1.0</v>
      </c>
      <c r="O2777" s="30"/>
      <c r="P2777" s="30"/>
      <c r="Q2777" s="35">
        <v>50.0</v>
      </c>
      <c r="R2777" s="32">
        <v>44517.0</v>
      </c>
      <c r="S2777" s="32">
        <v>44459.0</v>
      </c>
      <c r="T2777" s="29"/>
      <c r="U2777" s="33"/>
      <c r="V2777" s="1"/>
    </row>
    <row r="2778" ht="24.0" customHeight="1">
      <c r="A2778" s="1"/>
      <c r="B2778" s="24" t="str">
        <f>HYPERLINK("https://www.compass.com/listing/370-east-76th-street-unit-c101-manhattan-ny-10021/1838915401489483537/view?agent_id=610d3f3370540700019b0833","370 East 76th Street, Unit C101")</f>
        <v>370 East 76th Street, Unit C101</v>
      </c>
      <c r="C2778" s="25" t="s">
        <v>364</v>
      </c>
      <c r="D2778" s="26" t="s">
        <v>23</v>
      </c>
      <c r="E2778" s="27" t="str">
        <f t="shared" ref="E2778:E2779" si="73">HYPERLINK("https://www.compass.com/building/newport-east-manhattan-ny/292850926413222581/","Newport East")</f>
        <v>Newport East</v>
      </c>
      <c r="F2778" s="25" t="s">
        <v>64</v>
      </c>
      <c r="G2778" s="28">
        <v>699000.0</v>
      </c>
      <c r="H2778" s="28">
        <v>777.0</v>
      </c>
      <c r="I2778" s="28">
        <v>1789.0</v>
      </c>
      <c r="J2778" s="29"/>
      <c r="K2778" s="25" t="s">
        <v>25</v>
      </c>
      <c r="L2778" s="26">
        <v>6.0</v>
      </c>
      <c r="M2778" s="26">
        <v>2.0</v>
      </c>
      <c r="N2778" s="26">
        <v>0.0</v>
      </c>
      <c r="O2778" s="26">
        <v>0.0</v>
      </c>
      <c r="P2778" s="26">
        <v>900.0</v>
      </c>
      <c r="Q2778" s="35">
        <v>61.0</v>
      </c>
      <c r="R2778" s="32">
        <v>44581.0</v>
      </c>
      <c r="S2778" s="32">
        <v>43110.0</v>
      </c>
      <c r="T2778" s="29"/>
      <c r="U2778" s="33"/>
      <c r="V2778" s="1"/>
    </row>
    <row r="2779" ht="24.0" customHeight="1">
      <c r="A2779" s="1"/>
      <c r="B2779" s="24" t="str">
        <f>HYPERLINK("https://www.compass.com/listing/370-east-76th-street-unit-c-101-manhattan-ny-10021/4852307213915527265/view?agent_id=610d3f3370540700019b0833","370 E 76th St, Unit C/101")</f>
        <v>370 E 76th St, Unit C/101</v>
      </c>
      <c r="C2779" s="25" t="s">
        <v>364</v>
      </c>
      <c r="D2779" s="26" t="s">
        <v>23</v>
      </c>
      <c r="E2779" s="27" t="str">
        <f t="shared" si="73"/>
        <v>Newport East</v>
      </c>
      <c r="F2779" s="25" t="s">
        <v>64</v>
      </c>
      <c r="G2779" s="28">
        <v>699000.0</v>
      </c>
      <c r="H2779" s="28">
        <v>777.0</v>
      </c>
      <c r="I2779" s="28">
        <v>1728.0</v>
      </c>
      <c r="J2779" s="29"/>
      <c r="K2779" s="25" t="s">
        <v>25</v>
      </c>
      <c r="L2779" s="26">
        <v>4.0</v>
      </c>
      <c r="M2779" s="26">
        <v>2.0</v>
      </c>
      <c r="N2779" s="26">
        <v>0.0</v>
      </c>
      <c r="O2779" s="26">
        <v>0.0</v>
      </c>
      <c r="P2779" s="26">
        <v>900.0</v>
      </c>
      <c r="Q2779" s="35">
        <v>47.0</v>
      </c>
      <c r="R2779" s="32">
        <v>45636.0</v>
      </c>
      <c r="S2779" s="32">
        <v>42558.0</v>
      </c>
      <c r="T2779" s="29"/>
      <c r="U2779" s="33"/>
      <c r="V2779" s="1"/>
    </row>
    <row r="2780" ht="24.0" customHeight="1">
      <c r="A2780" s="1"/>
      <c r="B2780" s="24" t="str">
        <f>HYPERLINK("https://www.compass.com/listing/3-east-85th-street-unit-5d-manhattan-ny-10028/1494854822316093129/view?agent_id=610d3f3370540700019b0833","3 E 85th St, Unit 5D")</f>
        <v>3 E 85th St, Unit 5D</v>
      </c>
      <c r="C2780" s="25" t="s">
        <v>365</v>
      </c>
      <c r="D2780" s="26" t="s">
        <v>23</v>
      </c>
      <c r="E2780" s="27" t="str">
        <f>HYPERLINK("https://www.compass.com/building/3-e-85th-st-manhattan-ny-10028/281986019853704565/","3 E 85th St")</f>
        <v>3 E 85th St</v>
      </c>
      <c r="F2780" s="25" t="s">
        <v>44</v>
      </c>
      <c r="G2780" s="28">
        <v>850000.0</v>
      </c>
      <c r="H2780" s="29"/>
      <c r="I2780" s="28">
        <v>1954.0</v>
      </c>
      <c r="J2780" s="28">
        <v>0.0</v>
      </c>
      <c r="K2780" s="25" t="s">
        <v>25</v>
      </c>
      <c r="L2780" s="26">
        <v>4.0</v>
      </c>
      <c r="M2780" s="26">
        <v>2.0</v>
      </c>
      <c r="N2780" s="26">
        <v>1.0</v>
      </c>
      <c r="O2780" s="30"/>
      <c r="P2780" s="30"/>
      <c r="Q2780" s="35">
        <v>199.0</v>
      </c>
      <c r="R2780" s="32">
        <v>45513.0</v>
      </c>
      <c r="S2780" s="32">
        <v>45314.0</v>
      </c>
      <c r="T2780" s="29"/>
      <c r="U2780" s="33"/>
      <c r="V2780" s="1"/>
    </row>
    <row r="2781" ht="24.0" customHeight="1">
      <c r="A2781" s="1"/>
      <c r="B2781" s="24" t="str">
        <f>HYPERLINK("https://www.compass.com/listing/30-east-65th-street-unit-8-9e-manhattan-ny-10065/803425821842597385/view?agent_id=610d3f3370540700019b0833","30 E 65th St, Unit 8/9E")</f>
        <v>30 E 65th St, Unit 8/9E</v>
      </c>
      <c r="C2781" s="25" t="s">
        <v>364</v>
      </c>
      <c r="D2781" s="26" t="s">
        <v>23</v>
      </c>
      <c r="E2781" s="27" t="str">
        <f>HYPERLINK("https://www.compass.com/building/30-e-65th-st-manhattan-ny-10065/282038564726786245/","30 E 65th St")</f>
        <v>30 E 65th St</v>
      </c>
      <c r="F2781" s="25" t="s">
        <v>64</v>
      </c>
      <c r="G2781" s="28">
        <v>2395000.0</v>
      </c>
      <c r="H2781" s="29"/>
      <c r="I2781" s="28">
        <v>2771.0</v>
      </c>
      <c r="J2781" s="29"/>
      <c r="K2781" s="25" t="s">
        <v>110</v>
      </c>
      <c r="L2781" s="26">
        <v>6.0</v>
      </c>
      <c r="M2781" s="26">
        <v>2.0</v>
      </c>
      <c r="N2781" s="26">
        <v>0.0</v>
      </c>
      <c r="O2781" s="26">
        <v>0.0</v>
      </c>
      <c r="P2781" s="30"/>
      <c r="Q2781" s="35">
        <v>565.0</v>
      </c>
      <c r="R2781" s="32">
        <v>45636.0</v>
      </c>
      <c r="S2781" s="32">
        <v>41675.0</v>
      </c>
      <c r="T2781" s="29"/>
      <c r="U2781" s="33"/>
      <c r="V2781" s="1"/>
    </row>
    <row r="2782" ht="24.0" customHeight="1">
      <c r="A2782" s="1"/>
      <c r="B2782" s="24" t="str">
        <f>HYPERLINK("https://www.compass.com/listing/345-east-73rd-street-unit-2b-manhattan-ny-10021/4852306411754882417/view?agent_id=610d3f3370540700019b0833","345 E 73rd St, Unit 2B")</f>
        <v>345 E 73rd St, Unit 2B</v>
      </c>
      <c r="C2782" s="25" t="s">
        <v>370</v>
      </c>
      <c r="D2782" s="26" t="s">
        <v>23</v>
      </c>
      <c r="E2782" s="27" t="str">
        <f>HYPERLINK("https://www.compass.com/building/345-e-73rd-st-manhattan-ny-10021/281950686726389941/","345 E 73rd St")</f>
        <v>345 E 73rd St</v>
      </c>
      <c r="F2782" s="25" t="s">
        <v>64</v>
      </c>
      <c r="G2782" s="28">
        <v>679000.0</v>
      </c>
      <c r="H2782" s="28">
        <v>715.0</v>
      </c>
      <c r="I2782" s="28">
        <v>1048.0</v>
      </c>
      <c r="J2782" s="29"/>
      <c r="K2782" s="25" t="s">
        <v>25</v>
      </c>
      <c r="L2782" s="26">
        <v>3.0</v>
      </c>
      <c r="M2782" s="26">
        <v>2.0</v>
      </c>
      <c r="N2782" s="26">
        <v>0.0</v>
      </c>
      <c r="O2782" s="26">
        <v>0.0</v>
      </c>
      <c r="P2782" s="26">
        <v>950.0</v>
      </c>
      <c r="Q2782" s="35">
        <v>0.0</v>
      </c>
      <c r="R2782" s="32">
        <v>44581.0</v>
      </c>
      <c r="S2782" s="32">
        <v>41538.0</v>
      </c>
      <c r="T2782" s="29"/>
      <c r="U2782" s="33"/>
      <c r="V2782" s="1"/>
    </row>
    <row r="2783" ht="24.0" customHeight="1">
      <c r="A2783" s="1"/>
      <c r="B2783" s="24" t="str">
        <f>HYPERLINK("https://www.compass.com/listing/405-east-63rd-street-unit-phk-manhattan-ny-10065/1002224314035082465/view?agent_id=610d3f3370540700019b0833","405 E 63rd St, Unit PHK")</f>
        <v>405 E 63rd St, Unit PHK</v>
      </c>
      <c r="C2783" s="25" t="s">
        <v>364</v>
      </c>
      <c r="D2783" s="26" t="s">
        <v>23</v>
      </c>
      <c r="E2783" s="27" t="str">
        <f>HYPERLINK("https://www.compass.com/building/the-yorkgate-manhattan-ny/282039630834977525/","The Yorkgate")</f>
        <v>The Yorkgate</v>
      </c>
      <c r="F2783" s="25" t="s">
        <v>44</v>
      </c>
      <c r="G2783" s="28">
        <v>1200000.0</v>
      </c>
      <c r="H2783" s="29"/>
      <c r="I2783" s="28">
        <v>2758.0</v>
      </c>
      <c r="J2783" s="28">
        <v>0.0</v>
      </c>
      <c r="K2783" s="25" t="s">
        <v>25</v>
      </c>
      <c r="L2783" s="26">
        <v>4.0</v>
      </c>
      <c r="M2783" s="26">
        <v>2.0</v>
      </c>
      <c r="N2783" s="26">
        <v>1.0</v>
      </c>
      <c r="O2783" s="30"/>
      <c r="P2783" s="30"/>
      <c r="Q2783" s="35">
        <v>90.0</v>
      </c>
      <c r="R2783" s="32">
        <v>44725.0</v>
      </c>
      <c r="S2783" s="32">
        <v>44634.0</v>
      </c>
      <c r="T2783" s="29"/>
      <c r="U2783" s="33"/>
      <c r="V2783" s="1"/>
    </row>
    <row r="2784" ht="24.0" customHeight="1">
      <c r="A2784" s="1"/>
      <c r="B2784" s="24" t="str">
        <f>HYPERLINK("https://www.compass.com/listing/125-east-63rd-street-unit-2b-manhattan-ny-10065/803432771485777097/view?agent_id=610d3f3370540700019b0833","125 E 63rd St, Unit 2B")</f>
        <v>125 E 63rd St, Unit 2B</v>
      </c>
      <c r="C2784" s="25" t="s">
        <v>364</v>
      </c>
      <c r="D2784" s="26" t="s">
        <v>23</v>
      </c>
      <c r="E2784" s="27" t="str">
        <f t="shared" ref="E2784:E2785" si="74">HYPERLINK("https://www.compass.com/building/125-e-63rd-st-manhattan-ny-10065/282036090439748501/","125 E 63rd St")</f>
        <v>125 E 63rd St</v>
      </c>
      <c r="F2784" s="25" t="s">
        <v>64</v>
      </c>
      <c r="G2784" s="28">
        <v>1740000.0</v>
      </c>
      <c r="H2784" s="29"/>
      <c r="I2784" s="28">
        <v>3891.0</v>
      </c>
      <c r="J2784" s="29"/>
      <c r="K2784" s="25" t="s">
        <v>25</v>
      </c>
      <c r="L2784" s="26">
        <v>6.0</v>
      </c>
      <c r="M2784" s="26">
        <v>2.0</v>
      </c>
      <c r="N2784" s="26">
        <v>0.0</v>
      </c>
      <c r="O2784" s="26">
        <v>0.0</v>
      </c>
      <c r="P2784" s="30"/>
      <c r="Q2784" s="35">
        <v>207.0</v>
      </c>
      <c r="R2784" s="32">
        <v>45636.0</v>
      </c>
      <c r="S2784" s="32">
        <v>41647.0</v>
      </c>
      <c r="T2784" s="29"/>
      <c r="U2784" s="33"/>
      <c r="V2784" s="1"/>
    </row>
    <row r="2785" ht="24.0" customHeight="1">
      <c r="A2785" s="1"/>
      <c r="B2785" s="24" t="str">
        <f>HYPERLINK("https://www.compass.com/listing/125-east-63rd-street-unit-4a-manhattan-ny-10065/919746255948553945/view?agent_id=610d3f3370540700019b0833","125 E 63rd St, Unit 4A")</f>
        <v>125 E 63rd St, Unit 4A</v>
      </c>
      <c r="C2785" s="25" t="s">
        <v>364</v>
      </c>
      <c r="D2785" s="26" t="s">
        <v>23</v>
      </c>
      <c r="E2785" s="27" t="str">
        <f t="shared" si="74"/>
        <v>125 E 63rd St</v>
      </c>
      <c r="F2785" s="25" t="s">
        <v>64</v>
      </c>
      <c r="G2785" s="28">
        <v>1795000.0</v>
      </c>
      <c r="H2785" s="29"/>
      <c r="I2785" s="28">
        <v>4444.0</v>
      </c>
      <c r="J2785" s="29"/>
      <c r="K2785" s="25" t="s">
        <v>25</v>
      </c>
      <c r="L2785" s="26">
        <v>6.0</v>
      </c>
      <c r="M2785" s="26">
        <v>2.0</v>
      </c>
      <c r="N2785" s="26">
        <v>0.0</v>
      </c>
      <c r="O2785" s="26">
        <v>0.0</v>
      </c>
      <c r="P2785" s="30"/>
      <c r="Q2785" s="35">
        <v>151.0</v>
      </c>
      <c r="R2785" s="32">
        <v>44234.0</v>
      </c>
      <c r="S2785" s="32">
        <v>41313.0</v>
      </c>
      <c r="T2785" s="29"/>
      <c r="U2785" s="33"/>
      <c r="V2785" s="1"/>
    </row>
    <row r="2786" ht="24.0" customHeight="1">
      <c r="A2786" s="1"/>
      <c r="B2786" s="24" t="str">
        <f>HYPERLINK("https://www.compass.com/listing/1240-bedford-avenue-unit-3a-brooklyn-ny-11216/29480941017652049/view?agent_id=610d3f3370540700019b0833","1240 Bedford Ave, Unit 3A")</f>
        <v>1240 Bedford Ave, Unit 3A</v>
      </c>
      <c r="C2786" s="25" t="s">
        <v>364</v>
      </c>
      <c r="D2786" s="26" t="s">
        <v>23</v>
      </c>
      <c r="E2786" s="27" t="str">
        <f>HYPERLINK("https://www.compass.com/building/1240-bedford-ave-brooklyn-ny-11216/293426035200957509/","1240 Bedford Ave")</f>
        <v>1240 Bedford Ave</v>
      </c>
      <c r="F2786" s="25" t="s">
        <v>51</v>
      </c>
      <c r="G2786" s="28">
        <v>599999.0</v>
      </c>
      <c r="H2786" s="28">
        <v>706.0</v>
      </c>
      <c r="I2786" s="28">
        <v>510.0</v>
      </c>
      <c r="J2786" s="28">
        <v>456.0</v>
      </c>
      <c r="K2786" s="25" t="s">
        <v>28</v>
      </c>
      <c r="L2786" s="26">
        <v>4.0</v>
      </c>
      <c r="M2786" s="26">
        <v>2.0</v>
      </c>
      <c r="N2786" s="26">
        <v>0.0</v>
      </c>
      <c r="O2786" s="26">
        <v>0.0</v>
      </c>
      <c r="P2786" s="26">
        <v>850.0</v>
      </c>
      <c r="Q2786" s="35">
        <v>39.0</v>
      </c>
      <c r="R2786" s="32">
        <v>45636.0</v>
      </c>
      <c r="S2786" s="32">
        <v>42433.0</v>
      </c>
      <c r="T2786" s="29"/>
      <c r="U2786" s="33"/>
      <c r="V2786" s="1"/>
    </row>
    <row r="2787" ht="24.0" customHeight="1">
      <c r="A2787" s="1"/>
      <c r="B2787" s="24" t="str">
        <f>HYPERLINK("https://www.compass.com/listing/137-east-66th-street-unit-1a-manhattan-ny-10065/262896304416369953/view?agent_id=610d3f3370540700019b0833","137 E 66th St, Unit 1A")</f>
        <v>137 E 66th St, Unit 1A</v>
      </c>
      <c r="C2787" s="25" t="s">
        <v>370</v>
      </c>
      <c r="D2787" s="26" t="s">
        <v>23</v>
      </c>
      <c r="E2787" s="27" t="str">
        <f>HYPERLINK("https://www.compass.com/building/137-e-66th-st-manhattan-ny-10065/282036468606584133/","137 E 66th St")</f>
        <v>137 E 66th St</v>
      </c>
      <c r="F2787" s="25" t="s">
        <v>64</v>
      </c>
      <c r="G2787" s="28">
        <v>895000.0</v>
      </c>
      <c r="H2787" s="29"/>
      <c r="I2787" s="28">
        <v>1985.0</v>
      </c>
      <c r="J2787" s="28">
        <v>0.0</v>
      </c>
      <c r="K2787" s="25" t="s">
        <v>25</v>
      </c>
      <c r="L2787" s="26">
        <v>5.0</v>
      </c>
      <c r="M2787" s="26">
        <v>2.0</v>
      </c>
      <c r="N2787" s="26">
        <v>1.0</v>
      </c>
      <c r="O2787" s="26">
        <v>0.0</v>
      </c>
      <c r="P2787" s="30"/>
      <c r="Q2787" s="35">
        <v>176.0</v>
      </c>
      <c r="R2787" s="32">
        <v>43791.0</v>
      </c>
      <c r="S2787" s="32">
        <v>43615.0</v>
      </c>
      <c r="T2787" s="29"/>
      <c r="U2787" s="33"/>
      <c r="V2787" s="1"/>
    </row>
    <row r="2788" ht="24.0" customHeight="1">
      <c r="A2788" s="1"/>
      <c r="B2788" s="24" t="str">
        <f>HYPERLINK("https://www.compass.com/listing/363-dean-street-unit-3-brooklyn-ny-11217/1592941296877651681/view?agent_id=610d3f3370540700019b0833","363 Dean St, Unit 3")</f>
        <v>363 Dean St, Unit 3</v>
      </c>
      <c r="C2788" s="25" t="s">
        <v>365</v>
      </c>
      <c r="D2788" s="26" t="s">
        <v>23</v>
      </c>
      <c r="E2788" s="27" t="str">
        <f>HYPERLINK("https://www.compass.com/building/363-dean-st-brooklyn-ny-11217/282507415134492197/","363 Dean St")</f>
        <v>363 Dean St</v>
      </c>
      <c r="F2788" s="25" t="s">
        <v>102</v>
      </c>
      <c r="G2788" s="28">
        <v>1150000.0</v>
      </c>
      <c r="H2788" s="28">
        <v>1217.0</v>
      </c>
      <c r="I2788" s="28">
        <v>1703.0</v>
      </c>
      <c r="J2788" s="28">
        <v>14136.0</v>
      </c>
      <c r="K2788" s="25" t="s">
        <v>28</v>
      </c>
      <c r="L2788" s="26">
        <v>4.0</v>
      </c>
      <c r="M2788" s="26">
        <v>2.0</v>
      </c>
      <c r="N2788" s="26">
        <v>1.0</v>
      </c>
      <c r="O2788" s="30"/>
      <c r="P2788" s="26">
        <v>945.0</v>
      </c>
      <c r="Q2788" s="35">
        <v>81.0</v>
      </c>
      <c r="R2788" s="32">
        <v>45531.0</v>
      </c>
      <c r="S2788" s="32">
        <v>45449.0</v>
      </c>
      <c r="T2788" s="29"/>
      <c r="U2788" s="33"/>
      <c r="V2788" s="1"/>
    </row>
    <row r="2789" ht="24.0" customHeight="1">
      <c r="A2789" s="1"/>
      <c r="B2789" s="24" t="str">
        <f>HYPERLINK("https://www.compass.com/listing/361-carroll-street-unit-1e-brooklyn-ny-11231/169814687465141201/view?agent_id=610d3f3370540700019b0833","361 Carroll St, Unit 1E")</f>
        <v>361 Carroll St, Unit 1E</v>
      </c>
      <c r="C2789" s="25" t="s">
        <v>364</v>
      </c>
      <c r="D2789" s="26" t="s">
        <v>23</v>
      </c>
      <c r="E2789" s="27" t="str">
        <f>HYPERLINK("https://www.compass.com/building/361-carroll-st-brooklyn-ny-11231/307437632405277957/","361 Carroll St")</f>
        <v>361 Carroll St</v>
      </c>
      <c r="F2789" s="25" t="s">
        <v>65</v>
      </c>
      <c r="G2789" s="29"/>
      <c r="H2789" s="28">
        <v>719.0</v>
      </c>
      <c r="I2789" s="28">
        <v>446.0</v>
      </c>
      <c r="J2789" s="28">
        <v>792.0</v>
      </c>
      <c r="K2789" s="25" t="s">
        <v>28</v>
      </c>
      <c r="L2789" s="26">
        <v>4.0</v>
      </c>
      <c r="M2789" s="26">
        <v>2.0</v>
      </c>
      <c r="N2789" s="26">
        <v>0.0</v>
      </c>
      <c r="O2789" s="26">
        <v>0.0</v>
      </c>
      <c r="P2789" s="34">
        <v>1384.0</v>
      </c>
      <c r="Q2789" s="35">
        <v>260.0</v>
      </c>
      <c r="R2789" s="32">
        <v>44581.0</v>
      </c>
      <c r="S2789" s="32">
        <v>41185.0</v>
      </c>
      <c r="T2789" s="29"/>
      <c r="U2789" s="32">
        <v>41445.0</v>
      </c>
      <c r="V2789" s="1"/>
    </row>
    <row r="2790" ht="24.0" customHeight="1">
      <c r="A2790" s="1"/>
      <c r="B2790" s="24" t="str">
        <f>HYPERLINK("https://www.compass.com/listing/35-mcdonald-avenue-unit-2b-brooklyn-ny-11218/1556605288319581337/view?agent_id=610d3f3370540700019b0833","35 McDonald Ave, Unit 2B")</f>
        <v>35 McDonald Ave, Unit 2B</v>
      </c>
      <c r="C2790" s="25" t="s">
        <v>365</v>
      </c>
      <c r="D2790" s="26" t="s">
        <v>23</v>
      </c>
      <c r="E2790" s="27" t="str">
        <f>HYPERLINK("https://www.compass.com/building/the-simone-brooklyn-ny/293416571760651013/","The Simone")</f>
        <v>The Simone</v>
      </c>
      <c r="F2790" s="25" t="s">
        <v>106</v>
      </c>
      <c r="G2790" s="28">
        <v>1275000.0</v>
      </c>
      <c r="H2790" s="28">
        <v>1057.0</v>
      </c>
      <c r="I2790" s="28">
        <v>716.0</v>
      </c>
      <c r="J2790" s="28">
        <v>624.0</v>
      </c>
      <c r="K2790" s="25" t="s">
        <v>28</v>
      </c>
      <c r="L2790" s="26">
        <v>4.0</v>
      </c>
      <c r="M2790" s="26">
        <v>2.0</v>
      </c>
      <c r="N2790" s="26">
        <v>1.0</v>
      </c>
      <c r="O2790" s="30"/>
      <c r="P2790" s="34">
        <v>1206.0</v>
      </c>
      <c r="Q2790" s="35">
        <v>112.0</v>
      </c>
      <c r="R2790" s="32">
        <v>45666.0</v>
      </c>
      <c r="S2790" s="32">
        <v>45553.0</v>
      </c>
      <c r="T2790" s="29"/>
      <c r="U2790" s="33"/>
      <c r="V2790" s="1"/>
    </row>
    <row r="2791" ht="24.0" customHeight="1">
      <c r="A2791" s="1"/>
      <c r="B2791" s="24" t="str">
        <f>HYPERLINK("https://www.compass.com/listing/301-east-62nd-street-unit-6h-manhattan-ny-10065/523035028520439649/view?agent_id=610d3f3370540700019b0833","301 E 62nd St, Unit 6H")</f>
        <v>301 E 62nd St, Unit 6H</v>
      </c>
      <c r="C2791" s="25" t="s">
        <v>365</v>
      </c>
      <c r="D2791" s="26" t="s">
        <v>23</v>
      </c>
      <c r="E2791" s="27" t="str">
        <f>HYPERLINK("https://www.compass.com/building/301-e-62nd-st-manhattan-ny-10065/292827095887824261/","301 E 62nd St")</f>
        <v>301 E 62nd St</v>
      </c>
      <c r="F2791" s="25" t="s">
        <v>64</v>
      </c>
      <c r="G2791" s="28">
        <v>1075000.0</v>
      </c>
      <c r="H2791" s="29"/>
      <c r="I2791" s="28">
        <v>1250.0</v>
      </c>
      <c r="J2791" s="28">
        <v>0.0</v>
      </c>
      <c r="K2791" s="25" t="s">
        <v>25</v>
      </c>
      <c r="L2791" s="26">
        <v>5.0</v>
      </c>
      <c r="M2791" s="26">
        <v>2.0</v>
      </c>
      <c r="N2791" s="26">
        <v>1.0</v>
      </c>
      <c r="O2791" s="26">
        <v>0.0</v>
      </c>
      <c r="P2791" s="30"/>
      <c r="Q2791" s="35">
        <v>136.0</v>
      </c>
      <c r="R2791" s="32">
        <v>44140.0</v>
      </c>
      <c r="S2791" s="32">
        <v>43978.0</v>
      </c>
      <c r="T2791" s="29"/>
      <c r="U2791" s="33"/>
      <c r="V2791" s="1"/>
    </row>
    <row r="2792" ht="24.0" customHeight="1">
      <c r="A2792" s="1"/>
      <c r="B2792" s="24" t="str">
        <f>HYPERLINK("https://www.compass.com/listing/44-east-65th-street-unit-1b-manhattan-ny-10065/29410875588851537/view?agent_id=610d3f3370540700019b0833","44 E 65th St, Unit 1B")</f>
        <v>44 E 65th St, Unit 1B</v>
      </c>
      <c r="C2792" s="25" t="s">
        <v>364</v>
      </c>
      <c r="D2792" s="26" t="s">
        <v>23</v>
      </c>
      <c r="E2792" s="27" t="str">
        <f>HYPERLINK("https://www.compass.com/building/44-e-65th-st-manhattan-ny-10065/282039905436061061/","44 E 65th St")</f>
        <v>44 E 65th St</v>
      </c>
      <c r="F2792" s="25" t="s">
        <v>64</v>
      </c>
      <c r="G2792" s="28">
        <v>1495000.0</v>
      </c>
      <c r="H2792" s="28">
        <v>1495.0</v>
      </c>
      <c r="I2792" s="28">
        <v>1798.0</v>
      </c>
      <c r="J2792" s="29"/>
      <c r="K2792" s="25" t="s">
        <v>25</v>
      </c>
      <c r="L2792" s="26">
        <v>4.0</v>
      </c>
      <c r="M2792" s="26">
        <v>2.0</v>
      </c>
      <c r="N2792" s="26">
        <v>0.0</v>
      </c>
      <c r="O2792" s="26">
        <v>0.0</v>
      </c>
      <c r="P2792" s="34">
        <v>1000.0</v>
      </c>
      <c r="Q2792" s="35">
        <v>132.0</v>
      </c>
      <c r="R2792" s="32">
        <v>44581.0</v>
      </c>
      <c r="S2792" s="32">
        <v>41915.0</v>
      </c>
      <c r="T2792" s="29"/>
      <c r="U2792" s="33"/>
      <c r="V2792" s="1"/>
    </row>
    <row r="2793" ht="24.0" customHeight="1">
      <c r="A2793" s="1"/>
      <c r="B2793" s="24" t="str">
        <f>HYPERLINK("https://www.compass.com/listing/201-east-62nd-street-unit-19b-manhattan-ny-10065/29413969475150305/view?agent_id=610d3f3370540700019b0833","201 E 62nd St, Unit 19B")</f>
        <v>201 E 62nd St, Unit 19B</v>
      </c>
      <c r="C2793" s="25" t="s">
        <v>370</v>
      </c>
      <c r="D2793" s="26" t="s">
        <v>23</v>
      </c>
      <c r="E2793" s="27" t="str">
        <f>HYPERLINK("https://www.compass.com/building/201-e-62nd-st-manhattan-ny-10065/282037613769019253/","201 E 62nd St")</f>
        <v>201 E 62nd St</v>
      </c>
      <c r="F2793" s="25" t="s">
        <v>64</v>
      </c>
      <c r="G2793" s="28">
        <v>2195000.0</v>
      </c>
      <c r="H2793" s="29"/>
      <c r="I2793" s="28">
        <v>3594.0</v>
      </c>
      <c r="J2793" s="29"/>
      <c r="K2793" s="25" t="s">
        <v>25</v>
      </c>
      <c r="L2793" s="26">
        <v>5.0</v>
      </c>
      <c r="M2793" s="26">
        <v>2.0</v>
      </c>
      <c r="N2793" s="26">
        <v>0.0</v>
      </c>
      <c r="O2793" s="26">
        <v>0.0</v>
      </c>
      <c r="P2793" s="30"/>
      <c r="Q2793" s="35">
        <v>44.0</v>
      </c>
      <c r="R2793" s="32">
        <v>44581.0</v>
      </c>
      <c r="S2793" s="32">
        <v>41322.0</v>
      </c>
      <c r="T2793" s="29"/>
      <c r="U2793" s="33"/>
      <c r="V2793" s="1"/>
    </row>
    <row r="2794" ht="24.0" customHeight="1">
      <c r="A2794" s="1"/>
      <c r="B2794" s="24" t="str">
        <f>HYPERLINK("https://www.compass.com/listing/360-furman-street-unit-438-brooklyn-ny-11201/29512082164578561/view?agent_id=610d3f3370540700019b0833","360 Furman St, Unit 438")</f>
        <v>360 Furman St, Unit 438</v>
      </c>
      <c r="C2794" s="25" t="s">
        <v>364</v>
      </c>
      <c r="D2794" s="26" t="s">
        <v>23</v>
      </c>
      <c r="E2794" s="27" t="str">
        <f>HYPERLINK("https://www.compass.com/building/one-brooklyn-bridge-park-brooklyn-ny/282511476177068565/","One Brooklyn Bridge Park")</f>
        <v>One Brooklyn Bridge Park</v>
      </c>
      <c r="F2794" s="25" t="s">
        <v>52</v>
      </c>
      <c r="G2794" s="28">
        <v>1450000.0</v>
      </c>
      <c r="H2794" s="28">
        <v>1422.0</v>
      </c>
      <c r="I2794" s="28">
        <v>1366.0</v>
      </c>
      <c r="J2794" s="28">
        <v>2268.0</v>
      </c>
      <c r="K2794" s="25" t="s">
        <v>28</v>
      </c>
      <c r="L2794" s="26">
        <v>5.0</v>
      </c>
      <c r="M2794" s="26">
        <v>2.0</v>
      </c>
      <c r="N2794" s="26">
        <v>1.0</v>
      </c>
      <c r="O2794" s="30"/>
      <c r="P2794" s="34">
        <v>1020.0</v>
      </c>
      <c r="Q2794" s="35">
        <v>350.0</v>
      </c>
      <c r="R2794" s="32">
        <v>43580.0</v>
      </c>
      <c r="S2794" s="32">
        <v>43229.0</v>
      </c>
      <c r="T2794" s="29"/>
      <c r="U2794" s="33"/>
      <c r="V2794" s="1"/>
    </row>
    <row r="2795" ht="24.0" customHeight="1">
      <c r="A2795" s="1"/>
      <c r="B2795" s="24" t="str">
        <f>HYPERLINK("https://www.compass.com/listing/175-east-62nd-street-unit-17b-manhattan-ny-10065/920478824621600433/view?agent_id=610d3f3370540700019b0833","175 E 62nd St, Unit 17B")</f>
        <v>175 E 62nd St, Unit 17B</v>
      </c>
      <c r="C2795" s="25" t="s">
        <v>364</v>
      </c>
      <c r="D2795" s="26" t="s">
        <v>23</v>
      </c>
      <c r="E2795" s="27" t="str">
        <f>HYPERLINK("https://www.compass.com/building/175-e-62nd-st-manhattan-ny-10065/292923290815584773/","175 E 62nd St")</f>
        <v>175 E 62nd St</v>
      </c>
      <c r="F2795" s="25" t="s">
        <v>64</v>
      </c>
      <c r="G2795" s="28">
        <v>1775000.0</v>
      </c>
      <c r="H2795" s="29"/>
      <c r="I2795" s="28">
        <v>5311.0</v>
      </c>
      <c r="J2795" s="29"/>
      <c r="K2795" s="25" t="s">
        <v>25</v>
      </c>
      <c r="L2795" s="26">
        <v>5.0</v>
      </c>
      <c r="M2795" s="26">
        <v>2.0</v>
      </c>
      <c r="N2795" s="26">
        <v>0.0</v>
      </c>
      <c r="O2795" s="26">
        <v>0.0</v>
      </c>
      <c r="P2795" s="30"/>
      <c r="Q2795" s="35">
        <v>264.0</v>
      </c>
      <c r="R2795" s="32">
        <v>45636.0</v>
      </c>
      <c r="S2795" s="32">
        <v>42083.0</v>
      </c>
      <c r="T2795" s="29"/>
      <c r="U2795" s="33"/>
      <c r="V2795" s="1"/>
    </row>
    <row r="2796" ht="24.0" customHeight="1">
      <c r="A2796" s="1"/>
      <c r="B2796" s="24" t="str">
        <f>HYPERLINK("https://www.compass.com/listing/360-furman-street-unit-511-brooklyn-ny-11201/29460696605445617/view?agent_id=610d3f3370540700019b0833","360 Furman St, Unit 511")</f>
        <v>360 Furman St, Unit 511</v>
      </c>
      <c r="C2796" s="25" t="s">
        <v>364</v>
      </c>
      <c r="D2796" s="26" t="s">
        <v>23</v>
      </c>
      <c r="E2796" s="27" t="str">
        <f t="shared" ref="E2796:E2797" si="75">HYPERLINK("https://www.compass.com/building/one-brooklyn-bridge-park-brooklyn-ny/282511476177068565/","One Brooklyn Bridge Park")</f>
        <v>One Brooklyn Bridge Park</v>
      </c>
      <c r="F2796" s="25" t="s">
        <v>52</v>
      </c>
      <c r="G2796" s="28">
        <v>1335000.0</v>
      </c>
      <c r="H2796" s="28">
        <v>1210.0</v>
      </c>
      <c r="I2796" s="28">
        <v>1260.0</v>
      </c>
      <c r="J2796" s="28">
        <v>1344.0</v>
      </c>
      <c r="K2796" s="25" t="s">
        <v>28</v>
      </c>
      <c r="L2796" s="26">
        <v>4.0</v>
      </c>
      <c r="M2796" s="26">
        <v>2.0</v>
      </c>
      <c r="N2796" s="26">
        <v>1.0</v>
      </c>
      <c r="O2796" s="26">
        <v>0.0</v>
      </c>
      <c r="P2796" s="34">
        <v>1103.0</v>
      </c>
      <c r="Q2796" s="35">
        <v>159.0</v>
      </c>
      <c r="R2796" s="32">
        <v>45636.0</v>
      </c>
      <c r="S2796" s="32">
        <v>42432.0</v>
      </c>
      <c r="T2796" s="29"/>
      <c r="U2796" s="33"/>
      <c r="V2796" s="1"/>
    </row>
    <row r="2797" ht="24.0" customHeight="1">
      <c r="A2797" s="1"/>
      <c r="B2797" s="24" t="str">
        <f>HYPERLINK("https://www.compass.com/listing/360-furman-street-unit-308-brooklyn-ny-11201/70929916954160257/view?agent_id=610d3f3370540700019b0833","360 Furman St, Unit 308")</f>
        <v>360 Furman St, Unit 308</v>
      </c>
      <c r="C2797" s="25" t="s">
        <v>364</v>
      </c>
      <c r="D2797" s="26" t="s">
        <v>23</v>
      </c>
      <c r="E2797" s="27" t="str">
        <f t="shared" si="75"/>
        <v>One Brooklyn Bridge Park</v>
      </c>
      <c r="F2797" s="25" t="s">
        <v>52</v>
      </c>
      <c r="G2797" s="28">
        <v>1200000.0</v>
      </c>
      <c r="H2797" s="28">
        <v>1194.0</v>
      </c>
      <c r="I2797" s="28">
        <v>1112.0</v>
      </c>
      <c r="J2797" s="28">
        <v>1104.0</v>
      </c>
      <c r="K2797" s="25" t="s">
        <v>28</v>
      </c>
      <c r="L2797" s="26">
        <v>4.0</v>
      </c>
      <c r="M2797" s="26">
        <v>2.0</v>
      </c>
      <c r="N2797" s="26">
        <v>1.0</v>
      </c>
      <c r="O2797" s="26">
        <v>0.0</v>
      </c>
      <c r="P2797" s="34">
        <v>1005.0</v>
      </c>
      <c r="Q2797" s="35">
        <v>134.0</v>
      </c>
      <c r="R2797" s="32">
        <v>45636.0</v>
      </c>
      <c r="S2797" s="32">
        <v>42844.0</v>
      </c>
      <c r="T2797" s="29"/>
      <c r="U2797" s="33"/>
      <c r="V2797" s="1"/>
    </row>
    <row r="2798" ht="24.0" customHeight="1">
      <c r="A2798" s="1"/>
      <c r="B2798" s="24" t="str">
        <f>HYPERLINK("https://www.compass.com/listing/870-5th-avenue-unit-16a-manhattan-ny-10065/70917698585931121/view?agent_id=610d3f3370540700019b0833","870 5th Ave, Unit 16A")</f>
        <v>870 5th Ave, Unit 16A</v>
      </c>
      <c r="C2798" s="25" t="s">
        <v>370</v>
      </c>
      <c r="D2798" s="26" t="s">
        <v>23</v>
      </c>
      <c r="E2798" s="27" t="str">
        <f>HYPERLINK("https://www.compass.com/building/870-5th-ave-manhattan-ny-10065/282040957107460005/","870 5th Ave")</f>
        <v>870 5th Ave</v>
      </c>
      <c r="F2798" s="25" t="s">
        <v>64</v>
      </c>
      <c r="G2798" s="28">
        <v>8500000.0</v>
      </c>
      <c r="H2798" s="29"/>
      <c r="I2798" s="28">
        <v>5725.0</v>
      </c>
      <c r="J2798" s="29"/>
      <c r="K2798" s="25" t="s">
        <v>25</v>
      </c>
      <c r="L2798" s="26">
        <v>6.0</v>
      </c>
      <c r="M2798" s="26">
        <v>2.0</v>
      </c>
      <c r="N2798" s="26">
        <v>0.0</v>
      </c>
      <c r="O2798" s="26">
        <v>0.0</v>
      </c>
      <c r="P2798" s="30"/>
      <c r="Q2798" s="35">
        <v>65.0</v>
      </c>
      <c r="R2798" s="32">
        <v>45636.0</v>
      </c>
      <c r="S2798" s="32">
        <v>41919.0</v>
      </c>
      <c r="T2798" s="29"/>
      <c r="U2798" s="33"/>
      <c r="V2798" s="1"/>
    </row>
    <row r="2799" ht="24.0" customHeight="1">
      <c r="A2799" s="1"/>
      <c r="B2799" s="24" t="str">
        <f>HYPERLINK("https://www.compass.com/listing/230-north-8th-street-unit-4b-brooklyn-ny-11211/29483956202192497/view?agent_id=610d3f3370540700019b0833","230 N 8th St, Unit 4B")</f>
        <v>230 N 8th St, Unit 4B</v>
      </c>
      <c r="C2799" s="25" t="s">
        <v>370</v>
      </c>
      <c r="D2799" s="26" t="s">
        <v>23</v>
      </c>
      <c r="E2799" s="27" t="str">
        <f>HYPERLINK("https://www.compass.com/building/230-n-8th-st-brooklyn-ny-11211/294844679577121173/","230 N 8th St")</f>
        <v>230 N 8th St</v>
      </c>
      <c r="F2799" s="25" t="s">
        <v>46</v>
      </c>
      <c r="G2799" s="28">
        <v>780000.0</v>
      </c>
      <c r="H2799" s="28">
        <v>829.0</v>
      </c>
      <c r="I2799" s="28">
        <v>271.0</v>
      </c>
      <c r="J2799" s="28">
        <v>612.0</v>
      </c>
      <c r="K2799" s="25" t="s">
        <v>28</v>
      </c>
      <c r="L2799" s="26">
        <v>3.0</v>
      </c>
      <c r="M2799" s="26">
        <v>2.0</v>
      </c>
      <c r="N2799" s="26">
        <v>0.0</v>
      </c>
      <c r="O2799" s="26">
        <v>0.0</v>
      </c>
      <c r="P2799" s="26">
        <v>941.0</v>
      </c>
      <c r="Q2799" s="35">
        <v>0.0</v>
      </c>
      <c r="R2799" s="32">
        <v>44581.0</v>
      </c>
      <c r="S2799" s="32">
        <v>41538.0</v>
      </c>
      <c r="T2799" s="29"/>
      <c r="U2799" s="33"/>
      <c r="V2799" s="1"/>
    </row>
    <row r="2800" ht="24.0" customHeight="1">
      <c r="A2800" s="1"/>
      <c r="B2800" s="24" t="str">
        <f>HYPERLINK("https://www.compass.com/listing/55-poplar-street-unit-ga-brooklyn-ny-11201/79557478588708385/view?agent_id=610d3f3370540700019b0833","55 Poplar St, Unit GA")</f>
        <v>55 Poplar St, Unit GA</v>
      </c>
      <c r="C2800" s="25" t="s">
        <v>364</v>
      </c>
      <c r="D2800" s="26" t="s">
        <v>23</v>
      </c>
      <c r="E2800" s="27" t="str">
        <f>HYPERLINK("https://www.compass.com/building/bridge-harbor-heights-condominium-i-brooklyn-ny/282508099779120837/","Bridge Harbor Heights Condominium I")</f>
        <v>Bridge Harbor Heights Condominium I</v>
      </c>
      <c r="F2800" s="25" t="s">
        <v>52</v>
      </c>
      <c r="G2800" s="28">
        <v>825000.0</v>
      </c>
      <c r="H2800" s="28">
        <v>781.0</v>
      </c>
      <c r="I2800" s="28">
        <v>1418.0</v>
      </c>
      <c r="J2800" s="28">
        <v>5556.0</v>
      </c>
      <c r="K2800" s="25" t="s">
        <v>28</v>
      </c>
      <c r="L2800" s="26">
        <v>5.0</v>
      </c>
      <c r="M2800" s="26">
        <v>2.0</v>
      </c>
      <c r="N2800" s="26">
        <v>0.0</v>
      </c>
      <c r="O2800" s="26">
        <v>0.0</v>
      </c>
      <c r="P2800" s="34">
        <v>1057.0</v>
      </c>
      <c r="Q2800" s="35">
        <v>3381.0</v>
      </c>
      <c r="R2800" s="32">
        <v>44581.0</v>
      </c>
      <c r="S2800" s="32">
        <v>41199.0</v>
      </c>
      <c r="T2800" s="29"/>
      <c r="U2800" s="33"/>
      <c r="V2800" s="1"/>
    </row>
    <row r="2801" ht="24.0" customHeight="1">
      <c r="A2801" s="1"/>
      <c r="B2801" s="24" t="str">
        <f>HYPERLINK("https://www.compass.com/listing/425-east-63rd-street-unit-w6h-manhattan-ny-10065/1367410660512824281/view?agent_id=610d3f3370540700019b0833","425 E 63rd St, Unit W6H")</f>
        <v>425 E 63rd St, Unit W6H</v>
      </c>
      <c r="C2801" s="25" t="s">
        <v>365</v>
      </c>
      <c r="D2801" s="26" t="s">
        <v>23</v>
      </c>
      <c r="E2801" s="27" t="str">
        <f>HYPERLINK("https://www.compass.com/building/royal-york-manhattan-ny/282059028794735573/","Royal York")</f>
        <v>Royal York</v>
      </c>
      <c r="F2801" s="25" t="s">
        <v>64</v>
      </c>
      <c r="G2801" s="28">
        <v>1050000.0</v>
      </c>
      <c r="H2801" s="29"/>
      <c r="I2801" s="28">
        <v>1919.0</v>
      </c>
      <c r="J2801" s="28">
        <v>0.0</v>
      </c>
      <c r="K2801" s="25" t="s">
        <v>25</v>
      </c>
      <c r="L2801" s="26">
        <v>4.0</v>
      </c>
      <c r="M2801" s="26">
        <v>2.0</v>
      </c>
      <c r="N2801" s="26">
        <v>1.0</v>
      </c>
      <c r="O2801" s="30"/>
      <c r="P2801" s="30"/>
      <c r="Q2801" s="35">
        <v>113.0</v>
      </c>
      <c r="R2801" s="32">
        <v>45252.0</v>
      </c>
      <c r="S2801" s="32">
        <v>45138.0</v>
      </c>
      <c r="T2801" s="29"/>
      <c r="U2801" s="33"/>
      <c r="V2801" s="1"/>
    </row>
    <row r="2802" ht="24.0" customHeight="1">
      <c r="A2802" s="1"/>
      <c r="B2802" s="24" t="str">
        <f>HYPERLINK("https://www.compass.com/listing/360-furman-street-unit-815-brooklyn-ny-11201/1226067863039361617/view?agent_id=610d3f3370540700019b0833","360 Furman St, Unit 815")</f>
        <v>360 Furman St, Unit 815</v>
      </c>
      <c r="C2802" s="25" t="s">
        <v>365</v>
      </c>
      <c r="D2802" s="26" t="s">
        <v>23</v>
      </c>
      <c r="E2802" s="27" t="str">
        <f>HYPERLINK("https://www.compass.com/building/one-brooklyn-bridge-park-brooklyn-ny/282511476177068565/","One Brooklyn Bridge Park")</f>
        <v>One Brooklyn Bridge Park</v>
      </c>
      <c r="F2802" s="25" t="s">
        <v>52</v>
      </c>
      <c r="G2802" s="28">
        <v>1399000.0</v>
      </c>
      <c r="H2802" s="28">
        <v>1395.0</v>
      </c>
      <c r="I2802" s="28">
        <v>2162.0</v>
      </c>
      <c r="J2802" s="28">
        <v>9932.0</v>
      </c>
      <c r="K2802" s="25" t="s">
        <v>28</v>
      </c>
      <c r="L2802" s="26">
        <v>4.0</v>
      </c>
      <c r="M2802" s="26">
        <v>2.0</v>
      </c>
      <c r="N2802" s="26">
        <v>1.0</v>
      </c>
      <c r="O2802" s="26">
        <v>0.0</v>
      </c>
      <c r="P2802" s="34">
        <v>1003.0</v>
      </c>
      <c r="Q2802" s="35">
        <v>192.0</v>
      </c>
      <c r="R2802" s="32">
        <v>45135.0</v>
      </c>
      <c r="S2802" s="32">
        <v>44943.0</v>
      </c>
      <c r="T2802" s="29"/>
      <c r="U2802" s="33"/>
      <c r="V2802" s="1"/>
    </row>
    <row r="2803" ht="24.0" customHeight="1">
      <c r="A2803" s="1"/>
      <c r="B2803" s="24" t="str">
        <f>HYPERLINK("https://www.compass.com/listing/330-3rd-avenue-unit-3g-manhattan-ny-10010/234070009175888097/view?agent_id=610d3f3370540700019b0833","330 3rd Ave, Unit 3G")</f>
        <v>330 3rd Ave, Unit 3G</v>
      </c>
      <c r="C2803" s="25" t="s">
        <v>364</v>
      </c>
      <c r="D2803" s="26" t="s">
        <v>23</v>
      </c>
      <c r="E2803" s="27" t="str">
        <f>HYPERLINK("https://www.compass.com/building/330-3rd-ave-manhattan-ny-10010/281902908537063653/","330 3rd Ave")</f>
        <v>330 3rd Ave</v>
      </c>
      <c r="F2803" s="25" t="s">
        <v>107</v>
      </c>
      <c r="G2803" s="28">
        <v>899000.0</v>
      </c>
      <c r="H2803" s="28">
        <v>977.0</v>
      </c>
      <c r="I2803" s="28">
        <v>1875.0</v>
      </c>
      <c r="J2803" s="28">
        <v>0.0</v>
      </c>
      <c r="K2803" s="25" t="s">
        <v>25</v>
      </c>
      <c r="L2803" s="26">
        <v>4.0</v>
      </c>
      <c r="M2803" s="26">
        <v>2.0</v>
      </c>
      <c r="N2803" s="26">
        <v>1.0</v>
      </c>
      <c r="O2803" s="26">
        <v>0.0</v>
      </c>
      <c r="P2803" s="26">
        <v>920.0</v>
      </c>
      <c r="Q2803" s="35">
        <v>145.0</v>
      </c>
      <c r="R2803" s="32">
        <v>43719.0</v>
      </c>
      <c r="S2803" s="32">
        <v>43574.0</v>
      </c>
      <c r="T2803" s="29"/>
      <c r="U2803" s="33"/>
      <c r="V2803" s="1"/>
    </row>
    <row r="2804" ht="24.0" customHeight="1">
      <c r="A2804" s="1"/>
      <c r="B2804" s="24" t="str">
        <f>HYPERLINK("https://www.compass.com/listing/55-east-76th-street-unit-6-manhattan-ny-10075/29508838994503809/view?agent_id=610d3f3370540700019b0833","55 E 76th St, Unit 6")</f>
        <v>55 E 76th St, Unit 6</v>
      </c>
      <c r="C2804" s="25" t="s">
        <v>364</v>
      </c>
      <c r="D2804" s="26" t="s">
        <v>23</v>
      </c>
      <c r="E2804" s="27" t="str">
        <f>HYPERLINK("https://www.compass.com/building/55-e-76th-st-manhattan-ny-10075/307446726931453973/","55 E 76th St")</f>
        <v>55 E 76th St</v>
      </c>
      <c r="F2804" s="25" t="s">
        <v>64</v>
      </c>
      <c r="G2804" s="28">
        <v>1295000.0</v>
      </c>
      <c r="H2804" s="29"/>
      <c r="I2804" s="28">
        <v>3315.0</v>
      </c>
      <c r="J2804" s="28">
        <v>0.0</v>
      </c>
      <c r="K2804" s="25" t="s">
        <v>25</v>
      </c>
      <c r="L2804" s="26">
        <v>6.0</v>
      </c>
      <c r="M2804" s="26">
        <v>2.0</v>
      </c>
      <c r="N2804" s="26">
        <v>1.0</v>
      </c>
      <c r="O2804" s="26">
        <v>0.0</v>
      </c>
      <c r="P2804" s="30"/>
      <c r="Q2804" s="35">
        <v>475.0</v>
      </c>
      <c r="R2804" s="32">
        <v>43864.0</v>
      </c>
      <c r="S2804" s="32">
        <v>43237.0</v>
      </c>
      <c r="T2804" s="29"/>
      <c r="U2804" s="33"/>
      <c r="V2804" s="1"/>
    </row>
    <row r="2805" ht="24.0" customHeight="1">
      <c r="A2805" s="1"/>
      <c r="B2805" s="24" t="str">
        <f>HYPERLINK("https://www.compass.com/listing/229-9th-street-unit-601-brooklyn-ny-11215/1806593135933512601/view?agent_id=610d3f3370540700019b0833","229 9th St, Unit 601")</f>
        <v>229 9th St, Unit 601</v>
      </c>
      <c r="C2805" s="25" t="s">
        <v>365</v>
      </c>
      <c r="D2805" s="26" t="s">
        <v>23</v>
      </c>
      <c r="E2805" s="27" t="str">
        <f>HYPERLINK("https://www.compass.com/building/229-9th-st-brooklyn-ny-11215/282446610745528517/","229 9th St")</f>
        <v>229 9th St</v>
      </c>
      <c r="F2805" s="25" t="s">
        <v>380</v>
      </c>
      <c r="G2805" s="28">
        <v>1295000.0</v>
      </c>
      <c r="H2805" s="28">
        <v>1562.0</v>
      </c>
      <c r="I2805" s="28">
        <v>1698.0</v>
      </c>
      <c r="J2805" s="28">
        <v>11258.0</v>
      </c>
      <c r="K2805" s="25" t="s">
        <v>28</v>
      </c>
      <c r="L2805" s="26">
        <v>3.0</v>
      </c>
      <c r="M2805" s="26">
        <v>2.0</v>
      </c>
      <c r="N2805" s="26">
        <v>1.0</v>
      </c>
      <c r="O2805" s="30"/>
      <c r="P2805" s="26">
        <v>829.0</v>
      </c>
      <c r="Q2805" s="35">
        <v>91.0</v>
      </c>
      <c r="R2805" s="32">
        <v>45840.0</v>
      </c>
      <c r="S2805" s="32">
        <v>45749.0</v>
      </c>
      <c r="T2805" s="29"/>
      <c r="U2805" s="33"/>
      <c r="V2805" s="1"/>
    </row>
    <row r="2806" ht="24.0" customHeight="1">
      <c r="A2806" s="1"/>
      <c r="B2806" s="24" t="str">
        <f>HYPERLINK("https://www.compass.com/listing/285-driggs-avenue-unit-4a-brooklyn-ny-11222/29512678930247889/view?agent_id=610d3f3370540700019b0833","285 Driggs Ave, Unit 4A")</f>
        <v>285 Driggs Ave, Unit 4A</v>
      </c>
      <c r="C2806" s="25" t="s">
        <v>364</v>
      </c>
      <c r="D2806" s="26" t="s">
        <v>23</v>
      </c>
      <c r="E2806" s="27" t="str">
        <f>HYPERLINK("https://www.compass.com/building/285-driggs-ave-brooklyn-ny-11222/282415270167931077/","285 Driggs Ave")</f>
        <v>285 Driggs Ave</v>
      </c>
      <c r="F2806" s="25" t="s">
        <v>56</v>
      </c>
      <c r="G2806" s="28">
        <v>1249000.0</v>
      </c>
      <c r="H2806" s="28">
        <v>931.0</v>
      </c>
      <c r="I2806" s="28">
        <v>508.0</v>
      </c>
      <c r="J2806" s="28">
        <v>12.0</v>
      </c>
      <c r="K2806" s="25" t="s">
        <v>28</v>
      </c>
      <c r="L2806" s="26">
        <v>4.0</v>
      </c>
      <c r="M2806" s="26">
        <v>2.0</v>
      </c>
      <c r="N2806" s="26">
        <v>0.0</v>
      </c>
      <c r="O2806" s="26">
        <v>0.0</v>
      </c>
      <c r="P2806" s="34">
        <v>1342.0</v>
      </c>
      <c r="Q2806" s="35">
        <v>0.0</v>
      </c>
      <c r="R2806" s="32">
        <v>44581.0</v>
      </c>
      <c r="S2806" s="32">
        <v>41451.0</v>
      </c>
      <c r="T2806" s="29"/>
      <c r="U2806" s="33"/>
      <c r="V2806" s="1"/>
    </row>
    <row r="2807" ht="24.0" customHeight="1">
      <c r="A2807" s="1"/>
      <c r="B2807" s="24" t="str">
        <f>HYPERLINK("https://www.compass.com/listing/360-furman-street-unit-738-brooklyn-ny-11201/29460759469675745/view?agent_id=610d3f3370540700019b0833","360 Furman St, Unit 738")</f>
        <v>360 Furman St, Unit 738</v>
      </c>
      <c r="C2807" s="25" t="s">
        <v>364</v>
      </c>
      <c r="D2807" s="26" t="s">
        <v>23</v>
      </c>
      <c r="E2807" s="27" t="str">
        <f>HYPERLINK("https://www.compass.com/building/one-brooklyn-bridge-park-brooklyn-ny/282511476177068565/","One Brooklyn Bridge Park")</f>
        <v>One Brooklyn Bridge Park</v>
      </c>
      <c r="F2807" s="25" t="s">
        <v>52</v>
      </c>
      <c r="G2807" s="28">
        <v>1450000.0</v>
      </c>
      <c r="H2807" s="29"/>
      <c r="I2807" s="28">
        <v>1135.0</v>
      </c>
      <c r="J2807" s="28">
        <v>1246.0</v>
      </c>
      <c r="K2807" s="25" t="s">
        <v>28</v>
      </c>
      <c r="L2807" s="26">
        <v>4.0</v>
      </c>
      <c r="M2807" s="26">
        <v>2.0</v>
      </c>
      <c r="N2807" s="30"/>
      <c r="O2807" s="30"/>
      <c r="P2807" s="30"/>
      <c r="Q2807" s="35">
        <v>0.0</v>
      </c>
      <c r="R2807" s="32">
        <v>43698.0</v>
      </c>
      <c r="S2807" s="32">
        <v>42347.0</v>
      </c>
      <c r="T2807" s="29"/>
      <c r="U2807" s="33"/>
      <c r="V2807" s="1"/>
    </row>
    <row r="2808" ht="24.0" customHeight="1">
      <c r="A2808" s="1"/>
      <c r="B2808" s="24" t="str">
        <f>HYPERLINK("https://www.compass.com/listing/440-kent-avenue-unit-21d-brooklyn-ny-11249/29482756220218897/view?agent_id=610d3f3370540700019b0833","440 Kent Ave, Unit 21D")</f>
        <v>440 Kent Ave, Unit 21D</v>
      </c>
      <c r="C2808" s="25" t="s">
        <v>364</v>
      </c>
      <c r="D2808" s="26" t="s">
        <v>23</v>
      </c>
      <c r="E2808" s="27" t="str">
        <f>HYPERLINK("https://www.compass.com/building/schaefer-landing-north-brooklyn-ny/293416489409686149/","Schaefer Landing North")</f>
        <v>Schaefer Landing North</v>
      </c>
      <c r="F2808" s="25" t="s">
        <v>46</v>
      </c>
      <c r="G2808" s="28">
        <v>4695.0</v>
      </c>
      <c r="H2808" s="28">
        <v>4.0</v>
      </c>
      <c r="I2808" s="28">
        <v>2.0</v>
      </c>
      <c r="J2808" s="28">
        <v>12.0</v>
      </c>
      <c r="K2808" s="25" t="s">
        <v>28</v>
      </c>
      <c r="L2808" s="26">
        <v>5.0</v>
      </c>
      <c r="M2808" s="26">
        <v>2.0</v>
      </c>
      <c r="N2808" s="26">
        <v>0.0</v>
      </c>
      <c r="O2808" s="26">
        <v>0.0</v>
      </c>
      <c r="P2808" s="34">
        <v>1222.0</v>
      </c>
      <c r="Q2808" s="35">
        <v>172.0</v>
      </c>
      <c r="R2808" s="32">
        <v>44581.0</v>
      </c>
      <c r="S2808" s="32">
        <v>42866.0</v>
      </c>
      <c r="T2808" s="29"/>
      <c r="U2808" s="33"/>
      <c r="V2808" s="1"/>
    </row>
    <row r="2809" ht="24.0" customHeight="1">
      <c r="A2809" s="1"/>
      <c r="B2809" s="24" t="str">
        <f>HYPERLINK("https://www.compass.com/listing/543-16th-street-unit-3r-brooklyn-ny-11215/29469542023442497/view?agent_id=610d3f3370540700019b0833","543 16th St, Unit 3R")</f>
        <v>543 16th St, Unit 3R</v>
      </c>
      <c r="C2809" s="25" t="s">
        <v>370</v>
      </c>
      <c r="D2809" s="26" t="s">
        <v>23</v>
      </c>
      <c r="E2809" s="27" t="str">
        <f>HYPERLINK("https://www.compass.com/building/543-16th-st-brooklyn-ny-11215/282509802993704645/","543 16th St")</f>
        <v>543 16th St</v>
      </c>
      <c r="F2809" s="25" t="s">
        <v>106</v>
      </c>
      <c r="G2809" s="28">
        <v>880000.0</v>
      </c>
      <c r="H2809" s="28">
        <v>831.0</v>
      </c>
      <c r="I2809" s="28">
        <v>0.0</v>
      </c>
      <c r="J2809" s="29"/>
      <c r="K2809" s="25" t="s">
        <v>28</v>
      </c>
      <c r="L2809" s="26">
        <v>7.0</v>
      </c>
      <c r="M2809" s="26">
        <v>2.0</v>
      </c>
      <c r="N2809" s="26">
        <v>0.0</v>
      </c>
      <c r="O2809" s="26">
        <v>0.0</v>
      </c>
      <c r="P2809" s="34">
        <v>1059.0</v>
      </c>
      <c r="Q2809" s="35">
        <v>0.0</v>
      </c>
      <c r="R2809" s="32">
        <v>44581.0</v>
      </c>
      <c r="S2809" s="32">
        <v>41538.0</v>
      </c>
      <c r="T2809" s="29"/>
      <c r="U2809" s="33"/>
      <c r="V2809" s="1"/>
    </row>
    <row r="2810" ht="24.0" customHeight="1">
      <c r="A2810" s="1"/>
      <c r="B2810" s="24" t="str">
        <f>HYPERLINK("https://www.compass.com/listing/330-east-70th-street-unit-1t-manhattan-ny-10021/192566611557817073/view?agent_id=610d3f3370540700019b0833","330 E 70th St, Unit 1T")</f>
        <v>330 E 70th St, Unit 1T</v>
      </c>
      <c r="C2810" s="25" t="s">
        <v>364</v>
      </c>
      <c r="D2810" s="26" t="s">
        <v>23</v>
      </c>
      <c r="E2810" s="27" t="str">
        <f>HYPERLINK("https://www.compass.com/building/330-e-70th-st-manhattan-ny-10021/281950442164912133/","330 E 70th St")</f>
        <v>330 E 70th St</v>
      </c>
      <c r="F2810" s="25" t="s">
        <v>64</v>
      </c>
      <c r="G2810" s="28">
        <v>275000.0</v>
      </c>
      <c r="H2810" s="29"/>
      <c r="I2810" s="28">
        <v>105983.0</v>
      </c>
      <c r="J2810" s="29"/>
      <c r="K2810" s="25" t="s">
        <v>25</v>
      </c>
      <c r="L2810" s="26">
        <v>4.0</v>
      </c>
      <c r="M2810" s="26">
        <v>2.0</v>
      </c>
      <c r="N2810" s="26">
        <v>0.0</v>
      </c>
      <c r="O2810" s="26">
        <v>0.0</v>
      </c>
      <c r="P2810" s="30"/>
      <c r="Q2810" s="35">
        <v>0.0</v>
      </c>
      <c r="R2810" s="32">
        <v>44581.0</v>
      </c>
      <c r="S2810" s="32">
        <v>41402.0</v>
      </c>
      <c r="T2810" s="29"/>
      <c r="U2810" s="33"/>
      <c r="V2810" s="1"/>
    </row>
    <row r="2811" ht="24.0" customHeight="1">
      <c r="A2811" s="1"/>
      <c r="B2811" s="24" t="str">
        <f>HYPERLINK("https://www.compass.com/listing/130-east-67th-street-unit-1f-manhattan-ny-10065/921974381793228217/view?agent_id=610d3f3370540700019b0833","130 E 67th St, Unit 1F")</f>
        <v>130 E 67th St, Unit 1F</v>
      </c>
      <c r="C2811" s="25" t="s">
        <v>370</v>
      </c>
      <c r="D2811" s="26" t="s">
        <v>23</v>
      </c>
      <c r="E2811" s="27" t="str">
        <f>HYPERLINK("https://www.compass.com/building/130-east-67th-street-manhattan-ny/292926640638421205/","130 East 67th Street")</f>
        <v>130 East 67th Street</v>
      </c>
      <c r="F2811" s="25" t="s">
        <v>64</v>
      </c>
      <c r="G2811" s="28">
        <v>1950000.0</v>
      </c>
      <c r="H2811" s="29"/>
      <c r="I2811" s="28">
        <v>1854.0</v>
      </c>
      <c r="J2811" s="29"/>
      <c r="K2811" s="25" t="s">
        <v>25</v>
      </c>
      <c r="L2811" s="26">
        <v>5.0</v>
      </c>
      <c r="M2811" s="26">
        <v>2.0</v>
      </c>
      <c r="N2811" s="26">
        <v>0.0</v>
      </c>
      <c r="O2811" s="26">
        <v>0.0</v>
      </c>
      <c r="P2811" s="30"/>
      <c r="Q2811" s="35">
        <v>378.0</v>
      </c>
      <c r="R2811" s="32">
        <v>44581.0</v>
      </c>
      <c r="S2811" s="32">
        <v>42499.0</v>
      </c>
      <c r="T2811" s="29"/>
      <c r="U2811" s="33"/>
      <c r="V2811" s="1"/>
    </row>
    <row r="2812" ht="24.0" customHeight="1">
      <c r="A2812" s="1"/>
      <c r="B2812" s="24" t="str">
        <f>HYPERLINK("https://www.compass.com/listing/128-east-83rd-street-unit-1c-manhattan-ny-10028/758782241388499329/view?agent_id=610d3f3370540700019b0833","128 E 83rd St, Unit 1C")</f>
        <v>128 E 83rd St, Unit 1C</v>
      </c>
      <c r="C2812" s="25" t="s">
        <v>364</v>
      </c>
      <c r="D2812" s="26" t="s">
        <v>23</v>
      </c>
      <c r="E2812" s="27" t="str">
        <f>HYPERLINK("https://www.compass.com/building/128-e-83rd-st-manhattan-ny-10028/281926500322680533/","128 E 83rd St")</f>
        <v>128 E 83rd St</v>
      </c>
      <c r="F2812" s="25" t="s">
        <v>44</v>
      </c>
      <c r="G2812" s="28">
        <v>599000.0</v>
      </c>
      <c r="H2812" s="29"/>
      <c r="I2812" s="28">
        <v>1286.0</v>
      </c>
      <c r="J2812" s="28">
        <v>0.0</v>
      </c>
      <c r="K2812" s="25" t="s">
        <v>25</v>
      </c>
      <c r="L2812" s="26">
        <v>4.0</v>
      </c>
      <c r="M2812" s="26">
        <v>2.0</v>
      </c>
      <c r="N2812" s="26">
        <v>1.0</v>
      </c>
      <c r="O2812" s="30"/>
      <c r="P2812" s="30"/>
      <c r="Q2812" s="35">
        <v>112.0</v>
      </c>
      <c r="R2812" s="32">
        <v>44412.0</v>
      </c>
      <c r="S2812" s="32">
        <v>44300.0</v>
      </c>
      <c r="T2812" s="29"/>
      <c r="U2812" s="33"/>
      <c r="V2812" s="1"/>
    </row>
    <row r="2813" ht="24.0" customHeight="1">
      <c r="A2813" s="1"/>
      <c r="B2813" s="24" t="str">
        <f>HYPERLINK("https://www.compass.com/listing/301-east-62nd-street-unit-15h-manhattan-ny-10065/678401002910969057/view?agent_id=610d3f3370540700019b0833","301 E 62nd St, Unit 15H")</f>
        <v>301 E 62nd St, Unit 15H</v>
      </c>
      <c r="C2813" s="25" t="s">
        <v>365</v>
      </c>
      <c r="D2813" s="26" t="s">
        <v>23</v>
      </c>
      <c r="E2813" s="27" t="str">
        <f>HYPERLINK("https://www.compass.com/building/301-e-62nd-st-manhattan-ny-10065/292827095887824261/","301 E 62nd St")</f>
        <v>301 E 62nd St</v>
      </c>
      <c r="F2813" s="25" t="s">
        <v>64</v>
      </c>
      <c r="G2813" s="28">
        <v>1075000.0</v>
      </c>
      <c r="H2813" s="28">
        <v>1086.0</v>
      </c>
      <c r="I2813" s="28">
        <v>1549.0</v>
      </c>
      <c r="J2813" s="28">
        <v>0.0</v>
      </c>
      <c r="K2813" s="25" t="s">
        <v>25</v>
      </c>
      <c r="L2813" s="26">
        <v>6.0</v>
      </c>
      <c r="M2813" s="26">
        <v>2.0</v>
      </c>
      <c r="N2813" s="26">
        <v>1.0</v>
      </c>
      <c r="O2813" s="26">
        <v>0.0</v>
      </c>
      <c r="P2813" s="26">
        <v>990.0</v>
      </c>
      <c r="Q2813" s="35">
        <v>54.0</v>
      </c>
      <c r="R2813" s="32">
        <v>44242.0</v>
      </c>
      <c r="S2813" s="32">
        <v>44187.0</v>
      </c>
      <c r="T2813" s="29"/>
      <c r="U2813" s="33"/>
      <c r="V2813" s="1"/>
    </row>
    <row r="2814" ht="24.0" customHeight="1">
      <c r="A2814" s="1"/>
      <c r="B2814" s="24" t="str">
        <f>HYPERLINK("https://www.compass.com/listing/300-east-77th-street-unit-6a-manhattan-ny-10075/1838918635473809161/view?agent_id=610d3f3370540700019b0833","300 E 77th St, Unit 6A")</f>
        <v>300 E 77th St, Unit 6A</v>
      </c>
      <c r="C2814" s="25" t="s">
        <v>370</v>
      </c>
      <c r="D2814" s="26" t="s">
        <v>23</v>
      </c>
      <c r="E2814" s="27" t="str">
        <f>HYPERLINK("https://www.compass.com/building/the-seville-manhattan-ny/281928921090404981/","The Seville")</f>
        <v>The Seville</v>
      </c>
      <c r="F2814" s="25" t="s">
        <v>64</v>
      </c>
      <c r="G2814" s="28">
        <v>2595000.0</v>
      </c>
      <c r="H2814" s="28">
        <v>1559.0</v>
      </c>
      <c r="I2814" s="28">
        <v>2908.0</v>
      </c>
      <c r="J2814" s="28">
        <v>13740.0</v>
      </c>
      <c r="K2814" s="25" t="s">
        <v>28</v>
      </c>
      <c r="L2814" s="26">
        <v>5.0</v>
      </c>
      <c r="M2814" s="26">
        <v>2.0</v>
      </c>
      <c r="N2814" s="26">
        <v>0.0</v>
      </c>
      <c r="O2814" s="26">
        <v>0.0</v>
      </c>
      <c r="P2814" s="34">
        <v>1664.0</v>
      </c>
      <c r="Q2814" s="35">
        <v>107.0</v>
      </c>
      <c r="R2814" s="32">
        <v>45636.0</v>
      </c>
      <c r="S2814" s="32">
        <v>43207.0</v>
      </c>
      <c r="T2814" s="29"/>
      <c r="U2814" s="33"/>
      <c r="V2814" s="1"/>
    </row>
    <row r="2815" ht="24.0" customHeight="1">
      <c r="A2815" s="1"/>
      <c r="B2815" s="24" t="str">
        <f>HYPERLINK("https://www.compass.com/listing/200-east-66th-street-unit-b1705-manhattan-ny-10065/29414218541320097/view?agent_id=610d3f3370540700019b0833","200 E 66th St, Unit B1705")</f>
        <v>200 E 66th St, Unit B1705</v>
      </c>
      <c r="C2815" s="25" t="s">
        <v>370</v>
      </c>
      <c r="D2815" s="26" t="s">
        <v>23</v>
      </c>
      <c r="E2815" s="27" t="str">
        <f>HYPERLINK("https://www.compass.com/building/manhattan-house-manhattan-ny/282037560954341381/","Manhattan House")</f>
        <v>Manhattan House</v>
      </c>
      <c r="F2815" s="25" t="s">
        <v>64</v>
      </c>
      <c r="G2815" s="28">
        <v>2695000.0</v>
      </c>
      <c r="H2815" s="28">
        <v>1860.0</v>
      </c>
      <c r="I2815" s="28">
        <v>3133.0</v>
      </c>
      <c r="J2815" s="28">
        <v>16620.0</v>
      </c>
      <c r="K2815" s="25" t="s">
        <v>248</v>
      </c>
      <c r="L2815" s="26">
        <v>5.0</v>
      </c>
      <c r="M2815" s="26">
        <v>2.0</v>
      </c>
      <c r="N2815" s="26">
        <v>0.0</v>
      </c>
      <c r="O2815" s="26">
        <v>0.0</v>
      </c>
      <c r="P2815" s="34">
        <v>1449.0</v>
      </c>
      <c r="Q2815" s="35">
        <v>207.0</v>
      </c>
      <c r="R2815" s="32">
        <v>45636.0</v>
      </c>
      <c r="S2815" s="32">
        <v>42679.0</v>
      </c>
      <c r="T2815" s="29"/>
      <c r="U2815" s="33"/>
      <c r="V2815" s="1"/>
    </row>
    <row r="2816" ht="24.0" customHeight="1">
      <c r="A2816" s="1"/>
      <c r="B2816" s="24" t="str">
        <f>HYPERLINK("https://www.compass.com/listing/216-eckford-street-unit-4b-brooklyn-ny-11222/29512142965212561/view?agent_id=610d3f3370540700019b0833","216 Eckford St, Unit 4B")</f>
        <v>216 Eckford St, Unit 4B</v>
      </c>
      <c r="C2816" s="25" t="s">
        <v>364</v>
      </c>
      <c r="D2816" s="26" t="s">
        <v>23</v>
      </c>
      <c r="E2816" s="27" t="str">
        <f>HYPERLINK("https://www.compass.com/building/belvedere-xvi-brooklyn-ny/282416527150511797/","Belvedere XVI")</f>
        <v>Belvedere XVI</v>
      </c>
      <c r="F2816" s="25" t="s">
        <v>56</v>
      </c>
      <c r="G2816" s="28">
        <v>999000.0</v>
      </c>
      <c r="H2816" s="29"/>
      <c r="I2816" s="28">
        <v>413.0</v>
      </c>
      <c r="J2816" s="28">
        <v>276.0</v>
      </c>
      <c r="K2816" s="25" t="s">
        <v>28</v>
      </c>
      <c r="L2816" s="26">
        <v>4.0</v>
      </c>
      <c r="M2816" s="26">
        <v>2.0</v>
      </c>
      <c r="N2816" s="30"/>
      <c r="O2816" s="30"/>
      <c r="P2816" s="30"/>
      <c r="Q2816" s="31"/>
      <c r="R2816" s="32">
        <v>43698.0</v>
      </c>
      <c r="S2816" s="33"/>
      <c r="T2816" s="29"/>
      <c r="U2816" s="33"/>
      <c r="V2816" s="1"/>
    </row>
    <row r="2817" ht="24.0" customHeight="1">
      <c r="A2817" s="1"/>
      <c r="B2817" s="24" t="str">
        <f>HYPERLINK("https://www.compass.com/listing/137-guernsey-street-unit-2l-brooklyn-ny-11222/800867580742378801/view?agent_id=610d3f3370540700019b0833","137 Guernsey St, Unit 2L")</f>
        <v>137 Guernsey St, Unit 2L</v>
      </c>
      <c r="C2817" s="25" t="s">
        <v>364</v>
      </c>
      <c r="D2817" s="26" t="s">
        <v>23</v>
      </c>
      <c r="E2817" s="27" t="str">
        <f>HYPERLINK("https://www.compass.com/building/137-guernsey-st-brooklyn-ny-11222/282413899536490773/","137 Guernsey St")</f>
        <v>137 Guernsey St</v>
      </c>
      <c r="F2817" s="25" t="s">
        <v>56</v>
      </c>
      <c r="G2817" s="28">
        <v>1300000.0</v>
      </c>
      <c r="H2817" s="29"/>
      <c r="I2817" s="28">
        <v>600.0</v>
      </c>
      <c r="J2817" s="28">
        <v>0.0</v>
      </c>
      <c r="K2817" s="25" t="s">
        <v>25</v>
      </c>
      <c r="L2817" s="26">
        <v>5.0</v>
      </c>
      <c r="M2817" s="26">
        <v>2.0</v>
      </c>
      <c r="N2817" s="26">
        <v>1.0</v>
      </c>
      <c r="O2817" s="30"/>
      <c r="P2817" s="30"/>
      <c r="Q2817" s="35">
        <v>6.0</v>
      </c>
      <c r="R2817" s="32">
        <v>44573.0</v>
      </c>
      <c r="S2817" s="32">
        <v>44356.0</v>
      </c>
      <c r="T2817" s="29"/>
      <c r="U2817" s="33"/>
      <c r="V2817" s="1"/>
    </row>
    <row r="2818" ht="24.0" customHeight="1">
      <c r="A2818" s="1"/>
      <c r="B2818" s="24" t="str">
        <f>HYPERLINK("https://www.compass.com/listing/898-park-avenue-unit-4-manhattan-ny-10075/803316221709848961/view?agent_id=610d3f3370540700019b0833","898 Park Ave, Unit 4")</f>
        <v>898 Park Ave, Unit 4</v>
      </c>
      <c r="C2818" s="25" t="s">
        <v>370</v>
      </c>
      <c r="D2818" s="26" t="s">
        <v>23</v>
      </c>
      <c r="E2818" s="27" t="str">
        <f>HYPERLINK("https://www.compass.com/building/898-park-ave-manhattan-ny-10075/282045323931574853/","898 Park Ave")</f>
        <v>898 Park Ave</v>
      </c>
      <c r="F2818" s="25" t="s">
        <v>44</v>
      </c>
      <c r="G2818" s="28">
        <v>5175000.0</v>
      </c>
      <c r="H2818" s="29"/>
      <c r="I2818" s="28">
        <v>6091.0</v>
      </c>
      <c r="J2818" s="29"/>
      <c r="K2818" s="25" t="s">
        <v>25</v>
      </c>
      <c r="L2818" s="26">
        <v>5.0</v>
      </c>
      <c r="M2818" s="26">
        <v>2.0</v>
      </c>
      <c r="N2818" s="26">
        <v>0.0</v>
      </c>
      <c r="O2818" s="26">
        <v>0.0</v>
      </c>
      <c r="P2818" s="30"/>
      <c r="Q2818" s="35">
        <v>389.0</v>
      </c>
      <c r="R2818" s="32">
        <v>45636.0</v>
      </c>
      <c r="S2818" s="32">
        <v>41657.0</v>
      </c>
      <c r="T2818" s="29"/>
      <c r="U2818" s="33"/>
      <c r="V2818" s="1"/>
    </row>
    <row r="2819" ht="24.0" customHeight="1">
      <c r="A2819" s="1"/>
      <c r="B2819" s="24" t="str">
        <f>HYPERLINK("https://www.compass.com/listing/63-engert-avenue-unit-2-brooklyn-ny-11222/1838951895407221993/view?agent_id=610d3f3370540700019b0833","63 Engert Ave, Unit 2")</f>
        <v>63 Engert Ave, Unit 2</v>
      </c>
      <c r="C2819" s="25" t="s">
        <v>370</v>
      </c>
      <c r="D2819" s="26" t="s">
        <v>23</v>
      </c>
      <c r="E2819" s="27" t="str">
        <f>HYPERLINK("https://www.compass.com/building/63-engert-ave-brooklyn-ny-11222/293422620861335765/","63 Engert Ave")</f>
        <v>63 Engert Ave</v>
      </c>
      <c r="F2819" s="25" t="s">
        <v>56</v>
      </c>
      <c r="G2819" s="28">
        <v>1195000.0</v>
      </c>
      <c r="H2819" s="28">
        <v>1221.0</v>
      </c>
      <c r="I2819" s="28">
        <v>597.0</v>
      </c>
      <c r="J2819" s="28">
        <v>2400.0</v>
      </c>
      <c r="K2819" s="25" t="s">
        <v>28</v>
      </c>
      <c r="L2819" s="26">
        <v>4.0</v>
      </c>
      <c r="M2819" s="26">
        <v>2.0</v>
      </c>
      <c r="N2819" s="26">
        <v>1.0</v>
      </c>
      <c r="O2819" s="26">
        <v>0.0</v>
      </c>
      <c r="P2819" s="26">
        <v>979.0</v>
      </c>
      <c r="Q2819" s="35">
        <v>165.0</v>
      </c>
      <c r="R2819" s="32">
        <v>44581.0</v>
      </c>
      <c r="S2819" s="32">
        <v>44030.0</v>
      </c>
      <c r="T2819" s="29"/>
      <c r="U2819" s="33"/>
      <c r="V2819" s="1"/>
    </row>
    <row r="2820" ht="24.0" customHeight="1">
      <c r="A2820" s="1"/>
      <c r="B2820" s="24" t="str">
        <f>HYPERLINK("https://www.compass.com/listing/20-east-68th-street-unit-10f-manhattan-ny-10065/233814958389886433/view?agent_id=610d3f3370540700019b0833","20 E 68th St, Unit 10F")</f>
        <v>20 E 68th St, Unit 10F</v>
      </c>
      <c r="C2820" s="25" t="s">
        <v>364</v>
      </c>
      <c r="D2820" s="26" t="s">
        <v>23</v>
      </c>
      <c r="E2820" s="27" t="str">
        <f>HYPERLINK("https://www.compass.com/building/20-e-68th-st-manhattan-ny-10065/282037486371229525/","20 E 68th St")</f>
        <v>20 E 68th St</v>
      </c>
      <c r="F2820" s="25" t="s">
        <v>64</v>
      </c>
      <c r="G2820" s="28">
        <v>1479000.0</v>
      </c>
      <c r="H2820" s="28">
        <v>1341.0</v>
      </c>
      <c r="I2820" s="28">
        <v>2059.0</v>
      </c>
      <c r="J2820" s="29"/>
      <c r="K2820" s="25" t="s">
        <v>49</v>
      </c>
      <c r="L2820" s="26">
        <v>4.0</v>
      </c>
      <c r="M2820" s="26">
        <v>2.0</v>
      </c>
      <c r="N2820" s="26">
        <v>1.0</v>
      </c>
      <c r="O2820" s="26">
        <v>0.0</v>
      </c>
      <c r="P2820" s="34">
        <v>1103.0</v>
      </c>
      <c r="Q2820" s="35">
        <v>87.0</v>
      </c>
      <c r="R2820" s="32">
        <v>44581.0</v>
      </c>
      <c r="S2820" s="32">
        <v>43574.0</v>
      </c>
      <c r="T2820" s="29"/>
      <c r="U2820" s="33"/>
      <c r="V2820" s="1"/>
    </row>
    <row r="2821" ht="24.0" customHeight="1">
      <c r="A2821" s="1"/>
      <c r="B2821" s="24" t="str">
        <f>HYPERLINK("https://www.compass.com/listing/795-5th-avenue-unit-2811-manhattan-ny-10065/1809602354085461825/view?agent_id=610d3f3370540700019b0833","795 5th Ave, Unit 2811")</f>
        <v>795 5th Ave, Unit 2811</v>
      </c>
      <c r="C2821" s="25" t="s">
        <v>364</v>
      </c>
      <c r="D2821" s="26" t="s">
        <v>23</v>
      </c>
      <c r="E2821" s="27" t="str">
        <f t="shared" ref="E2821:E2822" si="76">HYPERLINK("https://www.compass.com/building/the-pierre-manhattan-ny/282058646743974949/","The Pierre")</f>
        <v>The Pierre</v>
      </c>
      <c r="F2821" s="25" t="s">
        <v>64</v>
      </c>
      <c r="G2821" s="28">
        <v>7950000.0</v>
      </c>
      <c r="H2821" s="29"/>
      <c r="I2821" s="28">
        <v>8330.0</v>
      </c>
      <c r="J2821" s="29"/>
      <c r="K2821" s="25" t="s">
        <v>25</v>
      </c>
      <c r="L2821" s="26">
        <v>5.0</v>
      </c>
      <c r="M2821" s="26">
        <v>2.0</v>
      </c>
      <c r="N2821" s="26">
        <v>0.0</v>
      </c>
      <c r="O2821" s="26">
        <v>0.0</v>
      </c>
      <c r="P2821" s="30"/>
      <c r="Q2821" s="35">
        <v>0.0</v>
      </c>
      <c r="R2821" s="32">
        <v>44581.0</v>
      </c>
      <c r="S2821" s="32">
        <v>43241.0</v>
      </c>
      <c r="T2821" s="29"/>
      <c r="U2821" s="33"/>
      <c r="V2821" s="1"/>
    </row>
    <row r="2822" ht="24.0" customHeight="1">
      <c r="A2822" s="1"/>
      <c r="B2822" s="24" t="str">
        <f>HYPERLINK("https://www.compass.com/listing/795-5th-avenue-unit-2811-manhattan-ny-10065/1838990459741838633/view?agent_id=610d3f3370540700019b0833","795 5th Ave, Unit 2811")</f>
        <v>795 5th Ave, Unit 2811</v>
      </c>
      <c r="C2822" s="25" t="s">
        <v>364</v>
      </c>
      <c r="D2822" s="26" t="s">
        <v>23</v>
      </c>
      <c r="E2822" s="27" t="str">
        <f t="shared" si="76"/>
        <v>The Pierre</v>
      </c>
      <c r="F2822" s="25" t="s">
        <v>64</v>
      </c>
      <c r="G2822" s="28">
        <v>7950000.0</v>
      </c>
      <c r="H2822" s="29"/>
      <c r="I2822" s="28">
        <v>8330.0</v>
      </c>
      <c r="J2822" s="29"/>
      <c r="K2822" s="25" t="s">
        <v>25</v>
      </c>
      <c r="L2822" s="26">
        <v>5.0</v>
      </c>
      <c r="M2822" s="26">
        <v>2.0</v>
      </c>
      <c r="N2822" s="26">
        <v>0.0</v>
      </c>
      <c r="O2822" s="26">
        <v>0.0</v>
      </c>
      <c r="P2822" s="30"/>
      <c r="Q2822" s="35">
        <v>424.0</v>
      </c>
      <c r="R2822" s="32">
        <v>44581.0</v>
      </c>
      <c r="S2822" s="32">
        <v>41250.0</v>
      </c>
      <c r="T2822" s="29"/>
      <c r="U2822" s="33"/>
      <c r="V2822" s="1"/>
    </row>
    <row r="2823" ht="24.0" customHeight="1">
      <c r="A2823" s="1"/>
      <c r="B2823" s="24" t="str">
        <f>HYPERLINK("https://www.compass.com/listing/243-west-60th-street-unit-4b-manhattan-ny-10023/4852267049319141569/view?agent_id=610d3f3370540700019b0833","243 W 60th St, Unit 4B")</f>
        <v>243 W 60th St, Unit 4B</v>
      </c>
      <c r="C2823" s="25" t="s">
        <v>364</v>
      </c>
      <c r="D2823" s="26" t="s">
        <v>23</v>
      </c>
      <c r="E2823" s="27" t="str">
        <f>HYPERLINK("https://www.compass.com/building/adagio-manhattan-ny/281958830043112405/","Adagio")</f>
        <v>Adagio</v>
      </c>
      <c r="F2823" s="25" t="s">
        <v>29</v>
      </c>
      <c r="G2823" s="28">
        <v>2649000.0</v>
      </c>
      <c r="H2823" s="28">
        <v>1574.0</v>
      </c>
      <c r="I2823" s="28">
        <v>2911.0</v>
      </c>
      <c r="J2823" s="28">
        <v>10584.0</v>
      </c>
      <c r="K2823" s="25" t="s">
        <v>28</v>
      </c>
      <c r="L2823" s="26">
        <v>4.0</v>
      </c>
      <c r="M2823" s="26">
        <v>2.0</v>
      </c>
      <c r="N2823" s="26">
        <v>0.0</v>
      </c>
      <c r="O2823" s="26">
        <v>0.0</v>
      </c>
      <c r="P2823" s="34">
        <v>1683.0</v>
      </c>
      <c r="Q2823" s="35">
        <v>91.0</v>
      </c>
      <c r="R2823" s="32">
        <v>45636.0</v>
      </c>
      <c r="S2823" s="32">
        <v>42390.0</v>
      </c>
      <c r="T2823" s="29"/>
      <c r="U2823" s="33"/>
      <c r="V2823" s="1"/>
    </row>
    <row r="2824" ht="24.0" customHeight="1">
      <c r="A2824" s="1"/>
      <c r="B2824" s="24" t="str">
        <f>HYPERLINK("https://www.compass.com/listing/40-ocean-parkway-unit-3d-brooklyn-ny-11218/876798705212988625/view?agent_id=610d3f3370540700019b0833","40 Ocean Pkwy, Unit 3D")</f>
        <v>40 Ocean Pkwy, Unit 3D</v>
      </c>
      <c r="C2824" s="25" t="s">
        <v>365</v>
      </c>
      <c r="D2824" s="26" t="s">
        <v>23</v>
      </c>
      <c r="E2824" s="27" t="str">
        <f>HYPERLINK("https://www.compass.com/building/40-ocean-pkwy-brooklyn-ny-11218/307452333071621861/","40 Ocean Pkwy")</f>
        <v>40 Ocean Pkwy</v>
      </c>
      <c r="F2824" s="25" t="s">
        <v>106</v>
      </c>
      <c r="G2824" s="28">
        <v>975000.0</v>
      </c>
      <c r="H2824" s="28">
        <v>786.0</v>
      </c>
      <c r="I2824" s="28">
        <v>863.0</v>
      </c>
      <c r="J2824" s="28">
        <v>0.0</v>
      </c>
      <c r="K2824" s="25" t="s">
        <v>25</v>
      </c>
      <c r="L2824" s="26">
        <v>6.0</v>
      </c>
      <c r="M2824" s="26">
        <v>2.0</v>
      </c>
      <c r="N2824" s="26">
        <v>1.0</v>
      </c>
      <c r="O2824" s="30"/>
      <c r="P2824" s="34">
        <v>1240.0</v>
      </c>
      <c r="Q2824" s="35">
        <v>13.0</v>
      </c>
      <c r="R2824" s="32">
        <v>44474.0</v>
      </c>
      <c r="S2824" s="32">
        <v>44461.0</v>
      </c>
      <c r="T2824" s="29"/>
      <c r="U2824" s="33"/>
      <c r="V2824" s="1"/>
    </row>
    <row r="2825" ht="24.0" customHeight="1">
      <c r="A2825" s="1"/>
      <c r="B2825" s="24" t="str">
        <f>HYPERLINK("https://www.compass.com/listing/149-eckford-street-unit-2-brooklyn-ny-11222/887129431154776337/view?agent_id=610d3f3370540700019b0833","149 Eckford St, Unit 2")</f>
        <v>149 Eckford St, Unit 2</v>
      </c>
      <c r="C2825" s="25" t="s">
        <v>364</v>
      </c>
      <c r="D2825" s="26" t="s">
        <v>23</v>
      </c>
      <c r="E2825" s="27" t="str">
        <f>HYPERLINK("https://www.compass.com/building/149-eckford-st-brooklyn-ny-11222/282408436556188021/","149 Eckford St")</f>
        <v>149 Eckford St</v>
      </c>
      <c r="F2825" s="25" t="s">
        <v>56</v>
      </c>
      <c r="G2825" s="28">
        <v>2700000.0</v>
      </c>
      <c r="H2825" s="28">
        <v>3375.0</v>
      </c>
      <c r="I2825" s="28">
        <v>860.0</v>
      </c>
      <c r="J2825" s="28">
        <v>264.0</v>
      </c>
      <c r="K2825" s="25" t="s">
        <v>28</v>
      </c>
      <c r="L2825" s="26">
        <v>4.0</v>
      </c>
      <c r="M2825" s="26">
        <v>2.0</v>
      </c>
      <c r="N2825" s="26">
        <v>1.0</v>
      </c>
      <c r="O2825" s="26">
        <v>0.0</v>
      </c>
      <c r="P2825" s="26">
        <v>800.0</v>
      </c>
      <c r="Q2825" s="35">
        <v>1968.0</v>
      </c>
      <c r="R2825" s="32">
        <v>44581.0</v>
      </c>
      <c r="S2825" s="32">
        <v>42612.0</v>
      </c>
      <c r="T2825" s="29"/>
      <c r="U2825" s="33"/>
      <c r="V2825" s="1"/>
    </row>
    <row r="2826" ht="24.0" customHeight="1">
      <c r="A2826" s="1"/>
      <c r="B2826" s="24" t="str">
        <f>HYPERLINK("https://www.compass.com/listing/79-clay-street-unit-1f-brooklyn-ny-11222/702730570414941201/view?agent_id=610d3f3370540700019b0833","79 Clay St, Unit 1F")</f>
        <v>79 Clay St, Unit 1F</v>
      </c>
      <c r="C2826" s="25" t="s">
        <v>364</v>
      </c>
      <c r="D2826" s="26" t="s">
        <v>23</v>
      </c>
      <c r="E2826" s="27" t="str">
        <f>HYPERLINK("https://www.compass.com/building/79-clay-st-brooklyn-ny-11222/282421015307454565/","79 Clay St")</f>
        <v>79 Clay St</v>
      </c>
      <c r="F2826" s="25" t="s">
        <v>56</v>
      </c>
      <c r="G2826" s="28">
        <v>875000.0</v>
      </c>
      <c r="H2826" s="28">
        <v>1090.0</v>
      </c>
      <c r="I2826" s="28">
        <v>901.0</v>
      </c>
      <c r="J2826" s="28">
        <v>8448.0</v>
      </c>
      <c r="K2826" s="25" t="s">
        <v>28</v>
      </c>
      <c r="L2826" s="26">
        <v>4.0</v>
      </c>
      <c r="M2826" s="26">
        <v>2.0</v>
      </c>
      <c r="N2826" s="26">
        <v>1.0</v>
      </c>
      <c r="O2826" s="30"/>
      <c r="P2826" s="26">
        <v>803.0</v>
      </c>
      <c r="Q2826" s="35">
        <v>140.0</v>
      </c>
      <c r="R2826" s="32">
        <v>44370.0</v>
      </c>
      <c r="S2826" s="32">
        <v>44230.0</v>
      </c>
      <c r="T2826" s="29"/>
      <c r="U2826" s="33"/>
      <c r="V2826" s="1"/>
    </row>
    <row r="2827" ht="24.0" customHeight="1">
      <c r="A2827" s="1"/>
      <c r="B2827" s="24" t="str">
        <f>HYPERLINK("https://www.compass.com/listing/75-east-end-avenue-unit-5h-manhattan-ny-10028/803304091220224145/view?agent_id=610d3f3370540700019b0833","75 E End Ave, Unit 5H")</f>
        <v>75 E End Ave, Unit 5H</v>
      </c>
      <c r="C2827" s="25" t="s">
        <v>364</v>
      </c>
      <c r="D2827" s="26" t="s">
        <v>23</v>
      </c>
      <c r="E2827" s="27" t="str">
        <f>HYPERLINK("https://www.compass.com/building/75-e-end-ave-manhattan-ny-10028/281987841070835077/","75 E End Ave")</f>
        <v>75 E End Ave</v>
      </c>
      <c r="F2827" s="25" t="s">
        <v>44</v>
      </c>
      <c r="G2827" s="28">
        <v>1425000.0</v>
      </c>
      <c r="H2827" s="29"/>
      <c r="I2827" s="28">
        <v>2157.0</v>
      </c>
      <c r="J2827" s="29"/>
      <c r="K2827" s="25" t="s">
        <v>25</v>
      </c>
      <c r="L2827" s="26">
        <v>4.0</v>
      </c>
      <c r="M2827" s="26">
        <v>2.0</v>
      </c>
      <c r="N2827" s="26">
        <v>0.0</v>
      </c>
      <c r="O2827" s="26">
        <v>0.0</v>
      </c>
      <c r="P2827" s="30"/>
      <c r="Q2827" s="35">
        <v>2.0</v>
      </c>
      <c r="R2827" s="32">
        <v>44581.0</v>
      </c>
      <c r="S2827" s="32">
        <v>42976.0</v>
      </c>
      <c r="T2827" s="29"/>
      <c r="U2827" s="33"/>
      <c r="V2827" s="1"/>
    </row>
    <row r="2828" ht="24.0" customHeight="1">
      <c r="A2828" s="1"/>
      <c r="B2828" s="24" t="str">
        <f>HYPERLINK("https://www.compass.com/listing/940-park-avenue-unit-4-b-manhattan-ny-10028/921112345535480961/view?agent_id=610d3f3370540700019b0833","940 Park Ave, Unit 4/B")</f>
        <v>940 Park Ave, Unit 4/B</v>
      </c>
      <c r="C2828" s="25" t="s">
        <v>364</v>
      </c>
      <c r="D2828" s="26" t="s">
        <v>23</v>
      </c>
      <c r="E2828" s="27" t="str">
        <f>HYPERLINK("https://www.compass.com/building/940-park-ave-manhattan-ny-10028/281927002758357877/","940 Park Ave")</f>
        <v>940 Park Ave</v>
      </c>
      <c r="F2828" s="25" t="s">
        <v>44</v>
      </c>
      <c r="G2828" s="28">
        <v>1940000.0</v>
      </c>
      <c r="H2828" s="28">
        <v>1268.0</v>
      </c>
      <c r="I2828" s="28">
        <v>3302.0</v>
      </c>
      <c r="J2828" s="29"/>
      <c r="K2828" s="25" t="s">
        <v>25</v>
      </c>
      <c r="L2828" s="26">
        <v>5.0</v>
      </c>
      <c r="M2828" s="26">
        <v>2.0</v>
      </c>
      <c r="N2828" s="26">
        <v>0.0</v>
      </c>
      <c r="O2828" s="26">
        <v>0.0</v>
      </c>
      <c r="P2828" s="34">
        <v>1530.0</v>
      </c>
      <c r="Q2828" s="35">
        <v>166.0</v>
      </c>
      <c r="R2828" s="32">
        <v>44581.0</v>
      </c>
      <c r="S2828" s="32">
        <v>42132.0</v>
      </c>
      <c r="T2828" s="29"/>
      <c r="U2828" s="33"/>
      <c r="V2828" s="1"/>
    </row>
    <row r="2829" ht="24.0" customHeight="1">
      <c r="A2829" s="1"/>
      <c r="B2829" s="24" t="str">
        <f>HYPERLINK("https://www.compass.com/listing/898-park-avenue-unit-4-manhattan-ny-10075/1838909633339531257/view?agent_id=610d3f3370540700019b0833","898 Park Ave, Unit 4")</f>
        <v>898 Park Ave, Unit 4</v>
      </c>
      <c r="C2829" s="25" t="s">
        <v>364</v>
      </c>
      <c r="D2829" s="26" t="s">
        <v>23</v>
      </c>
      <c r="E2829" s="27" t="str">
        <f>HYPERLINK("https://www.compass.com/building/898-park-ave-manhattan-ny-10075/282045323931574853/","898 Park Ave")</f>
        <v>898 Park Ave</v>
      </c>
      <c r="F2829" s="25" t="s">
        <v>44</v>
      </c>
      <c r="G2829" s="28">
        <v>5095000.0</v>
      </c>
      <c r="H2829" s="29"/>
      <c r="I2829" s="28">
        <v>6091.0</v>
      </c>
      <c r="J2829" s="29"/>
      <c r="K2829" s="25" t="s">
        <v>25</v>
      </c>
      <c r="L2829" s="26">
        <v>5.0</v>
      </c>
      <c r="M2829" s="26">
        <v>2.0</v>
      </c>
      <c r="N2829" s="26">
        <v>0.0</v>
      </c>
      <c r="O2829" s="26">
        <v>1.0</v>
      </c>
      <c r="P2829" s="30"/>
      <c r="Q2829" s="31"/>
      <c r="R2829" s="32">
        <v>44581.0</v>
      </c>
      <c r="S2829" s="33"/>
      <c r="T2829" s="29"/>
      <c r="U2829" s="33"/>
      <c r="V2829" s="1"/>
    </row>
    <row r="2830" ht="24.0" customHeight="1">
      <c r="A2830" s="1"/>
      <c r="B2830" s="24" t="str">
        <f>HYPERLINK("https://www.compass.com/listing/425-east-63rd-street-unit-e7a-manhattan-ny-10065/1794485227727757865/view?agent_id=610d3f3370540700019b0833","425 E 63rd St, Unit E7A")</f>
        <v>425 E 63rd St, Unit E7A</v>
      </c>
      <c r="C2830" s="25" t="s">
        <v>365</v>
      </c>
      <c r="D2830" s="26" t="s">
        <v>23</v>
      </c>
      <c r="E2830" s="27" t="str">
        <f>HYPERLINK("https://www.compass.com/building/royal-york-manhattan-ny/282059028794735573/","Royal York")</f>
        <v>Royal York</v>
      </c>
      <c r="F2830" s="25" t="s">
        <v>64</v>
      </c>
      <c r="G2830" s="28">
        <v>749000.0</v>
      </c>
      <c r="H2830" s="29"/>
      <c r="I2830" s="28">
        <v>1708.0</v>
      </c>
      <c r="J2830" s="28">
        <v>0.0</v>
      </c>
      <c r="K2830" s="25" t="s">
        <v>25</v>
      </c>
      <c r="L2830" s="26">
        <v>4.0</v>
      </c>
      <c r="M2830" s="26">
        <v>2.0</v>
      </c>
      <c r="N2830" s="26">
        <v>1.0</v>
      </c>
      <c r="O2830" s="30"/>
      <c r="P2830" s="30"/>
      <c r="Q2830" s="35">
        <v>87.0</v>
      </c>
      <c r="R2830" s="32">
        <v>45822.0</v>
      </c>
      <c r="S2830" s="32">
        <v>45734.0</v>
      </c>
      <c r="T2830" s="29"/>
      <c r="U2830" s="33"/>
      <c r="V2830" s="1"/>
    </row>
    <row r="2831" ht="24.0" customHeight="1">
      <c r="A2831" s="1"/>
      <c r="B2831" s="24" t="str">
        <f>HYPERLINK("https://www.compass.com/listing/460-manhattan-avenue-unit-3a-brooklyn-ny-11222/29486042826477233/view?agent_id=610d3f3370540700019b0833","460 Manhattan Ave, Unit 3A")</f>
        <v>460 Manhattan Ave, Unit 3A</v>
      </c>
      <c r="C2831" s="25" t="s">
        <v>364</v>
      </c>
      <c r="D2831" s="26" t="s">
        <v>23</v>
      </c>
      <c r="E2831" s="27" t="str">
        <f>HYPERLINK("https://www.compass.com/building/manhattan-avenue-condominiums-brooklyn-ny/293419471727555749/","Manhattan Avenue Condominiums")</f>
        <v>Manhattan Avenue Condominiums</v>
      </c>
      <c r="F2831" s="25" t="s">
        <v>56</v>
      </c>
      <c r="G2831" s="28">
        <v>1375000.0</v>
      </c>
      <c r="H2831" s="28">
        <v>1198.0</v>
      </c>
      <c r="I2831" s="28">
        <v>586.0</v>
      </c>
      <c r="J2831" s="28">
        <v>480.0</v>
      </c>
      <c r="K2831" s="25" t="s">
        <v>28</v>
      </c>
      <c r="L2831" s="26">
        <v>4.0</v>
      </c>
      <c r="M2831" s="26">
        <v>2.0</v>
      </c>
      <c r="N2831" s="26">
        <v>0.0</v>
      </c>
      <c r="O2831" s="26">
        <v>0.0</v>
      </c>
      <c r="P2831" s="34">
        <v>1148.0</v>
      </c>
      <c r="Q2831" s="35">
        <v>77.0</v>
      </c>
      <c r="R2831" s="32">
        <v>45636.0</v>
      </c>
      <c r="S2831" s="32">
        <v>42492.0</v>
      </c>
      <c r="T2831" s="29"/>
      <c r="U2831" s="33"/>
      <c r="V2831" s="1"/>
    </row>
    <row r="2832" ht="24.0" customHeight="1">
      <c r="A2832" s="1"/>
      <c r="B2832" s="24" t="str">
        <f>HYPERLINK("https://www.compass.com/listing/215-east-24th-street-unit-116-manhattan-ny-10010/50842624478771377/view?agent_id=610d3f3370540700019b0833","215 E 24th St, Unit 116")</f>
        <v>215 E 24th St, Unit 116</v>
      </c>
      <c r="C2832" s="25" t="s">
        <v>370</v>
      </c>
      <c r="D2832" s="26" t="s">
        <v>23</v>
      </c>
      <c r="E2832" s="27" t="str">
        <f>HYPERLINK("https://www.compass.com/building/penny-lane-manhattan-ny/292796099805075477/","Penny Lane")</f>
        <v>Penny Lane</v>
      </c>
      <c r="F2832" s="25" t="s">
        <v>107</v>
      </c>
      <c r="G2832" s="28">
        <v>850000.0</v>
      </c>
      <c r="H2832" s="29"/>
      <c r="I2832" s="28">
        <v>1736.0</v>
      </c>
      <c r="J2832" s="29"/>
      <c r="K2832" s="25" t="s">
        <v>25</v>
      </c>
      <c r="L2832" s="26">
        <v>4.0</v>
      </c>
      <c r="M2832" s="26">
        <v>2.0</v>
      </c>
      <c r="N2832" s="26">
        <v>0.0</v>
      </c>
      <c r="O2832" s="26">
        <v>0.0</v>
      </c>
      <c r="P2832" s="30"/>
      <c r="Q2832" s="35">
        <v>134.0</v>
      </c>
      <c r="R2832" s="32">
        <v>45636.0</v>
      </c>
      <c r="S2832" s="32">
        <v>42766.0</v>
      </c>
      <c r="T2832" s="29"/>
      <c r="U2832" s="33"/>
      <c r="V2832" s="1"/>
    </row>
    <row r="2833" ht="24.0" customHeight="1">
      <c r="A2833" s="1"/>
      <c r="B2833" s="24" t="str">
        <f>HYPERLINK("https://www.compass.com/listing/201-east-25th-street-unit-18a-manhattan-ny-10010/29519842298040881/view?agent_id=610d3f3370540700019b0833","201 E 25th St, Unit 18A")</f>
        <v>201 E 25th St, Unit 18A</v>
      </c>
      <c r="C2833" s="25" t="s">
        <v>364</v>
      </c>
      <c r="D2833" s="26" t="s">
        <v>23</v>
      </c>
      <c r="E2833" s="27" t="str">
        <f>HYPERLINK("https://www.compass.com/building/the-peter-james-manhattan-ny/281902037824716101/","The Peter James")</f>
        <v>The Peter James</v>
      </c>
      <c r="F2833" s="25" t="s">
        <v>107</v>
      </c>
      <c r="G2833" s="28">
        <v>1349000.0</v>
      </c>
      <c r="H2833" s="29"/>
      <c r="I2833" s="28">
        <v>3185.0</v>
      </c>
      <c r="J2833" s="28">
        <v>0.0</v>
      </c>
      <c r="K2833" s="25" t="s">
        <v>25</v>
      </c>
      <c r="L2833" s="26">
        <v>4.0</v>
      </c>
      <c r="M2833" s="26">
        <v>2.0</v>
      </c>
      <c r="N2833" s="26">
        <v>1.0</v>
      </c>
      <c r="O2833" s="26">
        <v>0.0</v>
      </c>
      <c r="P2833" s="30"/>
      <c r="Q2833" s="35">
        <v>534.0</v>
      </c>
      <c r="R2833" s="32">
        <v>43789.0</v>
      </c>
      <c r="S2833" s="32">
        <v>43255.0</v>
      </c>
      <c r="T2833" s="29"/>
      <c r="U2833" s="33"/>
      <c r="V2833" s="1"/>
    </row>
    <row r="2834" ht="24.0" customHeight="1">
      <c r="A2834" s="1"/>
      <c r="B2834" s="24" t="str">
        <f>HYPERLINK("https://www.compass.com/listing/229-east-24th-street-unit-9r-manhattan-ny-10010/4852324675264454609/view?agent_id=610d3f3370540700019b0833","229 E 24th St, Unit 9R")</f>
        <v>229 E 24th St, Unit 9R</v>
      </c>
      <c r="C2834" s="25" t="s">
        <v>370</v>
      </c>
      <c r="D2834" s="26" t="s">
        <v>23</v>
      </c>
      <c r="E2834" s="27" t="str">
        <f>HYPERLINK("https://www.compass.com/building/229-e-24th-st-manhattan-ny-10010/281902368495255205/","229 E 24th St")</f>
        <v>229 E 24th St</v>
      </c>
      <c r="F2834" s="25" t="s">
        <v>107</v>
      </c>
      <c r="G2834" s="28">
        <v>765000.0</v>
      </c>
      <c r="H2834" s="28">
        <v>1530.0</v>
      </c>
      <c r="I2834" s="28">
        <v>983.0</v>
      </c>
      <c r="J2834" s="28">
        <v>8472.0</v>
      </c>
      <c r="K2834" s="25" t="s">
        <v>28</v>
      </c>
      <c r="L2834" s="26">
        <v>3.0</v>
      </c>
      <c r="M2834" s="26">
        <v>2.0</v>
      </c>
      <c r="N2834" s="26">
        <v>0.0</v>
      </c>
      <c r="O2834" s="26">
        <v>0.0</v>
      </c>
      <c r="P2834" s="26">
        <v>500.0</v>
      </c>
      <c r="Q2834" s="35">
        <v>0.0</v>
      </c>
      <c r="R2834" s="32">
        <v>44581.0</v>
      </c>
      <c r="S2834" s="32">
        <v>42235.0</v>
      </c>
      <c r="T2834" s="29"/>
      <c r="U2834" s="33"/>
      <c r="V2834" s="1"/>
    </row>
    <row r="2835" ht="24.0" customHeight="1">
      <c r="A2835" s="1"/>
      <c r="B2835" s="24" t="str">
        <f>HYPERLINK("https://www.compass.com/listing/199-huron-street-unit-1a-brooklyn-ny-11222/1140737330766710449/view?agent_id=610d3f3370540700019b0833","199 Huron St, Unit 1A")</f>
        <v>199 Huron St, Unit 1A</v>
      </c>
      <c r="C2835" s="25" t="s">
        <v>370</v>
      </c>
      <c r="D2835" s="26" t="s">
        <v>23</v>
      </c>
      <c r="E2835" s="27" t="str">
        <f>HYPERLINK("https://www.compass.com/building/199-huron-st-brooklyn-ny-11222/282415289461731365/","199 Huron St")</f>
        <v>199 Huron St</v>
      </c>
      <c r="F2835" s="25" t="s">
        <v>56</v>
      </c>
      <c r="G2835" s="28">
        <v>925000.0</v>
      </c>
      <c r="H2835" s="29"/>
      <c r="I2835" s="28">
        <v>423.0</v>
      </c>
      <c r="J2835" s="28">
        <v>660.0</v>
      </c>
      <c r="K2835" s="25" t="s">
        <v>28</v>
      </c>
      <c r="L2835" s="26">
        <v>3.0</v>
      </c>
      <c r="M2835" s="26">
        <v>2.0</v>
      </c>
      <c r="N2835" s="26">
        <v>1.0</v>
      </c>
      <c r="O2835" s="30"/>
      <c r="P2835" s="30"/>
      <c r="Q2835" s="35">
        <v>151.0</v>
      </c>
      <c r="R2835" s="32">
        <v>44976.0</v>
      </c>
      <c r="S2835" s="32">
        <v>44825.0</v>
      </c>
      <c r="T2835" s="29"/>
      <c r="U2835" s="33"/>
      <c r="V2835" s="1"/>
    </row>
    <row r="2836" ht="24.0" customHeight="1">
      <c r="A2836" s="1"/>
      <c r="B2836" s="24" t="str">
        <f>HYPERLINK("https://www.compass.com/listing/330-south-3rd-street-unit-6-brooklyn-ny-11211/920271878585117241/view?agent_id=610d3f3370540700019b0833","330 S 3rd St, Unit 6")</f>
        <v>330 S 3rd St, Unit 6</v>
      </c>
      <c r="C2836" s="25" t="s">
        <v>364</v>
      </c>
      <c r="D2836" s="26" t="s">
        <v>23</v>
      </c>
      <c r="E2836" s="27" t="str">
        <f>HYPERLINK("https://www.compass.com/building/330-s-3rd-st-brooklyn-ny-11211/282400297752531749/","330 S 3rd St")</f>
        <v>330 S 3rd St</v>
      </c>
      <c r="F2836" s="25" t="s">
        <v>46</v>
      </c>
      <c r="G2836" s="28">
        <v>250000.0</v>
      </c>
      <c r="H2836" s="29"/>
      <c r="I2836" s="28">
        <v>704.0</v>
      </c>
      <c r="J2836" s="29"/>
      <c r="K2836" s="25" t="s">
        <v>25</v>
      </c>
      <c r="L2836" s="26">
        <v>4.0</v>
      </c>
      <c r="M2836" s="26">
        <v>2.0</v>
      </c>
      <c r="N2836" s="26">
        <v>1.0</v>
      </c>
      <c r="O2836" s="26">
        <v>0.0</v>
      </c>
      <c r="P2836" s="30"/>
      <c r="Q2836" s="35">
        <v>77.0</v>
      </c>
      <c r="R2836" s="32">
        <v>45636.0</v>
      </c>
      <c r="S2836" s="32">
        <v>42009.0</v>
      </c>
      <c r="T2836" s="29"/>
      <c r="U2836" s="33"/>
      <c r="V2836" s="1"/>
    </row>
    <row r="2837" ht="24.0" customHeight="1">
      <c r="A2837" s="1"/>
      <c r="B2837" s="24" t="str">
        <f>HYPERLINK("https://www.compass.com/listing/79-clay-street-unit-4r-brooklyn-ny-11222/1023100039185548057/view?agent_id=610d3f3370540700019b0833","79 Clay St, Unit 4R")</f>
        <v>79 Clay St, Unit 4R</v>
      </c>
      <c r="C2837" s="25" t="s">
        <v>364</v>
      </c>
      <c r="D2837" s="26" t="s">
        <v>23</v>
      </c>
      <c r="E2837" s="27" t="str">
        <f>HYPERLINK("https://www.compass.com/building/79-clay-st-brooklyn-ny-11222/282421015307454565/","79 Clay St")</f>
        <v>79 Clay St</v>
      </c>
      <c r="F2837" s="25" t="s">
        <v>56</v>
      </c>
      <c r="G2837" s="28">
        <v>1290000.0</v>
      </c>
      <c r="H2837" s="28">
        <v>1362.0</v>
      </c>
      <c r="I2837" s="28">
        <v>1359.0</v>
      </c>
      <c r="J2837" s="28">
        <v>12216.0</v>
      </c>
      <c r="K2837" s="25" t="s">
        <v>28</v>
      </c>
      <c r="L2837" s="26">
        <v>4.0</v>
      </c>
      <c r="M2837" s="26">
        <v>2.0</v>
      </c>
      <c r="N2837" s="26">
        <v>1.0</v>
      </c>
      <c r="O2837" s="26">
        <v>0.0</v>
      </c>
      <c r="P2837" s="26">
        <v>947.0</v>
      </c>
      <c r="Q2837" s="35">
        <v>84.0</v>
      </c>
      <c r="R2837" s="32">
        <v>44747.0</v>
      </c>
      <c r="S2837" s="32">
        <v>44663.0</v>
      </c>
      <c r="T2837" s="29"/>
      <c r="U2837" s="33"/>
      <c r="V2837" s="1"/>
    </row>
    <row r="2838" ht="24.0" customHeight="1">
      <c r="A2838" s="1"/>
      <c r="B2838" s="24" t="str">
        <f>HYPERLINK("https://www.compass.com/listing/202-seeley-street-unit-4e-brooklyn-ny-11218/1135611662973148889/view?agent_id=610d3f3370540700019b0833","202 Seeley St, Unit 4E")</f>
        <v>202 Seeley St, Unit 4E</v>
      </c>
      <c r="C2838" s="25" t="s">
        <v>364</v>
      </c>
      <c r="D2838" s="26" t="s">
        <v>23</v>
      </c>
      <c r="E2838" s="27" t="str">
        <f>HYPERLINK("https://www.compass.com/building/202-seeley-st-brooklyn-ny-11218/293534716253040933/","202 Seeley St")</f>
        <v>202 Seeley St</v>
      </c>
      <c r="F2838" s="25" t="s">
        <v>106</v>
      </c>
      <c r="G2838" s="28">
        <v>995000.0</v>
      </c>
      <c r="H2838" s="29"/>
      <c r="I2838" s="28">
        <v>1042.0</v>
      </c>
      <c r="J2838" s="28">
        <v>0.0</v>
      </c>
      <c r="K2838" s="25" t="s">
        <v>25</v>
      </c>
      <c r="L2838" s="26">
        <v>4.0</v>
      </c>
      <c r="M2838" s="26">
        <v>2.0</v>
      </c>
      <c r="N2838" s="26">
        <v>1.0</v>
      </c>
      <c r="O2838" s="30"/>
      <c r="P2838" s="30"/>
      <c r="Q2838" s="35">
        <v>69.0</v>
      </c>
      <c r="R2838" s="32">
        <v>44888.0</v>
      </c>
      <c r="S2838" s="32">
        <v>44818.0</v>
      </c>
      <c r="T2838" s="29"/>
      <c r="U2838" s="33"/>
      <c r="V2838" s="1"/>
    </row>
    <row r="2839" ht="24.0" customHeight="1">
      <c r="A2839" s="1"/>
      <c r="B2839" s="24" t="str">
        <f>HYPERLINK("https://www.compass.com/listing/687-leonard-street-unit-4b-brooklyn-ny-11222/29485540449461585/view?agent_id=610d3f3370540700019b0833","687 Leonard St, Unit 4B")</f>
        <v>687 Leonard St, Unit 4B</v>
      </c>
      <c r="C2839" s="25" t="s">
        <v>370</v>
      </c>
      <c r="D2839" s="26" t="s">
        <v>23</v>
      </c>
      <c r="E2839" s="27" t="str">
        <f>HYPERLINK("https://www.compass.com/building/belvedere-i-brooklyn-ny/282411780154678469/","Belvedere I")</f>
        <v>Belvedere I</v>
      </c>
      <c r="F2839" s="25" t="s">
        <v>56</v>
      </c>
      <c r="G2839" s="28">
        <v>1425000.0</v>
      </c>
      <c r="H2839" s="29"/>
      <c r="I2839" s="28">
        <v>433.0</v>
      </c>
      <c r="J2839" s="28">
        <v>636.0</v>
      </c>
      <c r="K2839" s="25" t="s">
        <v>28</v>
      </c>
      <c r="L2839" s="26">
        <v>4.0</v>
      </c>
      <c r="M2839" s="26">
        <v>2.0</v>
      </c>
      <c r="N2839" s="26">
        <v>0.0</v>
      </c>
      <c r="O2839" s="26">
        <v>0.0</v>
      </c>
      <c r="P2839" s="30"/>
      <c r="Q2839" s="35">
        <v>114.0</v>
      </c>
      <c r="R2839" s="32">
        <v>45636.0</v>
      </c>
      <c r="S2839" s="32">
        <v>42168.0</v>
      </c>
      <c r="T2839" s="29"/>
      <c r="U2839" s="33"/>
      <c r="V2839" s="1"/>
    </row>
    <row r="2840" ht="24.0" customHeight="1">
      <c r="A2840" s="1"/>
      <c r="B2840" s="24" t="str">
        <f>HYPERLINK("https://www.compass.com/listing/975-park-avenue-unit-14d-manhattan-ny-10028/1838978058166291401/view?agent_id=610d3f3370540700019b0833","975 Park Ave, Unit 14D")</f>
        <v>975 Park Ave, Unit 14D</v>
      </c>
      <c r="C2840" s="25" t="s">
        <v>364</v>
      </c>
      <c r="D2840" s="26" t="s">
        <v>23</v>
      </c>
      <c r="E2840" s="27" t="str">
        <f>HYPERLINK("https://www.compass.com/building/975-park-ave-manhattan-ny-10028/281987937204282885/","975 Park Ave")</f>
        <v>975 Park Ave</v>
      </c>
      <c r="F2840" s="25" t="s">
        <v>44</v>
      </c>
      <c r="G2840" s="28">
        <v>2450000.0</v>
      </c>
      <c r="H2840" s="29"/>
      <c r="I2840" s="28">
        <v>3624.0</v>
      </c>
      <c r="J2840" s="29"/>
      <c r="K2840" s="25" t="s">
        <v>25</v>
      </c>
      <c r="L2840" s="26">
        <v>5.0</v>
      </c>
      <c r="M2840" s="26">
        <v>2.0</v>
      </c>
      <c r="N2840" s="26">
        <v>0.0</v>
      </c>
      <c r="O2840" s="26">
        <v>0.0</v>
      </c>
      <c r="P2840" s="30"/>
      <c r="Q2840" s="35">
        <v>152.0</v>
      </c>
      <c r="R2840" s="32">
        <v>44581.0</v>
      </c>
      <c r="S2840" s="32">
        <v>43019.0</v>
      </c>
      <c r="T2840" s="29"/>
      <c r="U2840" s="33"/>
      <c r="V2840" s="1"/>
    </row>
    <row r="2841" ht="24.0" customHeight="1">
      <c r="A2841" s="1"/>
      <c r="B2841" s="24" t="str">
        <f>HYPERLINK("https://www.compass.com/listing/160-west-street-unit-phc-brooklyn-ny-11222/217134831719443281/view?agent_id=610d3f3370540700019b0833","160 West St, Unit PHC")</f>
        <v>160 West St, Unit PHC</v>
      </c>
      <c r="C2841" s="25" t="s">
        <v>364</v>
      </c>
      <c r="D2841" s="26" t="s">
        <v>23</v>
      </c>
      <c r="E2841" s="27" t="str">
        <f>HYPERLINK("https://www.compass.com/building/the-gibraltar-brooklyn-ny/282421046613741589/","The Gibraltar")</f>
        <v>The Gibraltar</v>
      </c>
      <c r="F2841" s="25" t="s">
        <v>56</v>
      </c>
      <c r="G2841" s="28">
        <v>1575000.0</v>
      </c>
      <c r="H2841" s="28">
        <v>1428.0</v>
      </c>
      <c r="I2841" s="28">
        <v>1665.0</v>
      </c>
      <c r="J2841" s="28">
        <v>9540.0</v>
      </c>
      <c r="K2841" s="25" t="s">
        <v>28</v>
      </c>
      <c r="L2841" s="26">
        <v>4.0</v>
      </c>
      <c r="M2841" s="26">
        <v>2.0</v>
      </c>
      <c r="N2841" s="30"/>
      <c r="O2841" s="30"/>
      <c r="P2841" s="34">
        <v>1103.0</v>
      </c>
      <c r="Q2841" s="35">
        <v>103.0</v>
      </c>
      <c r="R2841" s="32">
        <v>43654.0</v>
      </c>
      <c r="S2841" s="32">
        <v>43551.0</v>
      </c>
      <c r="T2841" s="29"/>
      <c r="U2841" s="33"/>
      <c r="V2841" s="1"/>
    </row>
    <row r="2842" ht="24.0" customHeight="1">
      <c r="A2842" s="1"/>
      <c r="B2842" s="24" t="str">
        <f>HYPERLINK("https://www.compass.com/listing/980-5th-avenue-unit-20b-manhattan-ny-10075/1838966968552386313/view?agent_id=610d3f3370540700019b0833","980 5th Ave, Unit 20B")</f>
        <v>980 5th Ave, Unit 20B</v>
      </c>
      <c r="C2842" s="25" t="s">
        <v>370</v>
      </c>
      <c r="D2842" s="26" t="s">
        <v>23</v>
      </c>
      <c r="E2842" s="27" t="str">
        <f>HYPERLINK("https://www.compass.com/building/980-5th-ave-manhattan-ny-10075/282045458535176597/","980 5th Ave")</f>
        <v>980 5th Ave</v>
      </c>
      <c r="F2842" s="25" t="s">
        <v>44</v>
      </c>
      <c r="G2842" s="28">
        <v>9250000.0</v>
      </c>
      <c r="H2842" s="28">
        <v>3426.0</v>
      </c>
      <c r="I2842" s="28">
        <v>5705.0</v>
      </c>
      <c r="J2842" s="29"/>
      <c r="K2842" s="25" t="s">
        <v>25</v>
      </c>
      <c r="L2842" s="26">
        <v>6.0</v>
      </c>
      <c r="M2842" s="26">
        <v>2.0</v>
      </c>
      <c r="N2842" s="26">
        <v>0.0</v>
      </c>
      <c r="O2842" s="26">
        <v>0.0</v>
      </c>
      <c r="P2842" s="34">
        <v>2700.0</v>
      </c>
      <c r="Q2842" s="35">
        <v>476.0</v>
      </c>
      <c r="R2842" s="32">
        <v>44581.0</v>
      </c>
      <c r="S2842" s="32">
        <v>41674.0</v>
      </c>
      <c r="T2842" s="29"/>
      <c r="U2842" s="33"/>
      <c r="V2842" s="1"/>
    </row>
    <row r="2843" ht="24.0" customHeight="1">
      <c r="A2843" s="1"/>
      <c r="B2843" s="24" t="str">
        <f>HYPERLINK("https://www.compass.com/listing/110-east-87th-street-unit-9c-manhattan-ny-10128/1821994045266145049/view?agent_id=610d3f3370540700019b0833","110 E 87th St, Unit 9C")</f>
        <v>110 E 87th St, Unit 9C</v>
      </c>
      <c r="C2843" s="25" t="s">
        <v>370</v>
      </c>
      <c r="D2843" s="26" t="s">
        <v>23</v>
      </c>
      <c r="E2843" s="27" t="str">
        <f>HYPERLINK("https://www.compass.com/building/110-e-87th-st-manhattan-ny-10128/292929379745428629/","110 E 87th St")</f>
        <v>110 E 87th St</v>
      </c>
      <c r="F2843" s="25" t="s">
        <v>44</v>
      </c>
      <c r="G2843" s="28">
        <v>1295000.0</v>
      </c>
      <c r="H2843" s="28">
        <v>1439.0</v>
      </c>
      <c r="I2843" s="28">
        <v>2296.0</v>
      </c>
      <c r="J2843" s="28">
        <v>10752.0</v>
      </c>
      <c r="K2843" s="25" t="s">
        <v>28</v>
      </c>
      <c r="L2843" s="26">
        <v>4.0</v>
      </c>
      <c r="M2843" s="26">
        <v>2.0</v>
      </c>
      <c r="N2843" s="26">
        <v>1.0</v>
      </c>
      <c r="O2843" s="30"/>
      <c r="P2843" s="26">
        <v>900.0</v>
      </c>
      <c r="Q2843" s="35">
        <v>176.0</v>
      </c>
      <c r="R2843" s="32">
        <v>45242.0</v>
      </c>
      <c r="S2843" s="32">
        <v>44628.0</v>
      </c>
      <c r="T2843" s="29"/>
      <c r="U2843" s="33"/>
      <c r="V2843" s="1"/>
    </row>
    <row r="2844" ht="24.0" customHeight="1">
      <c r="A2844" s="1"/>
      <c r="B2844" s="24" t="str">
        <f>HYPERLINK("https://www.compass.com/listing/661-10th-avenue-unit-4a-manhattan-ny-10036/590370926271693521/view?agent_id=610d3f3370540700019b0833","661 10th Ave, Unit 4A")</f>
        <v>661 10th Ave, Unit 4A</v>
      </c>
      <c r="C2844" s="25" t="s">
        <v>364</v>
      </c>
      <c r="D2844" s="26" t="s">
        <v>23</v>
      </c>
      <c r="E2844" s="27" t="str">
        <f>HYPERLINK("https://www.compass.com/building/661-10th-ave-manhattan-ny-10036/281928022863423605/","661 10th Ave")</f>
        <v>661 10th Ave</v>
      </c>
      <c r="F2844" s="25" t="s">
        <v>47</v>
      </c>
      <c r="G2844" s="28">
        <v>939000.0</v>
      </c>
      <c r="H2844" s="28">
        <v>854.0</v>
      </c>
      <c r="I2844" s="28">
        <v>1820.0</v>
      </c>
      <c r="J2844" s="28">
        <v>0.0</v>
      </c>
      <c r="K2844" s="25" t="s">
        <v>25</v>
      </c>
      <c r="L2844" s="26">
        <v>4.0</v>
      </c>
      <c r="M2844" s="26">
        <v>2.0</v>
      </c>
      <c r="N2844" s="26">
        <v>1.0</v>
      </c>
      <c r="O2844" s="26">
        <v>0.0</v>
      </c>
      <c r="P2844" s="34">
        <v>1100.0</v>
      </c>
      <c r="Q2844" s="35">
        <v>25.0</v>
      </c>
      <c r="R2844" s="32">
        <v>44091.0</v>
      </c>
      <c r="S2844" s="32">
        <v>44066.0</v>
      </c>
      <c r="T2844" s="29"/>
      <c r="U2844" s="33"/>
      <c r="V2844" s="1"/>
    </row>
    <row r="2845" ht="24.0" customHeight="1">
      <c r="A2845" s="1"/>
      <c r="B2845" s="24" t="str">
        <f>HYPERLINK("https://www.compass.com/listing/344-west-48th-street-unit-3w-manhattan-ny-10036/526976490725096641/view?agent_id=610d3f3370540700019b0833","344 W 48th St, Unit 3W")</f>
        <v>344 W 48th St, Unit 3W</v>
      </c>
      <c r="C2845" s="25" t="s">
        <v>364</v>
      </c>
      <c r="D2845" s="26" t="s">
        <v>23</v>
      </c>
      <c r="E2845" s="27" t="str">
        <f>HYPERLINK("https://www.compass.com/building/344-w-48th-st-manhattan-ny-10036/282024099276923797/","344 W 48th St")</f>
        <v>344 W 48th St</v>
      </c>
      <c r="F2845" s="25" t="s">
        <v>47</v>
      </c>
      <c r="G2845" s="28">
        <v>650000.0</v>
      </c>
      <c r="H2845" s="28">
        <v>903.0</v>
      </c>
      <c r="I2845" s="28">
        <v>822.0</v>
      </c>
      <c r="J2845" s="29"/>
      <c r="K2845" s="25" t="s">
        <v>25</v>
      </c>
      <c r="L2845" s="26">
        <v>5.0</v>
      </c>
      <c r="M2845" s="26">
        <v>2.0</v>
      </c>
      <c r="N2845" s="26">
        <v>1.0</v>
      </c>
      <c r="O2845" s="26">
        <v>0.0</v>
      </c>
      <c r="P2845" s="26">
        <v>720.0</v>
      </c>
      <c r="Q2845" s="35">
        <v>139.0</v>
      </c>
      <c r="R2845" s="32">
        <v>44581.0</v>
      </c>
      <c r="S2845" s="32">
        <v>43977.0</v>
      </c>
      <c r="T2845" s="29"/>
      <c r="U2845" s="33"/>
      <c r="V2845" s="1"/>
    </row>
    <row r="2846" ht="24.0" customHeight="1">
      <c r="A2846" s="1"/>
      <c r="B2846" s="24" t="str">
        <f>HYPERLINK("https://www.compass.com/listing/12-east-87th-street-unit-6b-manhattan-ny-10028/921950831187645921/view?agent_id=610d3f3370540700019b0833","12 E 87th St, Unit 6B")</f>
        <v>12 E 87th St, Unit 6B</v>
      </c>
      <c r="C2846" s="25" t="s">
        <v>370</v>
      </c>
      <c r="D2846" s="26" t="s">
        <v>23</v>
      </c>
      <c r="E2846" s="27" t="str">
        <f>HYPERLINK("https://www.compass.com/building/12-e-87th-st-manhattan-ny-10028/567814938573951805/","12 E 87th St")</f>
        <v>12 E 87th St</v>
      </c>
      <c r="F2846" s="25" t="s">
        <v>44</v>
      </c>
      <c r="G2846" s="28">
        <v>2100000.0</v>
      </c>
      <c r="H2846" s="28">
        <v>1277.0</v>
      </c>
      <c r="I2846" s="28">
        <v>3478.0</v>
      </c>
      <c r="J2846" s="29"/>
      <c r="K2846" s="25" t="s">
        <v>25</v>
      </c>
      <c r="L2846" s="26">
        <v>4.0</v>
      </c>
      <c r="M2846" s="26">
        <v>2.0</v>
      </c>
      <c r="N2846" s="26">
        <v>0.0</v>
      </c>
      <c r="O2846" s="26">
        <v>0.0</v>
      </c>
      <c r="P2846" s="34">
        <v>1644.0</v>
      </c>
      <c r="Q2846" s="35">
        <v>359.0</v>
      </c>
      <c r="R2846" s="32">
        <v>45636.0</v>
      </c>
      <c r="S2846" s="32">
        <v>42717.0</v>
      </c>
      <c r="T2846" s="29"/>
      <c r="U2846" s="33"/>
      <c r="V2846" s="1"/>
    </row>
    <row r="2847" ht="24.0" customHeight="1">
      <c r="A2847" s="1"/>
      <c r="B2847" s="24" t="str">
        <f>HYPERLINK("https://www.compass.com/listing/200-east-24th-street-unit-1803-manhattan-ny-10010/314418798832677873/view?agent_id=610d3f3370540700019b0833","200 E 24th St, Unit 1803")</f>
        <v>200 E 24th St, Unit 1803</v>
      </c>
      <c r="C2847" s="25" t="s">
        <v>364</v>
      </c>
      <c r="D2847" s="26" t="s">
        <v>23</v>
      </c>
      <c r="E2847" s="27" t="str">
        <f>HYPERLINK("https://www.compass.com/building/the-crystal-house-manhattan-ny/282059252133035109/","The Crystal House")</f>
        <v>The Crystal House</v>
      </c>
      <c r="F2847" s="25" t="s">
        <v>107</v>
      </c>
      <c r="G2847" s="28">
        <v>1395000.0</v>
      </c>
      <c r="H2847" s="29"/>
      <c r="I2847" s="28">
        <v>2632.0</v>
      </c>
      <c r="J2847" s="28">
        <v>0.0</v>
      </c>
      <c r="K2847" s="25" t="s">
        <v>25</v>
      </c>
      <c r="L2847" s="26">
        <v>4.0</v>
      </c>
      <c r="M2847" s="26">
        <v>2.0</v>
      </c>
      <c r="N2847" s="30"/>
      <c r="O2847" s="30"/>
      <c r="P2847" s="30"/>
      <c r="Q2847" s="31"/>
      <c r="R2847" s="32">
        <v>43685.0</v>
      </c>
      <c r="S2847" s="33"/>
      <c r="T2847" s="29"/>
      <c r="U2847" s="33"/>
      <c r="V2847" s="1"/>
    </row>
    <row r="2848" ht="24.0" customHeight="1">
      <c r="A2848" s="1"/>
      <c r="B2848" s="24" t="str">
        <f>HYPERLINK("https://www.compass.com/listing/377-macon-street-unit-2-brooklyn-ny-11233/946334795793188617/view?agent_id=610d3f3370540700019b0833","377 Macon St, Unit 2")</f>
        <v>377 Macon St, Unit 2</v>
      </c>
      <c r="C2848" s="25" t="s">
        <v>364</v>
      </c>
      <c r="D2848" s="26" t="s">
        <v>23</v>
      </c>
      <c r="E2848" s="27" t="str">
        <f>HYPERLINK("https://www.compass.com/building/377-macon-st-brooklyn-ny-11233/293529312462754229/","377 Macon St")</f>
        <v>377 Macon St</v>
      </c>
      <c r="F2848" s="25" t="s">
        <v>51</v>
      </c>
      <c r="G2848" s="28">
        <v>2000.0</v>
      </c>
      <c r="H2848" s="28">
        <v>3.0</v>
      </c>
      <c r="I2848" s="28">
        <v>0.0</v>
      </c>
      <c r="J2848" s="28">
        <v>0.0</v>
      </c>
      <c r="K2848" s="25" t="s">
        <v>149</v>
      </c>
      <c r="L2848" s="26">
        <v>5.0</v>
      </c>
      <c r="M2848" s="26">
        <v>2.0</v>
      </c>
      <c r="N2848" s="26">
        <v>1.0</v>
      </c>
      <c r="O2848" s="30"/>
      <c r="P2848" s="26">
        <v>800.0</v>
      </c>
      <c r="Q2848" s="35">
        <v>9.0</v>
      </c>
      <c r="R2848" s="32">
        <v>44607.0</v>
      </c>
      <c r="S2848" s="32">
        <v>44557.0</v>
      </c>
      <c r="T2848" s="29"/>
      <c r="U2848" s="33"/>
      <c r="V2848" s="1"/>
    </row>
    <row r="2849" ht="24.0" customHeight="1">
      <c r="A2849" s="1"/>
      <c r="B2849" s="24" t="str">
        <f>HYPERLINK("https://www.compass.com/listing/65-east-96th-street-unit-10c-manhattan-ny-10128/921942945888536337/view?agent_id=610d3f3370540700019b0833","65 E 96th St, Unit 10C")</f>
        <v>65 E 96th St, Unit 10C</v>
      </c>
      <c r="C2849" s="25" t="s">
        <v>364</v>
      </c>
      <c r="D2849" s="26" t="s">
        <v>23</v>
      </c>
      <c r="E2849" s="27" t="str">
        <f>HYPERLINK("https://www.compass.com/building/65-e-96th-st-manhattan-ny-10128/455671664496402557/","65 E 96th St")</f>
        <v>65 E 96th St</v>
      </c>
      <c r="F2849" s="25" t="s">
        <v>44</v>
      </c>
      <c r="G2849" s="28">
        <v>1950000.0</v>
      </c>
      <c r="H2849" s="28">
        <v>1490.0</v>
      </c>
      <c r="I2849" s="28">
        <v>2565.0</v>
      </c>
      <c r="J2849" s="28">
        <v>15816.0</v>
      </c>
      <c r="K2849" s="25" t="s">
        <v>28</v>
      </c>
      <c r="L2849" s="26">
        <v>5.0</v>
      </c>
      <c r="M2849" s="26">
        <v>2.0</v>
      </c>
      <c r="N2849" s="26">
        <v>0.0</v>
      </c>
      <c r="O2849" s="26">
        <v>0.0</v>
      </c>
      <c r="P2849" s="34">
        <v>1309.0</v>
      </c>
      <c r="Q2849" s="35">
        <v>0.0</v>
      </c>
      <c r="R2849" s="32">
        <v>44581.0</v>
      </c>
      <c r="S2849" s="32">
        <v>43202.0</v>
      </c>
      <c r="T2849" s="29"/>
      <c r="U2849" s="33"/>
      <c r="V2849" s="1"/>
    </row>
    <row r="2850" ht="24.0" customHeight="1">
      <c r="A2850" s="1"/>
      <c r="B2850" s="24" t="str">
        <f>HYPERLINK("https://www.compass.com/listing/540-west-28th-street-unit-8gf-manhattan-ny-10001/4852273489421283825/view?agent_id=610d3f3370540700019b0833","540 W 28th St, Unit 8GF")</f>
        <v>540 W 28th St, Unit 8GF</v>
      </c>
      <c r="C2850" s="25" t="s">
        <v>364</v>
      </c>
      <c r="D2850" s="26" t="s">
        <v>23</v>
      </c>
      <c r="E2850" s="27" t="str">
        <f>HYPERLINK("https://www.compass.com/building/-art-manhattan-ny/281884070055511893/","+art")</f>
        <v>+art</v>
      </c>
      <c r="F2850" s="25" t="s">
        <v>27</v>
      </c>
      <c r="G2850" s="28">
        <v>2170000.0</v>
      </c>
      <c r="H2850" s="29"/>
      <c r="I2850" s="28">
        <v>2260.0</v>
      </c>
      <c r="J2850" s="28">
        <v>10860.0</v>
      </c>
      <c r="K2850" s="25" t="s">
        <v>28</v>
      </c>
      <c r="L2850" s="26">
        <v>5.0</v>
      </c>
      <c r="M2850" s="26">
        <v>2.0</v>
      </c>
      <c r="N2850" s="26">
        <v>0.0</v>
      </c>
      <c r="O2850" s="26">
        <v>0.0</v>
      </c>
      <c r="P2850" s="30"/>
      <c r="Q2850" s="35">
        <v>43.0</v>
      </c>
      <c r="R2850" s="32">
        <v>45636.0</v>
      </c>
      <c r="S2850" s="32">
        <v>42514.0</v>
      </c>
      <c r="T2850" s="29"/>
      <c r="U2850" s="33"/>
      <c r="V2850" s="1"/>
    </row>
    <row r="2851" ht="24.0" customHeight="1">
      <c r="A2851" s="1"/>
      <c r="B2851" s="24" t="str">
        <f>HYPERLINK("https://www.compass.com/listing/323-west-43rd-street-unit-5re-manhattan-ny-10036/826840381541219145/view?agent_id=610d3f3370540700019b0833","323 W 43rd St, Unit 5RE")</f>
        <v>323 W 43rd St, Unit 5RE</v>
      </c>
      <c r="C2851" s="25" t="s">
        <v>364</v>
      </c>
      <c r="D2851" s="26" t="s">
        <v>23</v>
      </c>
      <c r="E2851" s="27" t="str">
        <f>HYPERLINK("https://www.compass.com/building/323-w-43rd-st-manhattan-ny-10036/282023764898620117/","323 W 43rd St")</f>
        <v>323 W 43rd St</v>
      </c>
      <c r="F2851" s="25" t="s">
        <v>47</v>
      </c>
      <c r="G2851" s="28">
        <v>599000.0</v>
      </c>
      <c r="H2851" s="29"/>
      <c r="I2851" s="28">
        <v>650.0</v>
      </c>
      <c r="J2851" s="29"/>
      <c r="K2851" s="25" t="s">
        <v>25</v>
      </c>
      <c r="L2851" s="26">
        <v>4.0</v>
      </c>
      <c r="M2851" s="26">
        <v>2.0</v>
      </c>
      <c r="N2851" s="26">
        <v>0.0</v>
      </c>
      <c r="O2851" s="26">
        <v>0.0</v>
      </c>
      <c r="P2851" s="30"/>
      <c r="Q2851" s="35">
        <v>204.0</v>
      </c>
      <c r="R2851" s="32">
        <v>44581.0</v>
      </c>
      <c r="S2851" s="32">
        <v>41297.0</v>
      </c>
      <c r="T2851" s="29"/>
      <c r="U2851" s="33"/>
      <c r="V2851" s="1"/>
    </row>
    <row r="2852" ht="24.0" customHeight="1">
      <c r="A2852" s="1"/>
      <c r="B2852" s="24" t="str">
        <f>HYPERLINK("https://www.compass.com/listing/101-lafayette-avenue-unit-1f-brooklyn-ny-11217/1664509458428523473/view?agent_id=610d3f3370540700019b0833","101 Lafayette Ave, Unit 1F")</f>
        <v>101 Lafayette Ave, Unit 1F</v>
      </c>
      <c r="C2852" s="25" t="s">
        <v>370</v>
      </c>
      <c r="D2852" s="26" t="s">
        <v>23</v>
      </c>
      <c r="E2852" s="27" t="str">
        <f>HYPERLINK("https://www.compass.com/building/the-griffin-brooklyn-ny/282503929776913941/","The Griffin")</f>
        <v>The Griffin</v>
      </c>
      <c r="F2852" s="25" t="s">
        <v>59</v>
      </c>
      <c r="G2852" s="28">
        <v>1650000.0</v>
      </c>
      <c r="H2852" s="29"/>
      <c r="I2852" s="28">
        <v>1132.0</v>
      </c>
      <c r="J2852" s="28">
        <v>0.0</v>
      </c>
      <c r="K2852" s="25" t="s">
        <v>25</v>
      </c>
      <c r="L2852" s="26">
        <v>5.0</v>
      </c>
      <c r="M2852" s="26">
        <v>2.0</v>
      </c>
      <c r="N2852" s="26">
        <v>1.0</v>
      </c>
      <c r="O2852" s="30"/>
      <c r="P2852" s="30"/>
      <c r="Q2852" s="35">
        <v>26.0</v>
      </c>
      <c r="R2852" s="32">
        <v>45736.0</v>
      </c>
      <c r="S2852" s="32">
        <v>45573.0</v>
      </c>
      <c r="T2852" s="29"/>
      <c r="U2852" s="33"/>
      <c r="V2852" s="1"/>
    </row>
    <row r="2853" ht="24.0" customHeight="1">
      <c r="A2853" s="1"/>
      <c r="B2853" s="24" t="str">
        <f>HYPERLINK("https://www.compass.com/listing/79-clay-street-unit-1f-brooklyn-ny-11222/1028757059150186425/view?agent_id=610d3f3370540700019b0833","79 Clay St, Unit 1F")</f>
        <v>79 Clay St, Unit 1F</v>
      </c>
      <c r="C2853" s="25" t="s">
        <v>364</v>
      </c>
      <c r="D2853" s="26" t="s">
        <v>23</v>
      </c>
      <c r="E2853" s="27" t="str">
        <f>HYPERLINK("https://www.compass.com/building/79-clay-st-brooklyn-ny-11222/282421015307454565/","79 Clay St")</f>
        <v>79 Clay St</v>
      </c>
      <c r="F2853" s="25" t="s">
        <v>56</v>
      </c>
      <c r="G2853" s="28">
        <v>765000.0</v>
      </c>
      <c r="H2853" s="28">
        <v>953.0</v>
      </c>
      <c r="I2853" s="28">
        <v>901.0</v>
      </c>
      <c r="J2853" s="28">
        <v>8448.0</v>
      </c>
      <c r="K2853" s="25" t="s">
        <v>28</v>
      </c>
      <c r="L2853" s="26">
        <v>4.0</v>
      </c>
      <c r="M2853" s="26">
        <v>2.0</v>
      </c>
      <c r="N2853" s="26">
        <v>1.0</v>
      </c>
      <c r="O2853" s="30"/>
      <c r="P2853" s="26">
        <v>803.0</v>
      </c>
      <c r="Q2853" s="35">
        <v>69.0</v>
      </c>
      <c r="R2853" s="32">
        <v>44740.0</v>
      </c>
      <c r="S2853" s="32">
        <v>44671.0</v>
      </c>
      <c r="T2853" s="29"/>
      <c r="U2853" s="33"/>
      <c r="V2853" s="1"/>
    </row>
    <row r="2854" ht="24.0" customHeight="1">
      <c r="A2854" s="1"/>
      <c r="B2854" s="24" t="str">
        <f>HYPERLINK("https://www.compass.com/listing/316-west-47th-street-unit-2r-manhattan-ny-10036/803343558857741265/view?agent_id=610d3f3370540700019b0833","316 W 47th St, Unit 2R")</f>
        <v>316 W 47th St, Unit 2R</v>
      </c>
      <c r="C2854" s="25" t="s">
        <v>364</v>
      </c>
      <c r="D2854" s="26" t="s">
        <v>23</v>
      </c>
      <c r="E2854" s="27" t="str">
        <f>HYPERLINK("https://www.compass.com/building/316-w-47th-st-manhattan-ny-10036/282023687966696597/","316 W 47th St")</f>
        <v>316 W 47th St</v>
      </c>
      <c r="F2854" s="25" t="s">
        <v>47</v>
      </c>
      <c r="G2854" s="28">
        <v>549000.0</v>
      </c>
      <c r="H2854" s="29"/>
      <c r="I2854" s="28">
        <v>598.0</v>
      </c>
      <c r="J2854" s="29"/>
      <c r="K2854" s="25" t="s">
        <v>25</v>
      </c>
      <c r="L2854" s="26">
        <v>4.0</v>
      </c>
      <c r="M2854" s="26">
        <v>2.0</v>
      </c>
      <c r="N2854" s="26">
        <v>0.0</v>
      </c>
      <c r="O2854" s="26">
        <v>0.0</v>
      </c>
      <c r="P2854" s="30"/>
      <c r="Q2854" s="35">
        <v>118.0</v>
      </c>
      <c r="R2854" s="32">
        <v>44581.0</v>
      </c>
      <c r="S2854" s="32">
        <v>41445.0</v>
      </c>
      <c r="T2854" s="29"/>
      <c r="U2854" s="33"/>
      <c r="V2854" s="1"/>
    </row>
    <row r="2855" ht="24.0" customHeight="1">
      <c r="A2855" s="1"/>
      <c r="B2855" s="24" t="str">
        <f>HYPERLINK("https://www.compass.com/listing/834-sterling-place-unit-105-brooklyn-ny-11216/4794403199714867041/view?agent_id=610d3f3370540700019b0833","834 Sterling Pl, Unit 105")</f>
        <v>834 Sterling Pl, Unit 105</v>
      </c>
      <c r="C2855" s="25" t="s">
        <v>364</v>
      </c>
      <c r="D2855" s="26" t="s">
        <v>23</v>
      </c>
      <c r="E2855" s="27" t="str">
        <f t="shared" ref="E2855:E2856" si="77">HYPERLINK("https://www.compass.com/building/hello-sterling-brooklyn-ny/293534833131434869/","Hello Sterling")</f>
        <v>Hello Sterling</v>
      </c>
      <c r="F2855" s="25" t="s">
        <v>113</v>
      </c>
      <c r="G2855" s="28">
        <v>750000.0</v>
      </c>
      <c r="H2855" s="29"/>
      <c r="I2855" s="28">
        <v>802.0</v>
      </c>
      <c r="J2855" s="28">
        <v>6336.0</v>
      </c>
      <c r="K2855" s="25" t="s">
        <v>28</v>
      </c>
      <c r="L2855" s="26">
        <v>3.0</v>
      </c>
      <c r="M2855" s="26">
        <v>2.0</v>
      </c>
      <c r="N2855" s="26">
        <v>0.0</v>
      </c>
      <c r="O2855" s="26">
        <v>0.0</v>
      </c>
      <c r="P2855" s="30"/>
      <c r="Q2855" s="35">
        <v>146.0</v>
      </c>
      <c r="R2855" s="32">
        <v>45636.0</v>
      </c>
      <c r="S2855" s="32">
        <v>42992.0</v>
      </c>
      <c r="T2855" s="29"/>
      <c r="U2855" s="33"/>
      <c r="V2855" s="1"/>
    </row>
    <row r="2856" ht="24.0" customHeight="1">
      <c r="A2856" s="1"/>
      <c r="B2856" s="24" t="str">
        <f>HYPERLINK("https://www.compass.com/listing/834-sterling-place-unit-106-brooklyn-ny-11216/4798080572087868369/view?agent_id=610d3f3370540700019b0833","834 Sterling Pl, Unit 106")</f>
        <v>834 Sterling Pl, Unit 106</v>
      </c>
      <c r="C2856" s="25" t="s">
        <v>364</v>
      </c>
      <c r="D2856" s="26" t="s">
        <v>23</v>
      </c>
      <c r="E2856" s="27" t="str">
        <f t="shared" si="77"/>
        <v>Hello Sterling</v>
      </c>
      <c r="F2856" s="25" t="s">
        <v>113</v>
      </c>
      <c r="G2856" s="28">
        <v>750000.0</v>
      </c>
      <c r="H2856" s="29"/>
      <c r="I2856" s="28">
        <v>804.0</v>
      </c>
      <c r="J2856" s="28">
        <v>6360.0</v>
      </c>
      <c r="K2856" s="25" t="s">
        <v>28</v>
      </c>
      <c r="L2856" s="26">
        <v>3.0</v>
      </c>
      <c r="M2856" s="26">
        <v>2.0</v>
      </c>
      <c r="N2856" s="26">
        <v>0.0</v>
      </c>
      <c r="O2856" s="26">
        <v>0.0</v>
      </c>
      <c r="P2856" s="30"/>
      <c r="Q2856" s="35">
        <v>186.0</v>
      </c>
      <c r="R2856" s="32">
        <v>45636.0</v>
      </c>
      <c r="S2856" s="32">
        <v>42957.0</v>
      </c>
      <c r="T2856" s="29"/>
      <c r="U2856" s="33"/>
      <c r="V2856" s="1"/>
    </row>
    <row r="2857" ht="24.0" customHeight="1">
      <c r="A2857" s="1"/>
      <c r="B2857" s="24" t="str">
        <f>HYPERLINK("https://www.compass.com/listing/142-clifton-place-unit-4b-brooklyn-ny-11238/1838928039648492609/view?agent_id=610d3f3370540700019b0833","142 Clifton Pl, Unit 4B")</f>
        <v>142 Clifton Pl, Unit 4B</v>
      </c>
      <c r="C2857" s="25" t="s">
        <v>364</v>
      </c>
      <c r="D2857" s="26" t="s">
        <v>23</v>
      </c>
      <c r="E2857" s="27" t="str">
        <f>HYPERLINK("https://www.compass.com/building/142-clifton-pl-brooklyn-ny-11238/293421231934340917/","142 Clifton Pl")</f>
        <v>142 Clifton Pl</v>
      </c>
      <c r="F2857" s="25" t="s">
        <v>51</v>
      </c>
      <c r="G2857" s="28">
        <v>849000.0</v>
      </c>
      <c r="H2857" s="28">
        <v>726.0</v>
      </c>
      <c r="I2857" s="28">
        <v>375.0</v>
      </c>
      <c r="J2857" s="28">
        <v>876.0</v>
      </c>
      <c r="K2857" s="25" t="s">
        <v>28</v>
      </c>
      <c r="L2857" s="26">
        <v>4.0</v>
      </c>
      <c r="M2857" s="26">
        <v>2.0</v>
      </c>
      <c r="N2857" s="26">
        <v>1.0</v>
      </c>
      <c r="O2857" s="26">
        <v>0.0</v>
      </c>
      <c r="P2857" s="34">
        <v>1170.0</v>
      </c>
      <c r="Q2857" s="35">
        <v>111.0</v>
      </c>
      <c r="R2857" s="32">
        <v>45636.0</v>
      </c>
      <c r="S2857" s="32">
        <v>41731.0</v>
      </c>
      <c r="T2857" s="29"/>
      <c r="U2857" s="33"/>
      <c r="V2857" s="1"/>
    </row>
    <row r="2858" ht="24.0" customHeight="1">
      <c r="A2858" s="1"/>
      <c r="B2858" s="24" t="str">
        <f>HYPERLINK("https://www.compass.com/listing/965-5th-avenue-unit-b7-manhattan-ny-10075/4852308489269158513/view?agent_id=610d3f3370540700019b0833","965 5th Ave, Unit B7")</f>
        <v>965 5th Ave, Unit B7</v>
      </c>
      <c r="C2858" s="25" t="s">
        <v>364</v>
      </c>
      <c r="D2858" s="26" t="s">
        <v>23</v>
      </c>
      <c r="E2858" s="27" t="str">
        <f>HYPERLINK("https://www.compass.com/building/965-5th-ave-manhattan-ny-10075/282045439316875653/","965 5th Ave")</f>
        <v>965 5th Ave</v>
      </c>
      <c r="F2858" s="25" t="s">
        <v>44</v>
      </c>
      <c r="G2858" s="28">
        <v>4195000.0</v>
      </c>
      <c r="H2858" s="29"/>
      <c r="I2858" s="28">
        <v>5827.0</v>
      </c>
      <c r="J2858" s="29"/>
      <c r="K2858" s="25" t="s">
        <v>25</v>
      </c>
      <c r="L2858" s="26">
        <v>6.0</v>
      </c>
      <c r="M2858" s="26">
        <v>2.0</v>
      </c>
      <c r="N2858" s="26">
        <v>0.0</v>
      </c>
      <c r="O2858" s="26">
        <v>0.0</v>
      </c>
      <c r="P2858" s="30"/>
      <c r="Q2858" s="35">
        <v>97.0</v>
      </c>
      <c r="R2858" s="32">
        <v>44581.0</v>
      </c>
      <c r="S2858" s="32">
        <v>42594.0</v>
      </c>
      <c r="T2858" s="29"/>
      <c r="U2858" s="33"/>
      <c r="V2858" s="1"/>
    </row>
    <row r="2859" ht="24.0" customHeight="1">
      <c r="A2859" s="1"/>
      <c r="B2859" s="24" t="str">
        <f>HYPERLINK("https://www.compass.com/listing/151-lafayette-avenue-unit-1-brooklyn-ny-11238/869735448046124577/view?agent_id=610d3f3370540700019b0833","151 Lafayette Ave, Unit 1")</f>
        <v>151 Lafayette Ave, Unit 1</v>
      </c>
      <c r="C2859" s="25" t="s">
        <v>364</v>
      </c>
      <c r="D2859" s="26" t="s">
        <v>23</v>
      </c>
      <c r="E2859" s="27" t="str">
        <f>HYPERLINK("https://www.compass.com/building/151-lafayette-ave-brooklyn-ny-11238/307440496913636645/","151 Lafayette Ave")</f>
        <v>151 Lafayette Ave</v>
      </c>
      <c r="F2859" s="25" t="s">
        <v>59</v>
      </c>
      <c r="G2859" s="28">
        <v>1775000.0</v>
      </c>
      <c r="H2859" s="28">
        <v>1479.0</v>
      </c>
      <c r="I2859" s="28">
        <v>1640.0</v>
      </c>
      <c r="J2859" s="28">
        <v>0.0</v>
      </c>
      <c r="K2859" s="25" t="s">
        <v>25</v>
      </c>
      <c r="L2859" s="26">
        <v>5.0</v>
      </c>
      <c r="M2859" s="26">
        <v>2.0</v>
      </c>
      <c r="N2859" s="26">
        <v>1.0</v>
      </c>
      <c r="O2859" s="26">
        <v>0.0</v>
      </c>
      <c r="P2859" s="34">
        <v>1200.0</v>
      </c>
      <c r="Q2859" s="35">
        <v>52.0</v>
      </c>
      <c r="R2859" s="32">
        <v>44505.0</v>
      </c>
      <c r="S2859" s="32">
        <v>44452.0</v>
      </c>
      <c r="T2859" s="29"/>
      <c r="U2859" s="33"/>
      <c r="V2859" s="1"/>
    </row>
    <row r="2860" ht="24.0" customHeight="1">
      <c r="A2860" s="1"/>
      <c r="B2860" s="24" t="str">
        <f>HYPERLINK("https://www.compass.com/listing/199-huron-street-unit-1a-brooklyn-ny-11222/755157452885423033/view?agent_id=610d3f3370540700019b0833","199 Huron St, Unit 1A")</f>
        <v>199 Huron St, Unit 1A</v>
      </c>
      <c r="C2860" s="25" t="s">
        <v>364</v>
      </c>
      <c r="D2860" s="26" t="s">
        <v>23</v>
      </c>
      <c r="E2860" s="27" t="str">
        <f>HYPERLINK("https://www.compass.com/building/199-huron-st-brooklyn-ny-11222/282415289461731365/","199 Huron St")</f>
        <v>199 Huron St</v>
      </c>
      <c r="F2860" s="25" t="s">
        <v>56</v>
      </c>
      <c r="G2860" s="28">
        <v>900000.0</v>
      </c>
      <c r="H2860" s="28">
        <v>900.0</v>
      </c>
      <c r="I2860" s="28">
        <v>423.0</v>
      </c>
      <c r="J2860" s="28">
        <v>660.0</v>
      </c>
      <c r="K2860" s="25" t="s">
        <v>28</v>
      </c>
      <c r="L2860" s="26">
        <v>3.0</v>
      </c>
      <c r="M2860" s="26">
        <v>2.0</v>
      </c>
      <c r="N2860" s="26">
        <v>1.0</v>
      </c>
      <c r="O2860" s="26">
        <v>0.0</v>
      </c>
      <c r="P2860" s="34">
        <v>1000.0</v>
      </c>
      <c r="Q2860" s="35">
        <v>55.0</v>
      </c>
      <c r="R2860" s="32">
        <v>45636.0</v>
      </c>
      <c r="S2860" s="32">
        <v>44293.0</v>
      </c>
      <c r="T2860" s="29"/>
      <c r="U2860" s="33"/>
      <c r="V2860" s="1"/>
    </row>
    <row r="2861" ht="24.0" customHeight="1">
      <c r="A2861" s="1"/>
      <c r="B2861" s="24" t="str">
        <f>HYPERLINK("https://www.compass.com/listing/25-east-86th-street-unit-7g-manhattan-ny-10028/192569649609673633/view?agent_id=610d3f3370540700019b0833","25 E 86th St, Unit 7G")</f>
        <v>25 E 86th St, Unit 7G</v>
      </c>
      <c r="C2861" s="25" t="s">
        <v>364</v>
      </c>
      <c r="D2861" s="26" t="s">
        <v>23</v>
      </c>
      <c r="E2861" s="27" t="str">
        <f>HYPERLINK("https://www.compass.com/building/25-e-86th-st-manhattan-ny-10028/292891187185037413/","25 E 86th St")</f>
        <v>25 E 86th St</v>
      </c>
      <c r="F2861" s="25" t="s">
        <v>44</v>
      </c>
      <c r="G2861" s="28">
        <v>2300000.0</v>
      </c>
      <c r="H2861" s="29"/>
      <c r="I2861" s="28">
        <v>1806.0</v>
      </c>
      <c r="J2861" s="29"/>
      <c r="K2861" s="25" t="s">
        <v>25</v>
      </c>
      <c r="L2861" s="26">
        <v>5.0</v>
      </c>
      <c r="M2861" s="26">
        <v>2.0</v>
      </c>
      <c r="N2861" s="26">
        <v>0.0</v>
      </c>
      <c r="O2861" s="26">
        <v>0.0</v>
      </c>
      <c r="P2861" s="30"/>
      <c r="Q2861" s="31"/>
      <c r="R2861" s="32">
        <v>44581.0</v>
      </c>
      <c r="S2861" s="33"/>
      <c r="T2861" s="29"/>
      <c r="U2861" s="33"/>
      <c r="V2861" s="1"/>
    </row>
    <row r="2862" ht="24.0" customHeight="1">
      <c r="A2862" s="1"/>
      <c r="B2862" s="24" t="str">
        <f>HYPERLINK("https://www.compass.com/listing/40-east-94th-street-unit-29g-manhattan-ny-10128/1790216596364378849/view?agent_id=610d3f3370540700019b0833","40 E 94th St, Unit 29G")</f>
        <v>40 E 94th St, Unit 29G</v>
      </c>
      <c r="C2862" s="25" t="s">
        <v>370</v>
      </c>
      <c r="D2862" s="26" t="s">
        <v>23</v>
      </c>
      <c r="E2862" s="27" t="str">
        <f>HYPERLINK("https://www.compass.com/building/carnegie-hill-tower-manhattan-ny/282052116103590933/","Carnegie Hill Tower")</f>
        <v>Carnegie Hill Tower</v>
      </c>
      <c r="F2862" s="25" t="s">
        <v>44</v>
      </c>
      <c r="G2862" s="28">
        <v>2250000.0</v>
      </c>
      <c r="H2862" s="28">
        <v>1627.0</v>
      </c>
      <c r="I2862" s="28">
        <v>2795.0</v>
      </c>
      <c r="J2862" s="28">
        <v>18072.0</v>
      </c>
      <c r="K2862" s="25" t="s">
        <v>28</v>
      </c>
      <c r="L2862" s="26">
        <v>4.0</v>
      </c>
      <c r="M2862" s="26">
        <v>2.0</v>
      </c>
      <c r="N2862" s="26">
        <v>0.0</v>
      </c>
      <c r="O2862" s="26">
        <v>0.0</v>
      </c>
      <c r="P2862" s="34">
        <v>1383.0</v>
      </c>
      <c r="Q2862" s="35">
        <v>224.0</v>
      </c>
      <c r="R2862" s="32">
        <v>44581.0</v>
      </c>
      <c r="S2862" s="32">
        <v>42570.0</v>
      </c>
      <c r="T2862" s="29"/>
      <c r="U2862" s="33"/>
      <c r="V2862" s="1"/>
    </row>
    <row r="2863" ht="24.0" customHeight="1">
      <c r="A2863" s="1"/>
      <c r="B2863" s="24" t="str">
        <f>HYPERLINK("https://www.compass.com/listing/651-vanderbilt-street-unit-7e-brooklyn-ny-11218/371999122050914753/view?agent_id=610d3f3370540700019b0833","651 Vanderbilt St, Unit 7E")</f>
        <v>651 Vanderbilt St, Unit 7E</v>
      </c>
      <c r="C2863" s="25" t="s">
        <v>364</v>
      </c>
      <c r="D2863" s="26" t="s">
        <v>23</v>
      </c>
      <c r="E2863" s="27" t="str">
        <f>HYPERLINK("https://www.compass.com/building/park-vanderbilt-brooklyn-ny/293528935914888133/","Park Vanderbilt")</f>
        <v>Park Vanderbilt</v>
      </c>
      <c r="F2863" s="25" t="s">
        <v>106</v>
      </c>
      <c r="G2863" s="28">
        <v>799000.0</v>
      </c>
      <c r="H2863" s="29"/>
      <c r="I2863" s="28">
        <v>821.0</v>
      </c>
      <c r="J2863" s="29"/>
      <c r="K2863" s="25" t="s">
        <v>25</v>
      </c>
      <c r="L2863" s="26">
        <v>4.0</v>
      </c>
      <c r="M2863" s="26">
        <v>2.0</v>
      </c>
      <c r="N2863" s="26">
        <v>1.0</v>
      </c>
      <c r="O2863" s="26">
        <v>0.0</v>
      </c>
      <c r="P2863" s="30"/>
      <c r="Q2863" s="35">
        <v>53.0</v>
      </c>
      <c r="R2863" s="32">
        <v>45636.0</v>
      </c>
      <c r="S2863" s="32">
        <v>43762.0</v>
      </c>
      <c r="T2863" s="29"/>
      <c r="U2863" s="33"/>
      <c r="V2863" s="1"/>
    </row>
    <row r="2864" ht="24.0" customHeight="1">
      <c r="A2864" s="1"/>
      <c r="B2864" s="24" t="str">
        <f>HYPERLINK("https://www.compass.com/listing/529-west-42nd-street-unit-8p-manhattan-ny-10036/569723726776638793/view?agent_id=610d3f3370540700019b0833","529 W 42nd St, Unit 8P")</f>
        <v>529 W 42nd St, Unit 8P</v>
      </c>
      <c r="C2864" s="25" t="s">
        <v>365</v>
      </c>
      <c r="D2864" s="26" t="s">
        <v>23</v>
      </c>
      <c r="E2864" s="27" t="str">
        <f>HYPERLINK("https://www.compass.com/building/the-armory-manhattan-ny/282026220797831989/","The Armory")</f>
        <v>The Armory</v>
      </c>
      <c r="F2864" s="25" t="s">
        <v>47</v>
      </c>
      <c r="G2864" s="28">
        <v>799000.0</v>
      </c>
      <c r="H2864" s="28">
        <v>726.0</v>
      </c>
      <c r="I2864" s="28">
        <v>2481.0</v>
      </c>
      <c r="J2864" s="28">
        <v>0.0</v>
      </c>
      <c r="K2864" s="25" t="s">
        <v>25</v>
      </c>
      <c r="L2864" s="26">
        <v>5.0</v>
      </c>
      <c r="M2864" s="26">
        <v>2.0</v>
      </c>
      <c r="N2864" s="26">
        <v>1.0</v>
      </c>
      <c r="O2864" s="26">
        <v>0.0</v>
      </c>
      <c r="P2864" s="34">
        <v>1100.0</v>
      </c>
      <c r="Q2864" s="35">
        <v>95.0</v>
      </c>
      <c r="R2864" s="32">
        <v>44133.0</v>
      </c>
      <c r="S2864" s="32">
        <v>44038.0</v>
      </c>
      <c r="T2864" s="29"/>
      <c r="U2864" s="33"/>
      <c r="V2864" s="1"/>
    </row>
    <row r="2865" ht="24.0" customHeight="1">
      <c r="A2865" s="1"/>
      <c r="B2865" s="24" t="str">
        <f>HYPERLINK("https://www.compass.com/listing/220-5th-avenue-unit-2e-manhattan-ny-10001/1519699094660300785/view?agent_id=610d3f3370540700019b0833","220 5th Ave, Unit 2E")</f>
        <v>220 5th Ave, Unit 2E</v>
      </c>
      <c r="C2865" s="25" t="s">
        <v>364</v>
      </c>
      <c r="D2865" s="26" t="s">
        <v>23</v>
      </c>
      <c r="E2865" s="26" t="s">
        <v>381</v>
      </c>
      <c r="F2865" s="25" t="s">
        <v>382</v>
      </c>
      <c r="G2865" s="28">
        <v>2000000.0</v>
      </c>
      <c r="H2865" s="28">
        <v>2222.0</v>
      </c>
      <c r="I2865" s="28">
        <v>1878.0</v>
      </c>
      <c r="J2865" s="28">
        <v>13668.0</v>
      </c>
      <c r="K2865" s="25" t="s">
        <v>28</v>
      </c>
      <c r="L2865" s="26">
        <v>5.0</v>
      </c>
      <c r="M2865" s="26">
        <v>2.0</v>
      </c>
      <c r="N2865" s="26">
        <v>1.0</v>
      </c>
      <c r="O2865" s="30"/>
      <c r="P2865" s="26">
        <v>900.0</v>
      </c>
      <c r="Q2865" s="35">
        <v>0.0</v>
      </c>
      <c r="R2865" s="32">
        <v>45348.0</v>
      </c>
      <c r="S2865" s="32">
        <v>45348.0</v>
      </c>
      <c r="T2865" s="29"/>
      <c r="U2865" s="33"/>
      <c r="V2865" s="1"/>
    </row>
    <row r="2866" ht="24.0" customHeight="1">
      <c r="A2866" s="1"/>
      <c r="B2866" s="24" t="str">
        <f>HYPERLINK("https://www.compass.com/listing/727-prospect-place-unit-4a-brooklyn-ny-11216/1838952251100402801/view?agent_id=610d3f3370540700019b0833","727 Prospect Pl, Unit 4A")</f>
        <v>727 Prospect Pl, Unit 4A</v>
      </c>
      <c r="C2866" s="25" t="s">
        <v>364</v>
      </c>
      <c r="D2866" s="26" t="s">
        <v>23</v>
      </c>
      <c r="E2866" s="27" t="str">
        <f>HYPERLINK("https://www.compass.com/building/727-prospect-pl-brooklyn-ny-11216/293416861318622405/","727 Prospect Pl")</f>
        <v>727 Prospect Pl</v>
      </c>
      <c r="F2866" s="25" t="s">
        <v>113</v>
      </c>
      <c r="G2866" s="28">
        <v>1100000.0</v>
      </c>
      <c r="H2866" s="28">
        <v>877.0</v>
      </c>
      <c r="I2866" s="28">
        <v>393.0</v>
      </c>
      <c r="J2866" s="28">
        <v>300.0</v>
      </c>
      <c r="K2866" s="25" t="s">
        <v>28</v>
      </c>
      <c r="L2866" s="26">
        <v>5.0</v>
      </c>
      <c r="M2866" s="26">
        <v>2.0</v>
      </c>
      <c r="N2866" s="26">
        <v>0.0</v>
      </c>
      <c r="O2866" s="26">
        <v>0.0</v>
      </c>
      <c r="P2866" s="34">
        <v>1254.0</v>
      </c>
      <c r="Q2866" s="35">
        <v>641.0</v>
      </c>
      <c r="R2866" s="32">
        <v>45636.0</v>
      </c>
      <c r="S2866" s="32">
        <v>42475.0</v>
      </c>
      <c r="T2866" s="29"/>
      <c r="U2866" s="33"/>
      <c r="V2866" s="1"/>
    </row>
    <row r="2867" ht="24.0" customHeight="1">
      <c r="A2867" s="1"/>
      <c r="B2867" s="24" t="str">
        <f>HYPERLINK("https://www.compass.com/listing/1619-3rd-avenue-unit-7k-manhattan-ny-10128/921885885637282449/view?agent_id=610d3f3370540700019b0833","1619 3rd Ave, Unit 7K")</f>
        <v>1619 3rd Ave, Unit 7K</v>
      </c>
      <c r="C2867" s="25" t="s">
        <v>370</v>
      </c>
      <c r="D2867" s="26" t="s">
        <v>23</v>
      </c>
      <c r="E2867" s="27" t="str">
        <f>HYPERLINK("https://www.compass.com/building/ruppert-tower-2-manhattan-ny/282048002724489621/","Ruppert Tower 2")</f>
        <v>Ruppert Tower 2</v>
      </c>
      <c r="F2867" s="25" t="s">
        <v>44</v>
      </c>
      <c r="G2867" s="28">
        <v>1099000.0</v>
      </c>
      <c r="H2867" s="28">
        <v>952.0</v>
      </c>
      <c r="I2867" s="28">
        <v>2027.0</v>
      </c>
      <c r="J2867" s="28">
        <v>12240.0</v>
      </c>
      <c r="K2867" s="25" t="s">
        <v>28</v>
      </c>
      <c r="L2867" s="26">
        <v>4.0</v>
      </c>
      <c r="M2867" s="26">
        <v>2.0</v>
      </c>
      <c r="N2867" s="26">
        <v>0.0</v>
      </c>
      <c r="O2867" s="26">
        <v>0.0</v>
      </c>
      <c r="P2867" s="34">
        <v>1155.0</v>
      </c>
      <c r="Q2867" s="35">
        <v>0.0</v>
      </c>
      <c r="R2867" s="32">
        <v>44581.0</v>
      </c>
      <c r="S2867" s="32">
        <v>41510.0</v>
      </c>
      <c r="T2867" s="29"/>
      <c r="U2867" s="33"/>
      <c r="V2867" s="1"/>
    </row>
    <row r="2868" ht="24.0" customHeight="1">
      <c r="A2868" s="1"/>
      <c r="B2868" s="24" t="str">
        <f>HYPERLINK("https://www.compass.com/listing/40-east-94th-street-unit-29g-manhattan-ny-10128/803352050704523049/view?agent_id=610d3f3370540700019b0833","40 E 94th St, Unit 29G")</f>
        <v>40 E 94th St, Unit 29G</v>
      </c>
      <c r="C2868" s="25" t="s">
        <v>370</v>
      </c>
      <c r="D2868" s="26" t="s">
        <v>23</v>
      </c>
      <c r="E2868" s="27" t="str">
        <f>HYPERLINK("https://www.compass.com/building/carnegie-hill-tower-manhattan-ny/282052116103590933/","Carnegie Hill Tower")</f>
        <v>Carnegie Hill Tower</v>
      </c>
      <c r="F2868" s="25" t="s">
        <v>44</v>
      </c>
      <c r="G2868" s="28">
        <v>2450000.0</v>
      </c>
      <c r="H2868" s="28">
        <v>1772.0</v>
      </c>
      <c r="I2868" s="28">
        <v>2795.0</v>
      </c>
      <c r="J2868" s="28">
        <v>18072.0</v>
      </c>
      <c r="K2868" s="25" t="s">
        <v>28</v>
      </c>
      <c r="L2868" s="26">
        <v>4.0</v>
      </c>
      <c r="M2868" s="26">
        <v>2.0</v>
      </c>
      <c r="N2868" s="26">
        <v>0.0</v>
      </c>
      <c r="O2868" s="26">
        <v>0.0</v>
      </c>
      <c r="P2868" s="34">
        <v>1383.0</v>
      </c>
      <c r="Q2868" s="35">
        <v>210.0</v>
      </c>
      <c r="R2868" s="32">
        <v>45695.0</v>
      </c>
      <c r="S2868" s="32">
        <v>42360.0</v>
      </c>
      <c r="T2868" s="29"/>
      <c r="U2868" s="33"/>
      <c r="V2868" s="1"/>
    </row>
    <row r="2869" ht="24.0" customHeight="1">
      <c r="A2869" s="1"/>
      <c r="B2869" s="24" t="str">
        <f>HYPERLINK("https://www.compass.com/listing/1760-2nd-avenue-unit-18e-manhattan-ny-10128/29424658264747473/view?agent_id=610d3f3370540700019b0833","1760 2nd Ave, Unit 18E")</f>
        <v>1760 2nd Ave, Unit 18E</v>
      </c>
      <c r="C2869" s="25" t="s">
        <v>364</v>
      </c>
      <c r="D2869" s="26" t="s">
        <v>23</v>
      </c>
      <c r="E2869" s="27" t="str">
        <f>HYPERLINK("https://www.compass.com/building/chartwell-house-manhattan-ny/282049247073821685/","Chartwell House")</f>
        <v>Chartwell House</v>
      </c>
      <c r="F2869" s="25" t="s">
        <v>44</v>
      </c>
      <c r="G2869" s="28">
        <v>775000.0</v>
      </c>
      <c r="H2869" s="28">
        <v>1117.0</v>
      </c>
      <c r="I2869" s="28">
        <v>1358.0</v>
      </c>
      <c r="J2869" s="28">
        <v>8496.0</v>
      </c>
      <c r="K2869" s="25" t="s">
        <v>28</v>
      </c>
      <c r="L2869" s="26">
        <v>4.0</v>
      </c>
      <c r="M2869" s="26">
        <v>2.0</v>
      </c>
      <c r="N2869" s="26">
        <v>0.0</v>
      </c>
      <c r="O2869" s="26">
        <v>0.0</v>
      </c>
      <c r="P2869" s="26">
        <v>694.0</v>
      </c>
      <c r="Q2869" s="35">
        <v>28.0</v>
      </c>
      <c r="R2869" s="32">
        <v>45636.0</v>
      </c>
      <c r="S2869" s="32">
        <v>42286.0</v>
      </c>
      <c r="T2869" s="29"/>
      <c r="U2869" s="33"/>
      <c r="V2869" s="1"/>
    </row>
    <row r="2870" ht="24.0" customHeight="1">
      <c r="A2870" s="1"/>
      <c r="B2870" s="24" t="str">
        <f>HYPERLINK("https://www.compass.com/listing/420-west-47th-street-unit-2a-manhattan-ny-10036/465154622404330937/view?agent_id=610d3f3370540700019b0833","420 W 47th St, Unit 2A")</f>
        <v>420 W 47th St, Unit 2A</v>
      </c>
      <c r="C2870" s="25" t="s">
        <v>365</v>
      </c>
      <c r="D2870" s="26" t="s">
        <v>23</v>
      </c>
      <c r="E2870" s="27" t="str">
        <f>HYPERLINK("https://www.compass.com/building/420-w-47th-st-manhattan-ny-10036/282024953329493957/","420 W 47th St")</f>
        <v>420 W 47th St</v>
      </c>
      <c r="F2870" s="25" t="s">
        <v>47</v>
      </c>
      <c r="G2870" s="28">
        <v>799000.0</v>
      </c>
      <c r="H2870" s="29"/>
      <c r="I2870" s="28">
        <v>1116.0</v>
      </c>
      <c r="J2870" s="28">
        <v>0.0</v>
      </c>
      <c r="K2870" s="25" t="s">
        <v>25</v>
      </c>
      <c r="L2870" s="26">
        <v>4.0</v>
      </c>
      <c r="M2870" s="26">
        <v>2.0</v>
      </c>
      <c r="N2870" s="26">
        <v>1.0</v>
      </c>
      <c r="O2870" s="26">
        <v>0.0</v>
      </c>
      <c r="P2870" s="30"/>
      <c r="Q2870" s="35">
        <v>16.0</v>
      </c>
      <c r="R2870" s="32">
        <v>43961.0</v>
      </c>
      <c r="S2870" s="32">
        <v>43893.0</v>
      </c>
      <c r="T2870" s="29"/>
      <c r="U2870" s="33"/>
      <c r="V2870" s="1"/>
    </row>
    <row r="2871" ht="24.0" customHeight="1">
      <c r="A2871" s="1"/>
      <c r="B2871" s="24" t="str">
        <f>HYPERLINK("https://www.compass.com/listing/429-kent-avenue-unit-607-brooklyn-ny-11249/29482828261585585/view?agent_id=610d3f3370540700019b0833","429 Kent Ave, Unit 607")</f>
        <v>429 Kent Ave, Unit 607</v>
      </c>
      <c r="C2871" s="25" t="s">
        <v>364</v>
      </c>
      <c r="D2871" s="26" t="s">
        <v>23</v>
      </c>
      <c r="E2871" s="27" t="str">
        <f t="shared" ref="E2871:E2872" si="78">HYPERLINK("https://www.compass.com/building/the-oosten-brooklyn-ny/293425863259659349/","The Oosten")</f>
        <v>The Oosten</v>
      </c>
      <c r="F2871" s="25" t="s">
        <v>46</v>
      </c>
      <c r="G2871" s="28">
        <v>4195.0</v>
      </c>
      <c r="H2871" s="28">
        <v>4.0</v>
      </c>
      <c r="I2871" s="28">
        <v>25.0</v>
      </c>
      <c r="J2871" s="28">
        <v>240.0</v>
      </c>
      <c r="K2871" s="25" t="s">
        <v>28</v>
      </c>
      <c r="L2871" s="26">
        <v>4.0</v>
      </c>
      <c r="M2871" s="26">
        <v>2.0</v>
      </c>
      <c r="N2871" s="26">
        <v>0.0</v>
      </c>
      <c r="O2871" s="26">
        <v>0.0</v>
      </c>
      <c r="P2871" s="34">
        <v>1052.0</v>
      </c>
      <c r="Q2871" s="35">
        <v>99.0</v>
      </c>
      <c r="R2871" s="32">
        <v>44581.0</v>
      </c>
      <c r="S2871" s="32">
        <v>42814.0</v>
      </c>
      <c r="T2871" s="29"/>
      <c r="U2871" s="33"/>
      <c r="V2871" s="1"/>
    </row>
    <row r="2872" ht="24.0" customHeight="1">
      <c r="A2872" s="1"/>
      <c r="B2872" s="24" t="str">
        <f>HYPERLINK("https://www.compass.com/listing/429-kent-avenue-unit-709-brooklyn-ny-11249/29482839502320481/view?agent_id=610d3f3370540700019b0833","429 Kent Ave, Unit 709")</f>
        <v>429 Kent Ave, Unit 709</v>
      </c>
      <c r="C2872" s="25" t="s">
        <v>364</v>
      </c>
      <c r="D2872" s="26" t="s">
        <v>23</v>
      </c>
      <c r="E2872" s="27" t="str">
        <f t="shared" si="78"/>
        <v>The Oosten</v>
      </c>
      <c r="F2872" s="25" t="s">
        <v>46</v>
      </c>
      <c r="G2872" s="28">
        <v>4395.0</v>
      </c>
      <c r="H2872" s="28">
        <v>4.0</v>
      </c>
      <c r="I2872" s="28">
        <v>4.0</v>
      </c>
      <c r="J2872" s="28">
        <v>24.0</v>
      </c>
      <c r="K2872" s="25" t="s">
        <v>28</v>
      </c>
      <c r="L2872" s="26">
        <v>4.0</v>
      </c>
      <c r="M2872" s="26">
        <v>2.0</v>
      </c>
      <c r="N2872" s="26">
        <v>0.0</v>
      </c>
      <c r="O2872" s="26">
        <v>0.0</v>
      </c>
      <c r="P2872" s="34">
        <v>1052.0</v>
      </c>
      <c r="Q2872" s="35">
        <v>109.0</v>
      </c>
      <c r="R2872" s="32">
        <v>44581.0</v>
      </c>
      <c r="S2872" s="32">
        <v>42802.0</v>
      </c>
      <c r="T2872" s="29"/>
      <c r="U2872" s="33"/>
      <c r="V2872" s="1"/>
    </row>
    <row r="2873" ht="24.0" customHeight="1">
      <c r="A2873" s="1"/>
      <c r="B2873" s="24" t="str">
        <f>HYPERLINK("https://www.compass.com/listing/147-south-oxford-street-unit-2a-brooklyn-ny-11217/1039988344605536001/view?agent_id=610d3f3370540700019b0833","147 S Oxford St, Unit 2A")</f>
        <v>147 S Oxford St, Unit 2A</v>
      </c>
      <c r="C2873" s="25" t="s">
        <v>364</v>
      </c>
      <c r="D2873" s="26" t="s">
        <v>23</v>
      </c>
      <c r="E2873" s="27" t="str">
        <f>HYPERLINK("https://www.compass.com/building/147-s-oxford-st-brooklyn-ny-11217/282504158903353573/","147 S Oxford St")</f>
        <v>147 S Oxford St</v>
      </c>
      <c r="F2873" s="25" t="s">
        <v>59</v>
      </c>
      <c r="G2873" s="28">
        <v>925000.0</v>
      </c>
      <c r="H2873" s="29"/>
      <c r="I2873" s="28">
        <v>991.0</v>
      </c>
      <c r="J2873" s="28">
        <v>0.0</v>
      </c>
      <c r="K2873" s="25" t="s">
        <v>25</v>
      </c>
      <c r="L2873" s="26">
        <v>5.0</v>
      </c>
      <c r="M2873" s="26">
        <v>2.0</v>
      </c>
      <c r="N2873" s="26">
        <v>1.0</v>
      </c>
      <c r="O2873" s="30"/>
      <c r="P2873" s="30"/>
      <c r="Q2873" s="35">
        <v>20.0</v>
      </c>
      <c r="R2873" s="32">
        <v>44707.0</v>
      </c>
      <c r="S2873" s="32">
        <v>44686.0</v>
      </c>
      <c r="T2873" s="29"/>
      <c r="U2873" s="33"/>
      <c r="V2873" s="1"/>
    </row>
    <row r="2874" ht="24.0" customHeight="1">
      <c r="A2874" s="1"/>
      <c r="B2874" s="24" t="str">
        <f>HYPERLINK("https://www.compass.com/listing/1619-3rd-avenue-unit-7k-manhattan-ny-10128/803344418010542801/view?agent_id=610d3f3370540700019b0833","1619 3rd Ave, Unit 7K")</f>
        <v>1619 3rd Ave, Unit 7K</v>
      </c>
      <c r="C2874" s="25" t="s">
        <v>370</v>
      </c>
      <c r="D2874" s="26" t="s">
        <v>23</v>
      </c>
      <c r="E2874" s="27" t="str">
        <f>HYPERLINK("https://www.compass.com/building/ruppert-tower-2-manhattan-ny/282048002724489621/","Ruppert Tower 2")</f>
        <v>Ruppert Tower 2</v>
      </c>
      <c r="F2874" s="25" t="s">
        <v>44</v>
      </c>
      <c r="G2874" s="28">
        <v>1200000.0</v>
      </c>
      <c r="H2874" s="28">
        <v>1039.0</v>
      </c>
      <c r="I2874" s="28">
        <v>2027.0</v>
      </c>
      <c r="J2874" s="28">
        <v>12240.0</v>
      </c>
      <c r="K2874" s="25" t="s">
        <v>28</v>
      </c>
      <c r="L2874" s="26">
        <v>4.0</v>
      </c>
      <c r="M2874" s="26">
        <v>2.0</v>
      </c>
      <c r="N2874" s="26">
        <v>0.0</v>
      </c>
      <c r="O2874" s="26">
        <v>0.0</v>
      </c>
      <c r="P2874" s="34">
        <v>1155.0</v>
      </c>
      <c r="Q2874" s="35">
        <v>25.0</v>
      </c>
      <c r="R2874" s="32">
        <v>44581.0</v>
      </c>
      <c r="S2874" s="32">
        <v>41471.0</v>
      </c>
      <c r="T2874" s="29"/>
      <c r="U2874" s="33"/>
      <c r="V2874" s="1"/>
    </row>
    <row r="2875" ht="24.0" customHeight="1">
      <c r="A2875" s="1"/>
      <c r="B2875" s="24" t="str">
        <f>HYPERLINK("https://www.compass.com/listing/234-south-3rd-street-unit-4-brooklyn-ny-11211/4852267281188657969/view?agent_id=610d3f3370540700019b0833","234 S 3rd St, Unit 4")</f>
        <v>234 S 3rd St, Unit 4</v>
      </c>
      <c r="C2875" s="25" t="s">
        <v>364</v>
      </c>
      <c r="D2875" s="26" t="s">
        <v>23</v>
      </c>
      <c r="E2875" s="27" t="str">
        <f>HYPERLINK("https://www.compass.com/building/234-s-3rd-st-brooklyn-ny-11211/282393795213980373/","234 S 3rd St")</f>
        <v>234 S 3rd St</v>
      </c>
      <c r="F2875" s="25" t="s">
        <v>46</v>
      </c>
      <c r="G2875" s="28">
        <v>599000.0</v>
      </c>
      <c r="H2875" s="29"/>
      <c r="I2875" s="28">
        <v>550.0</v>
      </c>
      <c r="J2875" s="29"/>
      <c r="K2875" s="25" t="s">
        <v>383</v>
      </c>
      <c r="L2875" s="26">
        <v>5.0</v>
      </c>
      <c r="M2875" s="26">
        <v>2.0</v>
      </c>
      <c r="N2875" s="26">
        <v>0.0</v>
      </c>
      <c r="O2875" s="26">
        <v>0.0</v>
      </c>
      <c r="P2875" s="30"/>
      <c r="Q2875" s="35">
        <v>523.0</v>
      </c>
      <c r="R2875" s="32">
        <v>44581.0</v>
      </c>
      <c r="S2875" s="32">
        <v>42355.0</v>
      </c>
      <c r="T2875" s="29"/>
      <c r="U2875" s="33"/>
      <c r="V2875" s="1"/>
    </row>
    <row r="2876" ht="24.0" customHeight="1">
      <c r="A2876" s="1"/>
      <c r="B2876" s="24" t="str">
        <f>HYPERLINK("https://www.compass.com/listing/139-east-66th-street-unit-2n-manhattan-ny-10065/29412634042354081/view?agent_id=610d3f3370540700019b0833","139 E 66th St, Unit 2N")</f>
        <v>139 E 66th St, Unit 2N</v>
      </c>
      <c r="C2876" s="25" t="s">
        <v>364</v>
      </c>
      <c r="D2876" s="26" t="s">
        <v>23</v>
      </c>
      <c r="E2876" s="27" t="str">
        <f>HYPERLINK("https://www.compass.com/building/139-e-66th-st-manhattan-ny-10065/282036487053133141/","139 E 66th St")</f>
        <v>139 E 66th St</v>
      </c>
      <c r="F2876" s="25" t="s">
        <v>64</v>
      </c>
      <c r="G2876" s="28">
        <v>1675000.0</v>
      </c>
      <c r="H2876" s="29"/>
      <c r="I2876" s="28">
        <v>3640.0</v>
      </c>
      <c r="J2876" s="29"/>
      <c r="K2876" s="25" t="s">
        <v>25</v>
      </c>
      <c r="L2876" s="26">
        <v>6.0</v>
      </c>
      <c r="M2876" s="26">
        <v>2.0</v>
      </c>
      <c r="N2876" s="26">
        <v>0.0</v>
      </c>
      <c r="O2876" s="26">
        <v>0.0</v>
      </c>
      <c r="P2876" s="30"/>
      <c r="Q2876" s="35">
        <v>74.0</v>
      </c>
      <c r="R2876" s="32">
        <v>44581.0</v>
      </c>
      <c r="S2876" s="32">
        <v>41691.0</v>
      </c>
      <c r="T2876" s="29"/>
      <c r="U2876" s="33"/>
      <c r="V2876" s="1"/>
    </row>
    <row r="2877" ht="24.0" customHeight="1">
      <c r="A2877" s="1"/>
      <c r="B2877" s="24" t="str">
        <f>HYPERLINK("https://www.compass.com/listing/529-west-42nd-street-unit-5s-manhattan-ny-10036/803371327951713409/view?agent_id=610d3f3370540700019b0833","529 W 42nd St, Unit 5S")</f>
        <v>529 W 42nd St, Unit 5S</v>
      </c>
      <c r="C2877" s="25" t="s">
        <v>364</v>
      </c>
      <c r="D2877" s="26" t="s">
        <v>23</v>
      </c>
      <c r="E2877" s="27" t="str">
        <f>HYPERLINK("https://www.compass.com/building/the-armory-manhattan-ny/282026220797831989/","The Armory")</f>
        <v>The Armory</v>
      </c>
      <c r="F2877" s="25" t="s">
        <v>47</v>
      </c>
      <c r="G2877" s="28">
        <v>1095000.0</v>
      </c>
      <c r="H2877" s="28">
        <v>913.0</v>
      </c>
      <c r="I2877" s="28">
        <v>2262.0</v>
      </c>
      <c r="J2877" s="29"/>
      <c r="K2877" s="25" t="s">
        <v>25</v>
      </c>
      <c r="L2877" s="26">
        <v>5.0</v>
      </c>
      <c r="M2877" s="26">
        <v>2.0</v>
      </c>
      <c r="N2877" s="26">
        <v>0.0</v>
      </c>
      <c r="O2877" s="26">
        <v>0.0</v>
      </c>
      <c r="P2877" s="34">
        <v>1200.0</v>
      </c>
      <c r="Q2877" s="35">
        <v>183.0</v>
      </c>
      <c r="R2877" s="32">
        <v>45636.0</v>
      </c>
      <c r="S2877" s="32">
        <v>41842.0</v>
      </c>
      <c r="T2877" s="29"/>
      <c r="U2877" s="33"/>
      <c r="V2877" s="1"/>
    </row>
    <row r="2878" ht="24.0" customHeight="1">
      <c r="A2878" s="1"/>
      <c r="B2878" s="24" t="str">
        <f>HYPERLINK("https://www.compass.com/listing/65-east-96th-street-unit-10c-manhattan-ny-10128/803313246396416113/view?agent_id=610d3f3370540700019b0833","65 E 96th St, Unit 10C")</f>
        <v>65 E 96th St, Unit 10C</v>
      </c>
      <c r="C2878" s="25" t="s">
        <v>364</v>
      </c>
      <c r="D2878" s="26" t="s">
        <v>23</v>
      </c>
      <c r="E2878" s="27" t="str">
        <f>HYPERLINK("https://www.compass.com/building/65-e-96th-st-manhattan-ny-10128/455671664496402557/","65 E 96th St")</f>
        <v>65 E 96th St</v>
      </c>
      <c r="F2878" s="25" t="s">
        <v>44</v>
      </c>
      <c r="G2878" s="28">
        <v>1950000.0</v>
      </c>
      <c r="H2878" s="28">
        <v>1490.0</v>
      </c>
      <c r="I2878" s="28">
        <v>2565.0</v>
      </c>
      <c r="J2878" s="28">
        <v>15816.0</v>
      </c>
      <c r="K2878" s="25" t="s">
        <v>28</v>
      </c>
      <c r="L2878" s="26">
        <v>5.0</v>
      </c>
      <c r="M2878" s="26">
        <v>2.0</v>
      </c>
      <c r="N2878" s="26">
        <v>0.0</v>
      </c>
      <c r="O2878" s="26">
        <v>0.0</v>
      </c>
      <c r="P2878" s="34">
        <v>1309.0</v>
      </c>
      <c r="Q2878" s="35">
        <v>280.0</v>
      </c>
      <c r="R2878" s="32">
        <v>45636.0</v>
      </c>
      <c r="S2878" s="32">
        <v>42529.0</v>
      </c>
      <c r="T2878" s="29"/>
      <c r="U2878" s="33"/>
      <c r="V2878" s="1"/>
    </row>
    <row r="2879" ht="24.0" customHeight="1">
      <c r="A2879" s="1"/>
      <c r="B2879" s="24" t="str">
        <f>HYPERLINK("https://www.compass.com/listing/31-east-28th-street-unit-5e-manhattan-ny-10016/803305402100050865/view?agent_id=610d3f3370540700019b0833","31 E 28th St, Unit 5E")</f>
        <v>31 E 28th St, Unit 5E</v>
      </c>
      <c r="C2879" s="25" t="s">
        <v>364</v>
      </c>
      <c r="D2879" s="26" t="s">
        <v>23</v>
      </c>
      <c r="E2879" s="27" t="str">
        <f>HYPERLINK("https://www.compass.com/building/the-parkwood-manhattan-ny/281939605920471077/","The Parkwood")</f>
        <v>The Parkwood</v>
      </c>
      <c r="F2879" s="25" t="s">
        <v>382</v>
      </c>
      <c r="G2879" s="28">
        <v>3295000.0</v>
      </c>
      <c r="H2879" s="28">
        <v>1648.0</v>
      </c>
      <c r="I2879" s="28">
        <v>3814.0</v>
      </c>
      <c r="J2879" s="28">
        <v>23880.0</v>
      </c>
      <c r="K2879" s="25" t="s">
        <v>28</v>
      </c>
      <c r="L2879" s="26">
        <v>4.0</v>
      </c>
      <c r="M2879" s="26">
        <v>2.0</v>
      </c>
      <c r="N2879" s="26">
        <v>0.0</v>
      </c>
      <c r="O2879" s="26">
        <v>0.0</v>
      </c>
      <c r="P2879" s="34">
        <v>2000.0</v>
      </c>
      <c r="Q2879" s="35">
        <v>24.0</v>
      </c>
      <c r="R2879" s="32">
        <v>45636.0</v>
      </c>
      <c r="S2879" s="32">
        <v>42279.0</v>
      </c>
      <c r="T2879" s="29"/>
      <c r="U2879" s="33"/>
      <c r="V2879" s="1"/>
    </row>
    <row r="2880" ht="24.0" customHeight="1">
      <c r="A2880" s="1"/>
      <c r="B2880" s="24" t="str">
        <f>HYPERLINK("https://www.compass.com/listing/330-spring-street-unit-7c-manhattan-ny-10013/29366903269040321/view?agent_id=610d3f3370540700019b0833","330 Spring St, Unit 7C")</f>
        <v>330 Spring St, Unit 7C</v>
      </c>
      <c r="C2880" s="25" t="s">
        <v>370</v>
      </c>
      <c r="D2880" s="26" t="s">
        <v>23</v>
      </c>
      <c r="E2880" s="27" t="str">
        <f>HYPERLINK("https://www.compass.com/building/the-urban-glass-house-manhattan-ny/281919040954338069/","The Urban Glass House")</f>
        <v>The Urban Glass House</v>
      </c>
      <c r="F2880" s="25" t="s">
        <v>135</v>
      </c>
      <c r="G2880" s="28">
        <v>2250000.0</v>
      </c>
      <c r="H2880" s="28">
        <v>1596.0</v>
      </c>
      <c r="I2880" s="28">
        <v>2276.0</v>
      </c>
      <c r="J2880" s="28">
        <v>4524.0</v>
      </c>
      <c r="K2880" s="25" t="s">
        <v>28</v>
      </c>
      <c r="L2880" s="26">
        <v>5.0</v>
      </c>
      <c r="M2880" s="26">
        <v>2.0</v>
      </c>
      <c r="N2880" s="26">
        <v>0.0</v>
      </c>
      <c r="O2880" s="26">
        <v>0.0</v>
      </c>
      <c r="P2880" s="34">
        <v>1410.0</v>
      </c>
      <c r="Q2880" s="35">
        <v>0.0</v>
      </c>
      <c r="R2880" s="32">
        <v>44581.0</v>
      </c>
      <c r="S2880" s="32">
        <v>41538.0</v>
      </c>
      <c r="T2880" s="29"/>
      <c r="U2880" s="33"/>
      <c r="V2880" s="1"/>
    </row>
    <row r="2881" ht="24.0" customHeight="1">
      <c r="A2881" s="1"/>
      <c r="B2881" s="24" t="str">
        <f>HYPERLINK("https://www.compass.com/listing/39-east-29th-street-unit-6a-manhattan-ny-10016/29376360661167265/view?agent_id=610d3f3370540700019b0833","39 E 29th St, Unit 6A")</f>
        <v>39 E 29th St, Unit 6A</v>
      </c>
      <c r="C2881" s="25" t="s">
        <v>370</v>
      </c>
      <c r="D2881" s="26" t="s">
        <v>23</v>
      </c>
      <c r="E2881" s="27" t="str">
        <f>HYPERLINK("https://www.compass.com/building/twenty9th-park-madison-manhattan-ny/281940355719420901/","Twenty9th Park Madison")</f>
        <v>Twenty9th Park Madison</v>
      </c>
      <c r="F2881" s="25" t="s">
        <v>382</v>
      </c>
      <c r="G2881" s="28">
        <v>2050000.0</v>
      </c>
      <c r="H2881" s="28">
        <v>1769.0</v>
      </c>
      <c r="I2881" s="28">
        <v>1837.0</v>
      </c>
      <c r="J2881" s="28">
        <v>9744.0</v>
      </c>
      <c r="K2881" s="25" t="s">
        <v>28</v>
      </c>
      <c r="L2881" s="26">
        <v>4.0</v>
      </c>
      <c r="M2881" s="26">
        <v>2.0</v>
      </c>
      <c r="N2881" s="26">
        <v>0.0</v>
      </c>
      <c r="O2881" s="26">
        <v>0.0</v>
      </c>
      <c r="P2881" s="34">
        <v>1159.0</v>
      </c>
      <c r="Q2881" s="35">
        <v>135.0</v>
      </c>
      <c r="R2881" s="32">
        <v>45636.0</v>
      </c>
      <c r="S2881" s="32">
        <v>42280.0</v>
      </c>
      <c r="T2881" s="29"/>
      <c r="U2881" s="33"/>
      <c r="V2881" s="1"/>
    </row>
    <row r="2882" ht="24.0" customHeight="1">
      <c r="A2882" s="1"/>
      <c r="B2882" s="24" t="str">
        <f>HYPERLINK("https://www.compass.com/listing/727-prospect-place-unit-4a-brooklyn-ny-11216/849034316376537641/view?agent_id=610d3f3370540700019b0833","727 Prospect Pl, Unit 4A")</f>
        <v>727 Prospect Pl, Unit 4A</v>
      </c>
      <c r="C2882" s="25" t="s">
        <v>364</v>
      </c>
      <c r="D2882" s="26" t="s">
        <v>23</v>
      </c>
      <c r="E2882" s="27" t="str">
        <f>HYPERLINK("https://www.compass.com/building/727-prospect-pl-brooklyn-ny-11216/293416861318622405/","727 Prospect Pl")</f>
        <v>727 Prospect Pl</v>
      </c>
      <c r="F2882" s="25" t="s">
        <v>113</v>
      </c>
      <c r="G2882" s="28">
        <v>1100000.0</v>
      </c>
      <c r="H2882" s="28">
        <v>877.0</v>
      </c>
      <c r="I2882" s="28">
        <v>393.0</v>
      </c>
      <c r="J2882" s="28">
        <v>300.0</v>
      </c>
      <c r="K2882" s="25" t="s">
        <v>28</v>
      </c>
      <c r="L2882" s="26">
        <v>5.0</v>
      </c>
      <c r="M2882" s="26">
        <v>2.0</v>
      </c>
      <c r="N2882" s="26">
        <v>0.0</v>
      </c>
      <c r="O2882" s="26">
        <v>0.0</v>
      </c>
      <c r="P2882" s="34">
        <v>1254.0</v>
      </c>
      <c r="Q2882" s="35">
        <v>634.0</v>
      </c>
      <c r="R2882" s="32">
        <v>45636.0</v>
      </c>
      <c r="S2882" s="32">
        <v>42482.0</v>
      </c>
      <c r="T2882" s="29"/>
      <c r="U2882" s="33"/>
      <c r="V2882" s="1"/>
    </row>
    <row r="2883" ht="24.0" customHeight="1">
      <c r="A2883" s="1"/>
      <c r="B2883" s="24" t="str">
        <f>HYPERLINK("https://www.compass.com/listing/529-west-42nd-street-unit-3p-manhattan-ny-10036/1266035268087284737/view?agent_id=610d3f3370540700019b0833","529 W 42nd St, Unit 3P")</f>
        <v>529 W 42nd St, Unit 3P</v>
      </c>
      <c r="C2883" s="25" t="s">
        <v>364</v>
      </c>
      <c r="D2883" s="26" t="s">
        <v>23</v>
      </c>
      <c r="E2883" s="27" t="str">
        <f>HYPERLINK("https://www.compass.com/building/the-armory-manhattan-ny/282026220797831989/","The Armory")</f>
        <v>The Armory</v>
      </c>
      <c r="F2883" s="25" t="s">
        <v>47</v>
      </c>
      <c r="G2883" s="28">
        <v>1299000.0</v>
      </c>
      <c r="H2883" s="28">
        <v>1039.0</v>
      </c>
      <c r="I2883" s="28">
        <v>2977.0</v>
      </c>
      <c r="J2883" s="28">
        <v>0.0</v>
      </c>
      <c r="K2883" s="25" t="s">
        <v>25</v>
      </c>
      <c r="L2883" s="26">
        <v>5.0</v>
      </c>
      <c r="M2883" s="26">
        <v>2.0</v>
      </c>
      <c r="N2883" s="26">
        <v>1.0</v>
      </c>
      <c r="O2883" s="26">
        <v>0.0</v>
      </c>
      <c r="P2883" s="34">
        <v>1250.0</v>
      </c>
      <c r="Q2883" s="35">
        <v>35.0</v>
      </c>
      <c r="R2883" s="32">
        <v>45033.0</v>
      </c>
      <c r="S2883" s="32">
        <v>44998.0</v>
      </c>
      <c r="T2883" s="29"/>
      <c r="U2883" s="33"/>
      <c r="V2883" s="1"/>
    </row>
    <row r="2884" ht="24.0" customHeight="1">
      <c r="A2884" s="1"/>
      <c r="B2884" s="24" t="str">
        <f>HYPERLINK("https://www.compass.com/listing/206-east-95th-street-unit-ph16b-manhattan-ny-10128/919812751118902657/view?agent_id=610d3f3370540700019b0833","206 E 95th St, Unit PH16B")</f>
        <v>206 E 95th St, Unit PH16B</v>
      </c>
      <c r="C2884" s="25" t="s">
        <v>364</v>
      </c>
      <c r="D2884" s="26" t="s">
        <v>23</v>
      </c>
      <c r="E2884" s="27" t="str">
        <f>HYPERLINK("https://www.compass.com/building/the-omni-manhattan-ny/282049940518104709/","The Omni")</f>
        <v>The Omni</v>
      </c>
      <c r="F2884" s="25" t="s">
        <v>44</v>
      </c>
      <c r="G2884" s="28">
        <v>1275000.0</v>
      </c>
      <c r="H2884" s="28">
        <v>1225.0</v>
      </c>
      <c r="I2884" s="28">
        <v>2943.0</v>
      </c>
      <c r="J2884" s="28">
        <v>16704.0</v>
      </c>
      <c r="K2884" s="25" t="s">
        <v>28</v>
      </c>
      <c r="L2884" s="26">
        <v>4.0</v>
      </c>
      <c r="M2884" s="26">
        <v>2.0</v>
      </c>
      <c r="N2884" s="26">
        <v>0.0</v>
      </c>
      <c r="O2884" s="26">
        <v>0.0</v>
      </c>
      <c r="P2884" s="34">
        <v>1041.0</v>
      </c>
      <c r="Q2884" s="35">
        <v>132.0</v>
      </c>
      <c r="R2884" s="32">
        <v>45636.0</v>
      </c>
      <c r="S2884" s="32">
        <v>41751.0</v>
      </c>
      <c r="T2884" s="29"/>
      <c r="U2884" s="33"/>
      <c r="V2884" s="1"/>
    </row>
    <row r="2885" ht="24.0" customHeight="1">
      <c r="A2885" s="1"/>
      <c r="B2885" s="24" t="str">
        <f>HYPERLINK("https://www.compass.com/listing/149-prospect-park-southwest-unit-2-brooklyn-ny-11218/1713966160771417745/view?agent_id=610d3f3370540700019b0833","149 Prospect Park SW, Unit 2")</f>
        <v>149 Prospect Park SW, Unit 2</v>
      </c>
      <c r="C2885" s="25" t="s">
        <v>365</v>
      </c>
      <c r="D2885" s="26" t="s">
        <v>23</v>
      </c>
      <c r="E2885" s="27" t="str">
        <f>HYPERLINK("https://www.compass.com/building/prospect-seeley-housing-corp-brooklyn-ny/293416806465514517/","Prospect Seeley Housing Corp.")</f>
        <v>Prospect Seeley Housing Corp.</v>
      </c>
      <c r="F2885" s="25" t="s">
        <v>106</v>
      </c>
      <c r="G2885" s="28">
        <v>650000.0</v>
      </c>
      <c r="H2885" s="28">
        <v>929.0</v>
      </c>
      <c r="I2885" s="28">
        <v>534.0</v>
      </c>
      <c r="J2885" s="28">
        <v>0.0</v>
      </c>
      <c r="K2885" s="25" t="s">
        <v>25</v>
      </c>
      <c r="L2885" s="26">
        <v>4.0</v>
      </c>
      <c r="M2885" s="26">
        <v>2.0</v>
      </c>
      <c r="N2885" s="26">
        <v>1.0</v>
      </c>
      <c r="O2885" s="30"/>
      <c r="P2885" s="26">
        <v>700.0</v>
      </c>
      <c r="Q2885" s="35">
        <v>172.0</v>
      </c>
      <c r="R2885" s="32">
        <v>45805.0</v>
      </c>
      <c r="S2885" s="32">
        <v>45633.0</v>
      </c>
      <c r="T2885" s="29"/>
      <c r="U2885" s="33"/>
      <c r="V2885" s="1"/>
    </row>
    <row r="2886" ht="24.0" customHeight="1">
      <c r="A2886" s="1"/>
      <c r="B2886" s="24" t="str">
        <f>HYPERLINK("https://www.compass.com/listing/429-kent-avenue-unit-804-brooklyn-ny-11249/852278741226140377/view?agent_id=610d3f3370540700019b0833","429 Kent Ave, Unit 804")</f>
        <v>429 Kent Ave, Unit 804</v>
      </c>
      <c r="C2886" s="25" t="s">
        <v>364</v>
      </c>
      <c r="D2886" s="26" t="s">
        <v>23</v>
      </c>
      <c r="E2886" s="27" t="str">
        <f>HYPERLINK("https://www.compass.com/building/the-oosten-brooklyn-ny/293425863259659349/","The Oosten")</f>
        <v>The Oosten</v>
      </c>
      <c r="F2886" s="25" t="s">
        <v>46</v>
      </c>
      <c r="G2886" s="28">
        <v>1512101.0</v>
      </c>
      <c r="H2886" s="28">
        <v>1286.0</v>
      </c>
      <c r="I2886" s="28">
        <v>1196.0</v>
      </c>
      <c r="J2886" s="28">
        <v>4848.0</v>
      </c>
      <c r="K2886" s="25" t="s">
        <v>28</v>
      </c>
      <c r="L2886" s="26">
        <v>4.0</v>
      </c>
      <c r="M2886" s="26">
        <v>2.0</v>
      </c>
      <c r="N2886" s="26">
        <v>0.0</v>
      </c>
      <c r="O2886" s="26">
        <v>0.0</v>
      </c>
      <c r="P2886" s="34">
        <v>1176.0</v>
      </c>
      <c r="Q2886" s="35">
        <v>90.0</v>
      </c>
      <c r="R2886" s="32">
        <v>44581.0</v>
      </c>
      <c r="S2886" s="32">
        <v>42591.0</v>
      </c>
      <c r="T2886" s="28">
        <v>1512101.0</v>
      </c>
      <c r="U2886" s="32">
        <v>42682.0</v>
      </c>
      <c r="V2886" s="1"/>
    </row>
    <row r="2887" ht="24.0" customHeight="1">
      <c r="A2887" s="1"/>
      <c r="B2887" s="24" t="str">
        <f>HYPERLINK("https://www.compass.com/listing/147-prospect-park-southwest-unit-10-brooklyn-ny-11218/638262994845042121/view?agent_id=610d3f3370540700019b0833","147 Prospect Park SW, Unit 10")</f>
        <v>147 Prospect Park SW, Unit 10</v>
      </c>
      <c r="C2887" s="25" t="s">
        <v>370</v>
      </c>
      <c r="D2887" s="26" t="s">
        <v>23</v>
      </c>
      <c r="E2887" s="27" t="str">
        <f>HYPERLINK("https://www.compass.com/building/147-prospect-park-sw-brooklyn-ny-11218/293531392116073285/","147 Prospect Park Sw")</f>
        <v>147 Prospect Park Sw</v>
      </c>
      <c r="F2887" s="25" t="s">
        <v>106</v>
      </c>
      <c r="G2887" s="28">
        <v>695000.0</v>
      </c>
      <c r="H2887" s="29"/>
      <c r="I2887" s="28">
        <v>873.0</v>
      </c>
      <c r="J2887" s="28">
        <v>0.0</v>
      </c>
      <c r="K2887" s="25" t="s">
        <v>25</v>
      </c>
      <c r="L2887" s="26">
        <v>5.0</v>
      </c>
      <c r="M2887" s="26">
        <v>2.0</v>
      </c>
      <c r="N2887" s="26">
        <v>1.0</v>
      </c>
      <c r="O2887" s="30"/>
      <c r="P2887" s="30"/>
      <c r="Q2887" s="35">
        <v>0.0</v>
      </c>
      <c r="R2887" s="32">
        <v>44133.0</v>
      </c>
      <c r="S2887" s="32">
        <v>44132.0</v>
      </c>
      <c r="T2887" s="29"/>
      <c r="U2887" s="33"/>
      <c r="V2887" s="1"/>
    </row>
    <row r="2888" ht="24.0" customHeight="1">
      <c r="A2888" s="1"/>
      <c r="B2888" s="24" t="str">
        <f>HYPERLINK("https://www.compass.com/listing/127-madison-avenue-unit-7-manhattan-ny-10016/919066599101159473/view?agent_id=610d3f3370540700019b0833","127 Madison Ave, Unit 7")</f>
        <v>127 Madison Ave, Unit 7</v>
      </c>
      <c r="C2888" s="25" t="s">
        <v>364</v>
      </c>
      <c r="D2888" s="26" t="s">
        <v>23</v>
      </c>
      <c r="E2888" s="27" t="str">
        <f>HYPERLINK("https://www.compass.com/building/m127-manhattan-ny/281922489183934965/","m127")</f>
        <v>m127</v>
      </c>
      <c r="F2888" s="25" t="s">
        <v>382</v>
      </c>
      <c r="G2888" s="28">
        <v>2195000.0</v>
      </c>
      <c r="H2888" s="28">
        <v>1392.0</v>
      </c>
      <c r="I2888" s="28">
        <v>2114.0</v>
      </c>
      <c r="J2888" s="28">
        <v>11748.0</v>
      </c>
      <c r="K2888" s="25" t="s">
        <v>28</v>
      </c>
      <c r="L2888" s="26">
        <v>4.0</v>
      </c>
      <c r="M2888" s="26">
        <v>2.0</v>
      </c>
      <c r="N2888" s="26">
        <v>0.0</v>
      </c>
      <c r="O2888" s="26">
        <v>0.0</v>
      </c>
      <c r="P2888" s="34">
        <v>1577.0</v>
      </c>
      <c r="Q2888" s="35">
        <v>286.0</v>
      </c>
      <c r="R2888" s="32">
        <v>45636.0</v>
      </c>
      <c r="S2888" s="32">
        <v>41446.0</v>
      </c>
      <c r="T2888" s="29"/>
      <c r="U2888" s="33"/>
      <c r="V2888" s="1"/>
    </row>
    <row r="2889" ht="24.0" customHeight="1">
      <c r="A2889" s="1"/>
      <c r="B2889" s="24" t="str">
        <f>HYPERLINK("https://www.compass.com/listing/1025-5th-avenue-unit-2cs-manhattan-ny-10028/1838919173309195361/view?agent_id=610d3f3370540700019b0833","1025 5th Ave, Unit 2CS")</f>
        <v>1025 5th Ave, Unit 2CS</v>
      </c>
      <c r="C2889" s="25" t="s">
        <v>364</v>
      </c>
      <c r="D2889" s="26" t="s">
        <v>23</v>
      </c>
      <c r="E2889" s="27" t="str">
        <f>HYPERLINK("https://www.compass.com/building/1025-5th-ave-manhattan-ny-10028/281983763662083397/","1025 5th Ave")</f>
        <v>1025 5th Ave</v>
      </c>
      <c r="F2889" s="25" t="s">
        <v>44</v>
      </c>
      <c r="G2889" s="28">
        <v>1775000.0</v>
      </c>
      <c r="H2889" s="29"/>
      <c r="I2889" s="28">
        <v>3389.0</v>
      </c>
      <c r="J2889" s="29"/>
      <c r="K2889" s="25" t="s">
        <v>25</v>
      </c>
      <c r="L2889" s="26">
        <v>4.0</v>
      </c>
      <c r="M2889" s="26">
        <v>2.0</v>
      </c>
      <c r="N2889" s="26">
        <v>0.0</v>
      </c>
      <c r="O2889" s="26">
        <v>0.0</v>
      </c>
      <c r="P2889" s="30"/>
      <c r="Q2889" s="35">
        <v>28.0</v>
      </c>
      <c r="R2889" s="32">
        <v>44581.0</v>
      </c>
      <c r="S2889" s="32">
        <v>43144.0</v>
      </c>
      <c r="T2889" s="29"/>
      <c r="U2889" s="33"/>
      <c r="V2889" s="1"/>
    </row>
    <row r="2890" ht="24.0" customHeight="1">
      <c r="A2890" s="1"/>
      <c r="B2890" s="24" t="str">
        <f>HYPERLINK("https://www.compass.com/listing/456-prospect-avenue-unit-1l-brooklyn-ny-11215/192565632456325233/view?agent_id=610d3f3370540700019b0833","456 Prospect Ave, Unit 1L")</f>
        <v>456 Prospect Ave, Unit 1L</v>
      </c>
      <c r="C2890" s="25" t="s">
        <v>364</v>
      </c>
      <c r="D2890" s="26" t="s">
        <v>23</v>
      </c>
      <c r="E2890" s="27" t="str">
        <f>HYPERLINK("https://www.compass.com/building/456-prospect-ave-brooklyn-ny-11215/282500909240498709/","456 Prospect Ave")</f>
        <v>456 Prospect Ave</v>
      </c>
      <c r="F2890" s="25" t="s">
        <v>40</v>
      </c>
      <c r="G2890" s="28">
        <v>180000.0</v>
      </c>
      <c r="H2890" s="29"/>
      <c r="I2890" s="28">
        <v>575.0</v>
      </c>
      <c r="J2890" s="29"/>
      <c r="K2890" s="25" t="s">
        <v>25</v>
      </c>
      <c r="L2890" s="26">
        <v>5.0</v>
      </c>
      <c r="M2890" s="26">
        <v>2.0</v>
      </c>
      <c r="N2890" s="26">
        <v>0.0</v>
      </c>
      <c r="O2890" s="26">
        <v>0.0</v>
      </c>
      <c r="P2890" s="30"/>
      <c r="Q2890" s="35">
        <v>683.0</v>
      </c>
      <c r="R2890" s="32">
        <v>44581.0</v>
      </c>
      <c r="S2890" s="32">
        <v>41245.0</v>
      </c>
      <c r="T2890" s="29"/>
      <c r="U2890" s="33"/>
      <c r="V2890" s="1"/>
    </row>
    <row r="2891" ht="24.0" customHeight="1">
      <c r="A2891" s="1"/>
      <c r="B2891" s="24" t="str">
        <f>HYPERLINK("https://www.compass.com/listing/440-kent-avenue-unit-17c-brooklyn-ny-11249/922275507345158185/view?agent_id=610d3f3370540700019b0833","440 Kent Ave, Unit 17C")</f>
        <v>440 Kent Ave, Unit 17C</v>
      </c>
      <c r="C2891" s="25" t="s">
        <v>370</v>
      </c>
      <c r="D2891" s="26" t="s">
        <v>23</v>
      </c>
      <c r="E2891" s="27" t="str">
        <f>HYPERLINK("https://www.compass.com/building/schaefer-landing-north-brooklyn-ny/293416489409686149/","Schaefer Landing North")</f>
        <v>Schaefer Landing North</v>
      </c>
      <c r="F2891" s="25" t="s">
        <v>46</v>
      </c>
      <c r="G2891" s="28">
        <v>1275000.0</v>
      </c>
      <c r="H2891" s="28">
        <v>1085.0</v>
      </c>
      <c r="I2891" s="28">
        <v>923.0</v>
      </c>
      <c r="J2891" s="28">
        <v>36.0</v>
      </c>
      <c r="K2891" s="25" t="s">
        <v>28</v>
      </c>
      <c r="L2891" s="26">
        <v>5.0</v>
      </c>
      <c r="M2891" s="26">
        <v>2.0</v>
      </c>
      <c r="N2891" s="26">
        <v>0.0</v>
      </c>
      <c r="O2891" s="26">
        <v>0.0</v>
      </c>
      <c r="P2891" s="34">
        <v>1175.0</v>
      </c>
      <c r="Q2891" s="35">
        <v>0.0</v>
      </c>
      <c r="R2891" s="32">
        <v>44581.0</v>
      </c>
      <c r="S2891" s="32">
        <v>42101.0</v>
      </c>
      <c r="T2891" s="29"/>
      <c r="U2891" s="33"/>
      <c r="V2891" s="1"/>
    </row>
    <row r="2892" ht="24.0" customHeight="1">
      <c r="A2892" s="1"/>
      <c r="B2892" s="24" t="str">
        <f>HYPERLINK("https://www.compass.com/listing/325-west-45th-street-unit-phb-manhattan-ny-10036/921085468753609609/view?agent_id=610d3f3370540700019b0833","325 W 45th St, Unit PHB")</f>
        <v>325 W 45th St, Unit PHB</v>
      </c>
      <c r="C2892" s="25" t="s">
        <v>364</v>
      </c>
      <c r="D2892" s="26" t="s">
        <v>23</v>
      </c>
      <c r="E2892" s="27" t="str">
        <f>HYPERLINK("https://www.compass.com/building/the-whitby-manhattan-ny/282023862651069173/","The Whitby")</f>
        <v>The Whitby</v>
      </c>
      <c r="F2892" s="25" t="s">
        <v>47</v>
      </c>
      <c r="G2892" s="28">
        <v>1200000.0</v>
      </c>
      <c r="H2892" s="29"/>
      <c r="I2892" s="28">
        <v>1635.0</v>
      </c>
      <c r="J2892" s="29"/>
      <c r="K2892" s="25" t="s">
        <v>25</v>
      </c>
      <c r="L2892" s="26">
        <v>4.0</v>
      </c>
      <c r="M2892" s="26">
        <v>2.0</v>
      </c>
      <c r="N2892" s="26">
        <v>0.0</v>
      </c>
      <c r="O2892" s="26">
        <v>0.0</v>
      </c>
      <c r="P2892" s="30"/>
      <c r="Q2892" s="35">
        <v>13.0</v>
      </c>
      <c r="R2892" s="32">
        <v>44581.0</v>
      </c>
      <c r="S2892" s="32">
        <v>42147.0</v>
      </c>
      <c r="T2892" s="29"/>
      <c r="U2892" s="33"/>
      <c r="V2892" s="1"/>
    </row>
    <row r="2893" ht="24.0" customHeight="1">
      <c r="A2893" s="1"/>
      <c r="B2893" s="24" t="str">
        <f>HYPERLINK("https://www.compass.com/listing/536-west-43rd-street-unit-1g-manhattan-ny-10036/95279956090690817/view?agent_id=610d3f3370540700019b0833","529 W 42nd St, Unit 1G")</f>
        <v>529 W 42nd St, Unit 1G</v>
      </c>
      <c r="C2893" s="25" t="s">
        <v>364</v>
      </c>
      <c r="D2893" s="26" t="s">
        <v>23</v>
      </c>
      <c r="E2893" s="27" t="str">
        <f>HYPERLINK("https://www.compass.com/building/the-armory-manhattan-ny/282026220797831989/","The Armory")</f>
        <v>The Armory</v>
      </c>
      <c r="F2893" s="25" t="s">
        <v>47</v>
      </c>
      <c r="G2893" s="28">
        <v>1495000.0</v>
      </c>
      <c r="H2893" s="28">
        <v>680.0</v>
      </c>
      <c r="I2893" s="28">
        <v>3738.0</v>
      </c>
      <c r="J2893" s="28">
        <v>0.0</v>
      </c>
      <c r="K2893" s="25" t="s">
        <v>25</v>
      </c>
      <c r="L2893" s="26">
        <v>4.0</v>
      </c>
      <c r="M2893" s="26">
        <v>2.0</v>
      </c>
      <c r="N2893" s="26">
        <v>1.0</v>
      </c>
      <c r="O2893" s="30"/>
      <c r="P2893" s="34">
        <v>2200.0</v>
      </c>
      <c r="Q2893" s="35">
        <v>162.0</v>
      </c>
      <c r="R2893" s="32">
        <v>43560.0</v>
      </c>
      <c r="S2893" s="32">
        <v>43387.0</v>
      </c>
      <c r="T2893" s="29"/>
      <c r="U2893" s="33"/>
      <c r="V2893" s="1"/>
    </row>
    <row r="2894" ht="24.0" customHeight="1">
      <c r="A2894" s="1"/>
      <c r="B2894" s="24" t="str">
        <f>HYPERLINK("https://www.compass.com/listing/154-south-3rd-street-unit-3-brooklyn-ny-11211/887630453744243753/view?agent_id=610d3f3370540700019b0833","154 S 3rd St, Unit 3")</f>
        <v>154 S 3rd St, Unit 3</v>
      </c>
      <c r="C2894" s="25" t="s">
        <v>364</v>
      </c>
      <c r="D2894" s="26" t="s">
        <v>23</v>
      </c>
      <c r="E2894" s="27" t="str">
        <f>HYPERLINK("https://www.compass.com/building/154-s-3rd-st-brooklyn-ny-11211/282402887684926277/","154 S 3rd St")</f>
        <v>154 S 3rd St</v>
      </c>
      <c r="F2894" s="25" t="s">
        <v>46</v>
      </c>
      <c r="G2894" s="28">
        <v>499000.0</v>
      </c>
      <c r="H2894" s="29"/>
      <c r="I2894" s="28">
        <v>450.0</v>
      </c>
      <c r="J2894" s="28">
        <v>0.0</v>
      </c>
      <c r="K2894" s="25" t="s">
        <v>25</v>
      </c>
      <c r="L2894" s="26">
        <v>4.0</v>
      </c>
      <c r="M2894" s="26">
        <v>2.0</v>
      </c>
      <c r="N2894" s="26">
        <v>1.0</v>
      </c>
      <c r="O2894" s="30"/>
      <c r="P2894" s="30"/>
      <c r="Q2894" s="35">
        <v>171.0</v>
      </c>
      <c r="R2894" s="32">
        <v>44738.0</v>
      </c>
      <c r="S2894" s="32">
        <v>44512.0</v>
      </c>
      <c r="T2894" s="29"/>
      <c r="U2894" s="33"/>
      <c r="V2894" s="1"/>
    </row>
    <row r="2895" ht="24.0" customHeight="1">
      <c r="A2895" s="1"/>
      <c r="B2895" s="24" t="str">
        <f>HYPERLINK("https://www.compass.com/listing/1492-bedford-avenue-unit-3b-brooklyn-ny-11216/29512925295251473/view?agent_id=610d3f3370540700019b0833","1492 Bedford Ave, Unit 3B")</f>
        <v>1492 Bedford Ave, Unit 3B</v>
      </c>
      <c r="C2895" s="25" t="s">
        <v>364</v>
      </c>
      <c r="D2895" s="26" t="s">
        <v>23</v>
      </c>
      <c r="E2895" s="27" t="str">
        <f>HYPERLINK("https://www.compass.com/building/1492-bedford-ave-brooklyn-ny-11216/293417005955001205/","1492 Bedford Ave")</f>
        <v>1492 Bedford Ave</v>
      </c>
      <c r="F2895" s="25" t="s">
        <v>113</v>
      </c>
      <c r="G2895" s="28">
        <v>699000.0</v>
      </c>
      <c r="H2895" s="28">
        <v>820.0</v>
      </c>
      <c r="I2895" s="28">
        <v>686.0</v>
      </c>
      <c r="J2895" s="28">
        <v>4789.0</v>
      </c>
      <c r="K2895" s="25" t="s">
        <v>28</v>
      </c>
      <c r="L2895" s="26">
        <v>4.0</v>
      </c>
      <c r="M2895" s="26">
        <v>2.0</v>
      </c>
      <c r="N2895" s="26">
        <v>1.0</v>
      </c>
      <c r="O2895" s="26">
        <v>0.0</v>
      </c>
      <c r="P2895" s="26">
        <v>852.0</v>
      </c>
      <c r="Q2895" s="35">
        <v>195.0</v>
      </c>
      <c r="R2895" s="32">
        <v>45636.0</v>
      </c>
      <c r="S2895" s="32">
        <v>43241.0</v>
      </c>
      <c r="T2895" s="29"/>
      <c r="U2895" s="33"/>
      <c r="V2895" s="1"/>
    </row>
    <row r="2896" ht="24.0" customHeight="1">
      <c r="A2896" s="1"/>
      <c r="B2896" s="24" t="str">
        <f>HYPERLINK("https://www.compass.com/listing/1623-3rd-avenue-unit-23d-manhattan-ny-10128/192573052867843425/view?agent_id=610d3f3370540700019b0833","1623 3rd Ave, Unit 23D")</f>
        <v>1623 3rd Ave, Unit 23D</v>
      </c>
      <c r="C2896" s="25" t="s">
        <v>364</v>
      </c>
      <c r="D2896" s="26" t="s">
        <v>23</v>
      </c>
      <c r="E2896" s="27" t="str">
        <f>HYPERLINK("https://www.compass.com/building/yorkville-tower-1-manhattan-ny/282058752062946053/","Yorkville Tower 1")</f>
        <v>Yorkville Tower 1</v>
      </c>
      <c r="F2896" s="25" t="s">
        <v>44</v>
      </c>
      <c r="G2896" s="28">
        <v>925000.0</v>
      </c>
      <c r="H2896" s="28">
        <v>1171.0</v>
      </c>
      <c r="I2896" s="28">
        <v>1440.0</v>
      </c>
      <c r="J2896" s="28">
        <v>9096.0</v>
      </c>
      <c r="K2896" s="25" t="s">
        <v>28</v>
      </c>
      <c r="L2896" s="26">
        <v>3.0</v>
      </c>
      <c r="M2896" s="26">
        <v>2.0</v>
      </c>
      <c r="N2896" s="26">
        <v>0.0</v>
      </c>
      <c r="O2896" s="26">
        <v>0.0</v>
      </c>
      <c r="P2896" s="26">
        <v>790.0</v>
      </c>
      <c r="Q2896" s="35">
        <v>175.0</v>
      </c>
      <c r="R2896" s="32">
        <v>45636.0</v>
      </c>
      <c r="S2896" s="32">
        <v>42178.0</v>
      </c>
      <c r="T2896" s="29"/>
      <c r="U2896" s="33"/>
      <c r="V2896" s="1"/>
    </row>
    <row r="2897" ht="24.0" customHeight="1">
      <c r="A2897" s="1"/>
      <c r="B2897" s="24" t="str">
        <f>HYPERLINK("https://www.compass.com/listing/141-east-88th-street-unit-2g-manhattan-ny-10128/919049439464425673/view?agent_id=610d3f3370540700019b0833","141 E 88th St, Unit 2G")</f>
        <v>141 E 88th St, Unit 2G</v>
      </c>
      <c r="C2897" s="25" t="s">
        <v>364</v>
      </c>
      <c r="D2897" s="26" t="s">
        <v>23</v>
      </c>
      <c r="E2897" s="27" t="str">
        <f>HYPERLINK("https://www.compass.com/building/philip-house-manhattan-ny/282047422375420037/","Philip House")</f>
        <v>Philip House</v>
      </c>
      <c r="F2897" s="25" t="s">
        <v>44</v>
      </c>
      <c r="G2897" s="28">
        <v>3850000.0</v>
      </c>
      <c r="H2897" s="28">
        <v>2084.0</v>
      </c>
      <c r="I2897" s="28">
        <v>3526.0</v>
      </c>
      <c r="J2897" s="28">
        <v>17436.0</v>
      </c>
      <c r="K2897" s="25" t="s">
        <v>28</v>
      </c>
      <c r="L2897" s="26">
        <v>4.0</v>
      </c>
      <c r="M2897" s="26">
        <v>2.0</v>
      </c>
      <c r="N2897" s="26">
        <v>0.0</v>
      </c>
      <c r="O2897" s="26">
        <v>0.0</v>
      </c>
      <c r="P2897" s="34">
        <v>1847.0</v>
      </c>
      <c r="Q2897" s="35">
        <v>0.0</v>
      </c>
      <c r="R2897" s="32">
        <v>44581.0</v>
      </c>
      <c r="S2897" s="32">
        <v>41684.0</v>
      </c>
      <c r="T2897" s="29"/>
      <c r="U2897" s="33"/>
      <c r="V2897" s="1"/>
    </row>
    <row r="2898" ht="24.0" customHeight="1">
      <c r="A2898" s="1"/>
      <c r="B2898" s="24" t="str">
        <f>HYPERLINK("https://www.compass.com/listing/11-east-29th-street-unit-29a-manhattan-ny-10016/921522190960024905/view?agent_id=610d3f3370540700019b0833","11 E 29th St, Unit 29A")</f>
        <v>11 E 29th St, Unit 29A</v>
      </c>
      <c r="C2898" s="25" t="s">
        <v>370</v>
      </c>
      <c r="D2898" s="26" t="s">
        <v>23</v>
      </c>
      <c r="E2898" s="27" t="str">
        <f>HYPERLINK("https://www.compass.com/building/sky-house-manhattan-ny/281922443809952549/","Sky House")</f>
        <v>Sky House</v>
      </c>
      <c r="F2898" s="25" t="s">
        <v>382</v>
      </c>
      <c r="G2898" s="28">
        <v>2750000.0</v>
      </c>
      <c r="H2898" s="28">
        <v>1712.0</v>
      </c>
      <c r="I2898" s="28">
        <v>3936.0</v>
      </c>
      <c r="J2898" s="28">
        <v>28284.0</v>
      </c>
      <c r="K2898" s="25" t="s">
        <v>28</v>
      </c>
      <c r="L2898" s="26">
        <v>5.0</v>
      </c>
      <c r="M2898" s="26">
        <v>2.0</v>
      </c>
      <c r="N2898" s="26">
        <v>0.0</v>
      </c>
      <c r="O2898" s="26">
        <v>0.0</v>
      </c>
      <c r="P2898" s="34">
        <v>1606.0</v>
      </c>
      <c r="Q2898" s="35">
        <v>184.0</v>
      </c>
      <c r="R2898" s="32">
        <v>45636.0</v>
      </c>
      <c r="S2898" s="32">
        <v>43179.0</v>
      </c>
      <c r="T2898" s="29"/>
      <c r="U2898" s="33"/>
      <c r="V2898" s="1"/>
    </row>
    <row r="2899" ht="24.0" customHeight="1">
      <c r="A2899" s="1"/>
      <c r="B2899" s="24" t="str">
        <f>HYPERLINK("https://www.compass.com/listing/529-west-42nd-street-unit-9r-manhattan-ny-10036/1135656035975046441/view?agent_id=610d3f3370540700019b0833","529 W 42nd St, Unit 9R")</f>
        <v>529 W 42nd St, Unit 9R</v>
      </c>
      <c r="C2899" s="25" t="s">
        <v>365</v>
      </c>
      <c r="D2899" s="26" t="s">
        <v>23</v>
      </c>
      <c r="E2899" s="27" t="str">
        <f>HYPERLINK("https://www.compass.com/building/the-armory-manhattan-ny/282026220797831989/","The Armory")</f>
        <v>The Armory</v>
      </c>
      <c r="F2899" s="25" t="s">
        <v>47</v>
      </c>
      <c r="G2899" s="28">
        <v>1495000.0</v>
      </c>
      <c r="H2899" s="29"/>
      <c r="I2899" s="28">
        <v>2230.0</v>
      </c>
      <c r="J2899" s="28">
        <v>0.0</v>
      </c>
      <c r="K2899" s="25" t="s">
        <v>25</v>
      </c>
      <c r="L2899" s="26">
        <v>5.0</v>
      </c>
      <c r="M2899" s="26">
        <v>2.0</v>
      </c>
      <c r="N2899" s="26">
        <v>1.0</v>
      </c>
      <c r="O2899" s="26">
        <v>0.0</v>
      </c>
      <c r="P2899" s="30"/>
      <c r="Q2899" s="35">
        <v>41.0</v>
      </c>
      <c r="R2899" s="32">
        <v>44860.0</v>
      </c>
      <c r="S2899" s="32">
        <v>44818.0</v>
      </c>
      <c r="T2899" s="29"/>
      <c r="U2899" s="33"/>
      <c r="V2899" s="1"/>
    </row>
    <row r="2900" ht="24.0" customHeight="1">
      <c r="A2900" s="1"/>
      <c r="B2900" s="24" t="str">
        <f>HYPERLINK("https://www.compass.com/listing/657-prospect-place-unit-3-brooklyn-ny-11216/872278407565968321/view?agent_id=610d3f3370540700019b0833","657 Prospect Pl, Unit 3")</f>
        <v>657 Prospect Pl, Unit 3</v>
      </c>
      <c r="C2900" s="25" t="s">
        <v>365</v>
      </c>
      <c r="D2900" s="26" t="s">
        <v>23</v>
      </c>
      <c r="E2900" s="27" t="str">
        <f>HYPERLINK("https://www.compass.com/building/657-prospect-pl-brooklyn-ny-11216/293529716030216933/","657 Prospect Pl")</f>
        <v>657 Prospect Pl</v>
      </c>
      <c r="F2900" s="25" t="s">
        <v>113</v>
      </c>
      <c r="G2900" s="28">
        <v>849000.0</v>
      </c>
      <c r="H2900" s="28">
        <v>1114.0</v>
      </c>
      <c r="I2900" s="28">
        <v>259.0</v>
      </c>
      <c r="J2900" s="28">
        <v>761.0</v>
      </c>
      <c r="K2900" s="25" t="s">
        <v>28</v>
      </c>
      <c r="L2900" s="26">
        <v>3.0</v>
      </c>
      <c r="M2900" s="26">
        <v>2.0</v>
      </c>
      <c r="N2900" s="26">
        <v>1.0</v>
      </c>
      <c r="O2900" s="30"/>
      <c r="P2900" s="26">
        <v>762.0</v>
      </c>
      <c r="Q2900" s="35">
        <v>19.0</v>
      </c>
      <c r="R2900" s="32">
        <v>44476.0</v>
      </c>
      <c r="S2900" s="32">
        <v>44456.0</v>
      </c>
      <c r="T2900" s="29"/>
      <c r="U2900" s="33"/>
      <c r="V2900" s="1"/>
    </row>
    <row r="2901" ht="24.0" customHeight="1">
      <c r="A2901" s="1"/>
      <c r="B2901" s="24" t="str">
        <f>HYPERLINK("https://www.compass.com/listing/403-east-62nd-street-unit-11a-12a-manhattan-ny-10065/4852317903845856321/view?agent_id=610d3f3370540700019b0833","403 E 62nd St, Unit 11A/12A")</f>
        <v>403 E 62nd St, Unit 11A/12A</v>
      </c>
      <c r="C2901" s="25" t="s">
        <v>370</v>
      </c>
      <c r="D2901" s="26" t="s">
        <v>23</v>
      </c>
      <c r="E2901" s="27" t="str">
        <f>HYPERLINK("https://www.compass.com/building/le-domaine-manhattan-ny/282039569556196533/","Le Domaine")</f>
        <v>Le Domaine</v>
      </c>
      <c r="F2901" s="25" t="s">
        <v>64</v>
      </c>
      <c r="G2901" s="28">
        <v>1225000.0</v>
      </c>
      <c r="H2901" s="28">
        <v>942.0</v>
      </c>
      <c r="I2901" s="28">
        <v>2544.0</v>
      </c>
      <c r="J2901" s="28">
        <v>12000.0</v>
      </c>
      <c r="K2901" s="25" t="s">
        <v>28</v>
      </c>
      <c r="L2901" s="26">
        <v>5.0</v>
      </c>
      <c r="M2901" s="26">
        <v>2.0</v>
      </c>
      <c r="N2901" s="26">
        <v>0.0</v>
      </c>
      <c r="O2901" s="26">
        <v>0.0</v>
      </c>
      <c r="P2901" s="34">
        <v>1300.0</v>
      </c>
      <c r="Q2901" s="35">
        <v>168.0</v>
      </c>
      <c r="R2901" s="32">
        <v>45636.0</v>
      </c>
      <c r="S2901" s="32">
        <v>41905.0</v>
      </c>
      <c r="T2901" s="29"/>
      <c r="U2901" s="33"/>
      <c r="V2901" s="1"/>
    </row>
    <row r="2902" ht="24.0" customHeight="1">
      <c r="A2902" s="1"/>
      <c r="B2902" s="24" t="str">
        <f>HYPERLINK("https://www.compass.com/listing/142-clifton-place-unit-4b-brooklyn-ny-11238/849063537673479457/view?agent_id=610d3f3370540700019b0833","142 Clifton Pl, Unit 4B")</f>
        <v>142 Clifton Pl, Unit 4B</v>
      </c>
      <c r="C2902" s="25" t="s">
        <v>364</v>
      </c>
      <c r="D2902" s="26" t="s">
        <v>23</v>
      </c>
      <c r="E2902" s="27" t="str">
        <f>HYPERLINK("https://www.compass.com/building/142-clifton-pl-brooklyn-ny-11238/293421231934340917/","142 Clifton Pl")</f>
        <v>142 Clifton Pl</v>
      </c>
      <c r="F2902" s="25" t="s">
        <v>51</v>
      </c>
      <c r="G2902" s="28">
        <v>849000.0</v>
      </c>
      <c r="H2902" s="28">
        <v>726.0</v>
      </c>
      <c r="I2902" s="28">
        <v>375.0</v>
      </c>
      <c r="J2902" s="28">
        <v>876.0</v>
      </c>
      <c r="K2902" s="25" t="s">
        <v>28</v>
      </c>
      <c r="L2902" s="26">
        <v>4.0</v>
      </c>
      <c r="M2902" s="26">
        <v>2.0</v>
      </c>
      <c r="N2902" s="26">
        <v>1.0</v>
      </c>
      <c r="O2902" s="26">
        <v>0.0</v>
      </c>
      <c r="P2902" s="34">
        <v>1170.0</v>
      </c>
      <c r="Q2902" s="31"/>
      <c r="R2902" s="32">
        <v>44581.0</v>
      </c>
      <c r="S2902" s="33"/>
      <c r="T2902" s="29"/>
      <c r="U2902" s="33"/>
      <c r="V2902" s="1"/>
    </row>
    <row r="2903" ht="24.0" customHeight="1">
      <c r="A2903" s="1"/>
      <c r="B2903" s="24" t="str">
        <f>HYPERLINK("https://www.compass.com/listing/529-west-42nd-street-unit-triplex-g-manhattan-ny-10036/70926668339981073/view?agent_id=610d3f3370540700019b0833","529 W 42nd St, Unit TRIPLEX G")</f>
        <v>529 W 42nd St, Unit TRIPLEX G</v>
      </c>
      <c r="C2903" s="25" t="s">
        <v>364</v>
      </c>
      <c r="D2903" s="26" t="s">
        <v>23</v>
      </c>
      <c r="E2903" s="27" t="str">
        <f>HYPERLINK("https://www.compass.com/building/the-armory-manhattan-ny/282026220797831989/","The Armory")</f>
        <v>The Armory</v>
      </c>
      <c r="F2903" s="25" t="s">
        <v>47</v>
      </c>
      <c r="G2903" s="28">
        <v>1925000.0</v>
      </c>
      <c r="H2903" s="28">
        <v>837.0</v>
      </c>
      <c r="I2903" s="28">
        <v>3427.0</v>
      </c>
      <c r="J2903" s="29"/>
      <c r="K2903" s="25" t="s">
        <v>25</v>
      </c>
      <c r="L2903" s="26">
        <v>6.0</v>
      </c>
      <c r="M2903" s="26">
        <v>2.0</v>
      </c>
      <c r="N2903" s="26">
        <v>1.0</v>
      </c>
      <c r="O2903" s="26">
        <v>0.0</v>
      </c>
      <c r="P2903" s="34">
        <v>2300.0</v>
      </c>
      <c r="Q2903" s="35">
        <v>209.0</v>
      </c>
      <c r="R2903" s="32">
        <v>45636.0</v>
      </c>
      <c r="S2903" s="32">
        <v>41801.0</v>
      </c>
      <c r="T2903" s="29"/>
      <c r="U2903" s="33"/>
      <c r="V2903" s="1"/>
    </row>
    <row r="2904" ht="24.0" customHeight="1">
      <c r="A2904" s="1"/>
      <c r="B2904" s="24" t="str">
        <f>HYPERLINK("https://www.compass.com/listing/120-boerum-place-unit-2m-brooklyn-ny-11201/968940054586499945/view?agent_id=610d3f3370540700019b0833","120 Boerum Pl, Unit 2M")</f>
        <v>120 Boerum Pl, Unit 2M</v>
      </c>
      <c r="C2904" s="25" t="s">
        <v>364</v>
      </c>
      <c r="D2904" s="26" t="s">
        <v>23</v>
      </c>
      <c r="E2904" s="27" t="str">
        <f>HYPERLINK("https://www.compass.com/building/120-boerum-pl-brooklyn-ny-11201/282507552305008341/","120 Boerum Pl")</f>
        <v>120 Boerum Pl</v>
      </c>
      <c r="F2904" s="25" t="s">
        <v>131</v>
      </c>
      <c r="G2904" s="28">
        <v>1595000.0</v>
      </c>
      <c r="H2904" s="29"/>
      <c r="I2904" s="28">
        <v>1385.0</v>
      </c>
      <c r="J2904" s="28">
        <v>10020.0</v>
      </c>
      <c r="K2904" s="25" t="s">
        <v>28</v>
      </c>
      <c r="L2904" s="26">
        <v>4.0</v>
      </c>
      <c r="M2904" s="26">
        <v>2.0</v>
      </c>
      <c r="N2904" s="26">
        <v>1.0</v>
      </c>
      <c r="O2904" s="30"/>
      <c r="P2904" s="30"/>
      <c r="Q2904" s="35">
        <v>12.0</v>
      </c>
      <c r="R2904" s="32">
        <v>44601.0</v>
      </c>
      <c r="S2904" s="32">
        <v>44589.0</v>
      </c>
      <c r="T2904" s="29"/>
      <c r="U2904" s="33"/>
      <c r="V2904" s="1"/>
    </row>
    <row r="2905" ht="24.0" customHeight="1">
      <c r="A2905" s="1"/>
      <c r="B2905" s="24" t="str">
        <f>HYPERLINK("https://www.compass.com/listing/834-sterling-place-unit-101-brooklyn-ny-11216/1073917044459621457/view?agent_id=610d3f3370540700019b0833","834 Sterling Pl, Unit 101")</f>
        <v>834 Sterling Pl, Unit 101</v>
      </c>
      <c r="C2905" s="25" t="s">
        <v>365</v>
      </c>
      <c r="D2905" s="26" t="s">
        <v>23</v>
      </c>
      <c r="E2905" s="27" t="str">
        <f t="shared" ref="E2905:E2906" si="79">HYPERLINK("https://www.compass.com/building/hello-sterling-brooklyn-ny/293534833131434869/","Hello Sterling")</f>
        <v>Hello Sterling</v>
      </c>
      <c r="F2905" s="25" t="s">
        <v>113</v>
      </c>
      <c r="G2905" s="28">
        <v>765000.0</v>
      </c>
      <c r="H2905" s="28">
        <v>956.0</v>
      </c>
      <c r="I2905" s="28">
        <v>1174.0</v>
      </c>
      <c r="J2905" s="28">
        <v>7404.0</v>
      </c>
      <c r="K2905" s="25" t="s">
        <v>28</v>
      </c>
      <c r="L2905" s="26">
        <v>4.0</v>
      </c>
      <c r="M2905" s="26">
        <v>2.0</v>
      </c>
      <c r="N2905" s="26">
        <v>1.0</v>
      </c>
      <c r="O2905" s="30"/>
      <c r="P2905" s="26">
        <v>800.0</v>
      </c>
      <c r="Q2905" s="35">
        <v>149.0</v>
      </c>
      <c r="R2905" s="32">
        <v>44899.0</v>
      </c>
      <c r="S2905" s="32">
        <v>44737.0</v>
      </c>
      <c r="T2905" s="29"/>
      <c r="U2905" s="33"/>
      <c r="V2905" s="1"/>
    </row>
    <row r="2906" ht="24.0" customHeight="1">
      <c r="A2906" s="1"/>
      <c r="B2906" s="24" t="str">
        <f>HYPERLINK("https://www.compass.com/listing/834-sterling-place-unit-101-brooklyn-ny-11216/1395042540975608433/view?agent_id=610d3f3370540700019b0833","834 Sterling Pl, Unit 101")</f>
        <v>834 Sterling Pl, Unit 101</v>
      </c>
      <c r="C2906" s="25" t="s">
        <v>365</v>
      </c>
      <c r="D2906" s="26" t="s">
        <v>23</v>
      </c>
      <c r="E2906" s="27" t="str">
        <f t="shared" si="79"/>
        <v>Hello Sterling</v>
      </c>
      <c r="F2906" s="25" t="s">
        <v>113</v>
      </c>
      <c r="G2906" s="28">
        <v>745000.0</v>
      </c>
      <c r="H2906" s="28">
        <v>931.0</v>
      </c>
      <c r="I2906" s="28">
        <v>1206.0</v>
      </c>
      <c r="J2906" s="28">
        <v>7524.0</v>
      </c>
      <c r="K2906" s="25" t="s">
        <v>28</v>
      </c>
      <c r="L2906" s="26">
        <v>4.0</v>
      </c>
      <c r="M2906" s="26">
        <v>2.0</v>
      </c>
      <c r="N2906" s="26">
        <v>1.0</v>
      </c>
      <c r="O2906" s="30"/>
      <c r="P2906" s="26">
        <v>800.0</v>
      </c>
      <c r="Q2906" s="35">
        <v>33.0</v>
      </c>
      <c r="R2906" s="32">
        <v>45210.0</v>
      </c>
      <c r="S2906" s="32">
        <v>45176.0</v>
      </c>
      <c r="T2906" s="29"/>
      <c r="U2906" s="33"/>
      <c r="V2906" s="1"/>
    </row>
    <row r="2907" ht="24.0" customHeight="1">
      <c r="A2907" s="1"/>
      <c r="B2907" s="24" t="str">
        <f>HYPERLINK("https://www.compass.com/listing/472-bainbridge-street-unit-3a-brooklyn-ny-11233/1328421915043182593/view?agent_id=610d3f3370540700019b0833","472 Bainbridge St, Unit 3A")</f>
        <v>472 Bainbridge St, Unit 3A</v>
      </c>
      <c r="C2907" s="25" t="s">
        <v>365</v>
      </c>
      <c r="D2907" s="26" t="s">
        <v>23</v>
      </c>
      <c r="E2907" s="27" t="str">
        <f>HYPERLINK("https://www.compass.com/building/472-bainbridge-st-brooklyn-ny-11233/293421816955863749/","472 Bainbridge St")</f>
        <v>472 Bainbridge St</v>
      </c>
      <c r="F2907" s="25" t="s">
        <v>51</v>
      </c>
      <c r="G2907" s="28">
        <v>849000.0</v>
      </c>
      <c r="H2907" s="29"/>
      <c r="I2907" s="28">
        <v>313.0</v>
      </c>
      <c r="J2907" s="28">
        <v>158.0</v>
      </c>
      <c r="K2907" s="25" t="s">
        <v>28</v>
      </c>
      <c r="L2907" s="26">
        <v>5.0</v>
      </c>
      <c r="M2907" s="26">
        <v>2.0</v>
      </c>
      <c r="N2907" s="26">
        <v>1.0</v>
      </c>
      <c r="O2907" s="30"/>
      <c r="P2907" s="30"/>
      <c r="Q2907" s="35">
        <v>25.0</v>
      </c>
      <c r="R2907" s="32">
        <v>45110.0</v>
      </c>
      <c r="S2907" s="32">
        <v>45084.0</v>
      </c>
      <c r="T2907" s="29"/>
      <c r="U2907" s="33"/>
      <c r="V2907" s="1"/>
    </row>
    <row r="2908" ht="24.0" customHeight="1">
      <c r="A2908" s="1"/>
      <c r="B2908" s="24" t="str">
        <f>HYPERLINK("https://www.compass.com/listing/212-east-95th-street-unit-4b-manhattan-ny-10128/4852274555739179873/view?agent_id=610d3f3370540700019b0833","212 E 95th St, Unit 4B")</f>
        <v>212 E 95th St, Unit 4B</v>
      </c>
      <c r="C2908" s="25" t="s">
        <v>370</v>
      </c>
      <c r="D2908" s="26" t="s">
        <v>23</v>
      </c>
      <c r="E2908" s="27" t="str">
        <f>HYPERLINK("https://www.compass.com/building/east-hill-manhattan-ny/281929271180571653/","East Hill")</f>
        <v>East Hill</v>
      </c>
      <c r="F2908" s="25" t="s">
        <v>44</v>
      </c>
      <c r="G2908" s="28">
        <v>1995000.0</v>
      </c>
      <c r="H2908" s="28">
        <v>1634.0</v>
      </c>
      <c r="I2908" s="28">
        <v>1645.0</v>
      </c>
      <c r="J2908" s="28">
        <v>8928.0</v>
      </c>
      <c r="K2908" s="25" t="s">
        <v>28</v>
      </c>
      <c r="L2908" s="26">
        <v>5.0</v>
      </c>
      <c r="M2908" s="26">
        <v>2.0</v>
      </c>
      <c r="N2908" s="26">
        <v>0.0</v>
      </c>
      <c r="O2908" s="26">
        <v>0.0</v>
      </c>
      <c r="P2908" s="34">
        <v>1221.0</v>
      </c>
      <c r="Q2908" s="35">
        <v>35.0</v>
      </c>
      <c r="R2908" s="32">
        <v>44581.0</v>
      </c>
      <c r="S2908" s="32">
        <v>42746.0</v>
      </c>
      <c r="T2908" s="29"/>
      <c r="U2908" s="33"/>
      <c r="V2908" s="1"/>
    </row>
    <row r="2909" ht="24.0" customHeight="1">
      <c r="A2909" s="1"/>
      <c r="B2909" s="24" t="str">
        <f>HYPERLINK("https://www.compass.com/listing/210-east-65th-street-unit-19k-manhattan-ny-10065/785035116341955441/view?agent_id=610d3f3370540700019b0833","210 E 65th St, Unit 19K")</f>
        <v>210 E 65th St, Unit 19K</v>
      </c>
      <c r="C2909" s="25" t="s">
        <v>364</v>
      </c>
      <c r="D2909" s="26" t="s">
        <v>23</v>
      </c>
      <c r="E2909" s="27" t="str">
        <f>HYPERLINK("https://www.compass.com/building/bristol-plaza-manhattan-ny/294837320947669845/","Bristol Plaza")</f>
        <v>Bristol Plaza</v>
      </c>
      <c r="F2909" s="25" t="s">
        <v>64</v>
      </c>
      <c r="G2909" s="28">
        <v>5500.0</v>
      </c>
      <c r="H2909" s="28">
        <v>6.0</v>
      </c>
      <c r="I2909" s="28">
        <v>0.0</v>
      </c>
      <c r="J2909" s="29"/>
      <c r="K2909" s="25" t="s">
        <v>28</v>
      </c>
      <c r="L2909" s="26">
        <v>4.0</v>
      </c>
      <c r="M2909" s="26">
        <v>2.0</v>
      </c>
      <c r="N2909" s="26">
        <v>0.0</v>
      </c>
      <c r="O2909" s="26">
        <v>0.0</v>
      </c>
      <c r="P2909" s="26">
        <v>934.0</v>
      </c>
      <c r="Q2909" s="35">
        <v>0.0</v>
      </c>
      <c r="R2909" s="32">
        <v>44581.0</v>
      </c>
      <c r="S2909" s="32">
        <v>42286.0</v>
      </c>
      <c r="T2909" s="29"/>
      <c r="U2909" s="33"/>
      <c r="V2909" s="1"/>
    </row>
    <row r="2910" ht="24.0" customHeight="1">
      <c r="A2910" s="1"/>
      <c r="B2910" s="24" t="str">
        <f>HYPERLINK("https://www.compass.com/listing/417-riverside-drive-unit-6c-manhattan-ny-10025/803300182045127937/view?agent_id=610d3f3370540700019b0833","417 Riverside Dr, Unit 6C")</f>
        <v>417 Riverside Dr, Unit 6C</v>
      </c>
      <c r="C2910" s="25" t="s">
        <v>364</v>
      </c>
      <c r="D2910" s="26" t="s">
        <v>23</v>
      </c>
      <c r="E2910" s="27" t="str">
        <f>HYPERLINK("https://www.compass.com/building/417-riverside-dr-manhattan-ny-10025/281971834784667685/","417 Riverside Dr")</f>
        <v>417 Riverside Dr</v>
      </c>
      <c r="F2910" s="25" t="s">
        <v>41</v>
      </c>
      <c r="G2910" s="28">
        <v>1100000.0</v>
      </c>
      <c r="H2910" s="29"/>
      <c r="I2910" s="28">
        <v>1724.0</v>
      </c>
      <c r="J2910" s="29"/>
      <c r="K2910" s="25" t="s">
        <v>25</v>
      </c>
      <c r="L2910" s="26">
        <v>5.0</v>
      </c>
      <c r="M2910" s="26">
        <v>2.0</v>
      </c>
      <c r="N2910" s="26">
        <v>1.0</v>
      </c>
      <c r="O2910" s="26">
        <v>0.0</v>
      </c>
      <c r="P2910" s="30"/>
      <c r="Q2910" s="35">
        <v>175.0</v>
      </c>
      <c r="R2910" s="32">
        <v>45636.0</v>
      </c>
      <c r="S2910" s="32">
        <v>43258.0</v>
      </c>
      <c r="T2910" s="29"/>
      <c r="U2910" s="33"/>
      <c r="V2910" s="1"/>
    </row>
    <row r="2911" ht="24.0" customHeight="1">
      <c r="A2911" s="1"/>
      <c r="B2911" s="24" t="str">
        <f>HYPERLINK("https://www.compass.com/listing/439-hicks-street-unit-1b-brooklyn-ny-11201/1628339957884718705/view?agent_id=610d3f3370540700019b0833","439 Hicks St, Unit 1B")</f>
        <v>439 Hicks St, Unit 1B</v>
      </c>
      <c r="C2911" s="25" t="s">
        <v>365</v>
      </c>
      <c r="D2911" s="26" t="s">
        <v>23</v>
      </c>
      <c r="E2911" s="27" t="str">
        <f>HYPERLINK("https://www.compass.com/building/cobble-hill-towers-brooklyn-ny/294836864003134341/","Cobble Hill Towers")</f>
        <v>Cobble Hill Towers</v>
      </c>
      <c r="F2911" s="25" t="s">
        <v>131</v>
      </c>
      <c r="G2911" s="28">
        <v>899000.0</v>
      </c>
      <c r="H2911" s="28">
        <v>1016.0</v>
      </c>
      <c r="I2911" s="28">
        <v>1405.0</v>
      </c>
      <c r="J2911" s="28">
        <v>8340.0</v>
      </c>
      <c r="K2911" s="25" t="s">
        <v>28</v>
      </c>
      <c r="L2911" s="26">
        <v>4.0</v>
      </c>
      <c r="M2911" s="26">
        <v>2.0</v>
      </c>
      <c r="N2911" s="26">
        <v>1.0</v>
      </c>
      <c r="O2911" s="30"/>
      <c r="P2911" s="26">
        <v>885.0</v>
      </c>
      <c r="Q2911" s="35">
        <v>67.0</v>
      </c>
      <c r="R2911" s="32">
        <v>45565.0</v>
      </c>
      <c r="S2911" s="32">
        <v>45498.0</v>
      </c>
      <c r="T2911" s="29"/>
      <c r="U2911" s="33"/>
      <c r="V2911" s="1"/>
    </row>
    <row r="2912" ht="24.0" customHeight="1">
      <c r="A2912" s="1"/>
      <c r="B2912" s="24" t="str">
        <f>HYPERLINK("https://www.compass.com/listing/350-albany-street-unit-4q-manhattan-ny-10280/70929915997924417/view?agent_id=610d3f3370540700019b0833","350 Albany St, Unit 4Q")</f>
        <v>350 Albany St, Unit 4Q</v>
      </c>
      <c r="C2912" s="25" t="s">
        <v>364</v>
      </c>
      <c r="D2912" s="26" t="s">
        <v>23</v>
      </c>
      <c r="E2912" s="27" t="str">
        <f>HYPERLINK("https://www.compass.com/building/hudson-tower-manhattan-ny/282054229017784165/","Hudson Tower")</f>
        <v>Hudson Tower</v>
      </c>
      <c r="F2912" s="25" t="s">
        <v>103</v>
      </c>
      <c r="G2912" s="28">
        <v>950000.0</v>
      </c>
      <c r="H2912" s="28">
        <v>1140.0</v>
      </c>
      <c r="I2912" s="28">
        <v>2620.0</v>
      </c>
      <c r="J2912" s="28">
        <v>13776.0</v>
      </c>
      <c r="K2912" s="25" t="s">
        <v>28</v>
      </c>
      <c r="L2912" s="26">
        <v>4.0</v>
      </c>
      <c r="M2912" s="26">
        <v>2.0</v>
      </c>
      <c r="N2912" s="26">
        <v>0.0</v>
      </c>
      <c r="O2912" s="26">
        <v>0.0</v>
      </c>
      <c r="P2912" s="26">
        <v>833.0</v>
      </c>
      <c r="Q2912" s="35">
        <v>15.0</v>
      </c>
      <c r="R2912" s="32">
        <v>45636.0</v>
      </c>
      <c r="S2912" s="32">
        <v>42991.0</v>
      </c>
      <c r="T2912" s="29"/>
      <c r="U2912" s="33"/>
      <c r="V2912" s="1"/>
    </row>
    <row r="2913" ht="24.0" customHeight="1">
      <c r="A2913" s="1"/>
      <c r="B2913" s="24" t="str">
        <f>HYPERLINK("https://www.compass.com/listing/2-south-end-avenue-unit-9e-manhattan-ny-10280/378098696998255505/view?agent_id=610d3f3370540700019b0833","2 S End Ave, Unit 9E")</f>
        <v>2 S End Ave, Unit 9E</v>
      </c>
      <c r="C2913" s="25" t="s">
        <v>365</v>
      </c>
      <c r="D2913" s="26" t="s">
        <v>23</v>
      </c>
      <c r="E2913" s="27" t="str">
        <f>HYPERLINK("https://www.compass.com/building/the-cove-club-manhattan-ny/282053923898945349/","The Cove Club")</f>
        <v>The Cove Club</v>
      </c>
      <c r="F2913" s="25" t="s">
        <v>103</v>
      </c>
      <c r="G2913" s="28">
        <v>780000.0</v>
      </c>
      <c r="H2913" s="28">
        <v>968.0</v>
      </c>
      <c r="I2913" s="28">
        <v>3153.0</v>
      </c>
      <c r="J2913" s="28">
        <v>13800.0</v>
      </c>
      <c r="K2913" s="25" t="s">
        <v>28</v>
      </c>
      <c r="L2913" s="26">
        <v>4.0</v>
      </c>
      <c r="M2913" s="26">
        <v>2.0</v>
      </c>
      <c r="N2913" s="26">
        <v>1.0</v>
      </c>
      <c r="O2913" s="26">
        <v>0.0</v>
      </c>
      <c r="P2913" s="26">
        <v>806.0</v>
      </c>
      <c r="Q2913" s="35">
        <v>131.0</v>
      </c>
      <c r="R2913" s="32">
        <v>44002.0</v>
      </c>
      <c r="S2913" s="32">
        <v>43777.0</v>
      </c>
      <c r="T2913" s="29"/>
      <c r="U2913" s="33"/>
      <c r="V2913" s="1"/>
    </row>
    <row r="2914" ht="24.0" customHeight="1">
      <c r="A2914" s="1"/>
      <c r="B2914" s="24" t="str">
        <f>HYPERLINK("https://www.compass.com/listing/243-mcdonald-avenue-unit-5a-brooklyn-ny-11218/251981307473619249/view?agent_id=610d3f3370540700019b0833","243 McDonald Ave, Unit 5A")</f>
        <v>243 McDonald Ave, Unit 5A</v>
      </c>
      <c r="C2914" s="25" t="s">
        <v>364</v>
      </c>
      <c r="D2914" s="26" t="s">
        <v>23</v>
      </c>
      <c r="E2914" s="27" t="str">
        <f>HYPERLINK("https://www.compass.com/building/243-mcdonald-ave-brooklyn-ny-11218/293416561484606197/","243 Mcdonald Ave")</f>
        <v>243 Mcdonald Ave</v>
      </c>
      <c r="F2914" s="25" t="s">
        <v>106</v>
      </c>
      <c r="G2914" s="28">
        <v>699999.0</v>
      </c>
      <c r="H2914" s="29"/>
      <c r="I2914" s="28">
        <v>876.0</v>
      </c>
      <c r="J2914" s="28">
        <v>0.0</v>
      </c>
      <c r="K2914" s="25" t="s">
        <v>25</v>
      </c>
      <c r="L2914" s="26">
        <v>4.0</v>
      </c>
      <c r="M2914" s="26">
        <v>2.0</v>
      </c>
      <c r="N2914" s="26">
        <v>1.0</v>
      </c>
      <c r="O2914" s="26">
        <v>0.0</v>
      </c>
      <c r="P2914" s="30"/>
      <c r="Q2914" s="35">
        <v>175.0</v>
      </c>
      <c r="R2914" s="32">
        <v>43902.0</v>
      </c>
      <c r="S2914" s="32">
        <v>43599.0</v>
      </c>
      <c r="T2914" s="29"/>
      <c r="U2914" s="33"/>
      <c r="V2914" s="1"/>
    </row>
    <row r="2915" ht="24.0" customHeight="1">
      <c r="A2915" s="1"/>
      <c r="B2915" s="24" t="str">
        <f>HYPERLINK("https://www.compass.com/listing/395-riverside-drive-unit-5f-manhattan-ny-10025/1695042841509642761/view?agent_id=610d3f3370540700019b0833","395 Riverside Dr, Unit 5F")</f>
        <v>395 Riverside Dr, Unit 5F</v>
      </c>
      <c r="C2915" s="25" t="s">
        <v>364</v>
      </c>
      <c r="D2915" s="26" t="s">
        <v>23</v>
      </c>
      <c r="E2915" s="27" t="str">
        <f>HYPERLINK("https://www.compass.com/building/395-riverside-dr-manhattan-ny-10025/281971668321130357/","395 Riverside Dr")</f>
        <v>395 Riverside Dr</v>
      </c>
      <c r="F2915" s="25" t="s">
        <v>41</v>
      </c>
      <c r="G2915" s="28">
        <v>1085000.0</v>
      </c>
      <c r="H2915" s="29"/>
      <c r="I2915" s="28">
        <v>1821.0</v>
      </c>
      <c r="J2915" s="28">
        <v>0.0</v>
      </c>
      <c r="K2915" s="25" t="s">
        <v>25</v>
      </c>
      <c r="L2915" s="26">
        <v>4.0</v>
      </c>
      <c r="M2915" s="26">
        <v>2.0</v>
      </c>
      <c r="N2915" s="26">
        <v>1.0</v>
      </c>
      <c r="O2915" s="30"/>
      <c r="P2915" s="30"/>
      <c r="Q2915" s="35">
        <v>192.0</v>
      </c>
      <c r="R2915" s="32">
        <v>45782.0</v>
      </c>
      <c r="S2915" s="32">
        <v>45590.0</v>
      </c>
      <c r="T2915" s="29"/>
      <c r="U2915" s="33"/>
      <c r="V2915" s="1"/>
    </row>
    <row r="2916" ht="24.0" customHeight="1">
      <c r="A2916" s="1"/>
      <c r="B2916" s="24" t="str">
        <f>HYPERLINK("https://www.compass.com/listing/536-west-111th-street-unit-84-manhattan-ny-10025/1838956784790638121/view?agent_id=610d3f3370540700019b0833","536 W 111th St, Unit 84")</f>
        <v>536 W 111th St, Unit 84</v>
      </c>
      <c r="C2916" s="25" t="s">
        <v>364</v>
      </c>
      <c r="D2916" s="26" t="s">
        <v>23</v>
      </c>
      <c r="E2916" s="27" t="str">
        <f>HYPERLINK("https://www.compass.com/building/536-w-111th-st-manhattan-ny-10025/281972385136075029/","536 W 111th St")</f>
        <v>536 W 111th St</v>
      </c>
      <c r="F2916" s="25" t="s">
        <v>41</v>
      </c>
      <c r="G2916" s="28">
        <v>549000.0</v>
      </c>
      <c r="H2916" s="29"/>
      <c r="I2916" s="28">
        <v>1211.0</v>
      </c>
      <c r="J2916" s="29"/>
      <c r="K2916" s="25" t="s">
        <v>25</v>
      </c>
      <c r="L2916" s="26">
        <v>4.0</v>
      </c>
      <c r="M2916" s="26">
        <v>2.0</v>
      </c>
      <c r="N2916" s="26">
        <v>0.0</v>
      </c>
      <c r="O2916" s="26">
        <v>0.0</v>
      </c>
      <c r="P2916" s="30"/>
      <c r="Q2916" s="35">
        <v>69.0</v>
      </c>
      <c r="R2916" s="32">
        <v>45636.0</v>
      </c>
      <c r="S2916" s="32">
        <v>43102.0</v>
      </c>
      <c r="T2916" s="29"/>
      <c r="U2916" s="33"/>
      <c r="V2916" s="1"/>
    </row>
    <row r="2917" ht="24.0" customHeight="1">
      <c r="A2917" s="1"/>
      <c r="B2917" s="24" t="str">
        <f>HYPERLINK("https://www.compass.com/listing/1208-pacific-street-unit-1h-brooklyn-ny-11216/920586370594583665/view?agent_id=610d3f3370540700019b0833","1208 Pacific St, Unit 1H")</f>
        <v>1208 Pacific St, Unit 1H</v>
      </c>
      <c r="C2917" s="25" t="s">
        <v>364</v>
      </c>
      <c r="D2917" s="26" t="s">
        <v>23</v>
      </c>
      <c r="E2917" s="27" t="str">
        <f>HYPERLINK("https://www.compass.com/building/1208-pacific-st-brooklyn-ny-11216/294838484682264149/","1208 Pacific St")</f>
        <v>1208 Pacific St</v>
      </c>
      <c r="F2917" s="25" t="s">
        <v>113</v>
      </c>
      <c r="G2917" s="28">
        <v>795000.0</v>
      </c>
      <c r="H2917" s="29"/>
      <c r="I2917" s="28">
        <v>640.0</v>
      </c>
      <c r="J2917" s="28">
        <v>4380.0</v>
      </c>
      <c r="K2917" s="25" t="s">
        <v>28</v>
      </c>
      <c r="L2917" s="26">
        <v>4.0</v>
      </c>
      <c r="M2917" s="26">
        <v>2.0</v>
      </c>
      <c r="N2917" s="26">
        <v>1.0</v>
      </c>
      <c r="O2917" s="26">
        <v>0.0</v>
      </c>
      <c r="P2917" s="30"/>
      <c r="Q2917" s="35">
        <v>80.0</v>
      </c>
      <c r="R2917" s="32">
        <v>45636.0</v>
      </c>
      <c r="S2917" s="32">
        <v>42594.0</v>
      </c>
      <c r="T2917" s="29"/>
      <c r="U2917" s="33"/>
      <c r="V2917" s="1"/>
    </row>
    <row r="2918" ht="24.0" customHeight="1">
      <c r="A2918" s="1"/>
      <c r="B2918" s="24" t="str">
        <f>HYPERLINK("https://www.compass.com/listing/340-east-64th-street-unit-11p-manhattan-ny-10065/738333777645293577/view?agent_id=610d3f3370540700019b0833","340 E 64th St, Unit 11P")</f>
        <v>340 E 64th St, Unit 11P</v>
      </c>
      <c r="C2918" s="25" t="s">
        <v>364</v>
      </c>
      <c r="D2918" s="26" t="s">
        <v>23</v>
      </c>
      <c r="E2918" s="27" t="str">
        <f>HYPERLINK("https://www.compass.com/building/the-st-tropez-manhattan-ny/282039020890901381/","The St Tropez")</f>
        <v>The St Tropez</v>
      </c>
      <c r="F2918" s="25" t="s">
        <v>64</v>
      </c>
      <c r="G2918" s="28">
        <v>1175000.0</v>
      </c>
      <c r="H2918" s="29"/>
      <c r="I2918" s="28">
        <v>1817.0</v>
      </c>
      <c r="J2918" s="28">
        <v>14160.0</v>
      </c>
      <c r="K2918" s="25" t="s">
        <v>28</v>
      </c>
      <c r="L2918" s="26">
        <v>4.0</v>
      </c>
      <c r="M2918" s="26">
        <v>2.0</v>
      </c>
      <c r="N2918" s="26">
        <v>1.0</v>
      </c>
      <c r="O2918" s="26">
        <v>0.0</v>
      </c>
      <c r="P2918" s="30"/>
      <c r="Q2918" s="35">
        <v>233.0</v>
      </c>
      <c r="R2918" s="32">
        <v>44504.0</v>
      </c>
      <c r="S2918" s="32">
        <v>44270.0</v>
      </c>
      <c r="T2918" s="29"/>
      <c r="U2918" s="33"/>
      <c r="V2918" s="1"/>
    </row>
    <row r="2919" ht="24.0" customHeight="1">
      <c r="A2919" s="1"/>
      <c r="B2919" s="24" t="str">
        <f>HYPERLINK("https://www.compass.com/listing/2-south-end-avenue-unit-7i-manhattan-ny-10280/560889217621247329/view?agent_id=610d3f3370540700019b0833","2 S End Ave, Unit 7I")</f>
        <v>2 S End Ave, Unit 7I</v>
      </c>
      <c r="C2919" s="25" t="s">
        <v>370</v>
      </c>
      <c r="D2919" s="26" t="s">
        <v>23</v>
      </c>
      <c r="E2919" s="27" t="str">
        <f>HYPERLINK("https://www.compass.com/building/the-cove-club-manhattan-ny/282053923898945349/","The Cove Club")</f>
        <v>The Cove Club</v>
      </c>
      <c r="F2919" s="25" t="s">
        <v>103</v>
      </c>
      <c r="G2919" s="28">
        <v>699000.0</v>
      </c>
      <c r="H2919" s="29"/>
      <c r="I2919" s="28">
        <v>2812.0</v>
      </c>
      <c r="J2919" s="28">
        <v>13565.0</v>
      </c>
      <c r="K2919" s="25" t="s">
        <v>28</v>
      </c>
      <c r="L2919" s="26">
        <v>4.0</v>
      </c>
      <c r="M2919" s="26">
        <v>2.0</v>
      </c>
      <c r="N2919" s="26">
        <v>1.0</v>
      </c>
      <c r="O2919" s="26">
        <v>0.0</v>
      </c>
      <c r="P2919" s="30"/>
      <c r="Q2919" s="35">
        <v>62.0</v>
      </c>
      <c r="R2919" s="32">
        <v>44088.0</v>
      </c>
      <c r="S2919" s="32">
        <v>44025.0</v>
      </c>
      <c r="T2919" s="29"/>
      <c r="U2919" s="33"/>
      <c r="V2919" s="1"/>
    </row>
    <row r="2920" ht="24.0" customHeight="1">
      <c r="A2920" s="1"/>
      <c r="B2920" s="24" t="str">
        <f>HYPERLINK("https://www.compass.com/listing/380-riverside-drive-unit-6s-manhattan-ny-10025/29431847142367073/view?agent_id=610d3f3370540700019b0833","380 Riverside Drive, Unit 6S")</f>
        <v>380 Riverside Drive, Unit 6S</v>
      </c>
      <c r="C2920" s="25" t="s">
        <v>364</v>
      </c>
      <c r="D2920" s="26" t="s">
        <v>23</v>
      </c>
      <c r="E2920" s="27" t="str">
        <f>HYPERLINK("https://www.compass.com/building/380-riverside-dr-manhattan-ny-10025/281971605171691029/","380 Riverside Dr")</f>
        <v>380 Riverside Dr</v>
      </c>
      <c r="F2920" s="25" t="s">
        <v>41</v>
      </c>
      <c r="G2920" s="28">
        <v>1300000.0</v>
      </c>
      <c r="H2920" s="29"/>
      <c r="I2920" s="28">
        <v>2160.0</v>
      </c>
      <c r="J2920" s="29"/>
      <c r="K2920" s="25" t="s">
        <v>25</v>
      </c>
      <c r="L2920" s="26">
        <v>5.0</v>
      </c>
      <c r="M2920" s="26">
        <v>2.0</v>
      </c>
      <c r="N2920" s="26">
        <v>0.0</v>
      </c>
      <c r="O2920" s="26">
        <v>0.0</v>
      </c>
      <c r="P2920" s="30"/>
      <c r="Q2920" s="35">
        <v>35.0</v>
      </c>
      <c r="R2920" s="32">
        <v>45636.0</v>
      </c>
      <c r="S2920" s="32">
        <v>42746.0</v>
      </c>
      <c r="T2920" s="29"/>
      <c r="U2920" s="33"/>
      <c r="V2920" s="1"/>
    </row>
    <row r="2921" ht="24.0" customHeight="1">
      <c r="A2921" s="1"/>
      <c r="B2921" s="24" t="str">
        <f>HYPERLINK("https://www.compass.com/listing/69-south-oxford-street-unit-5d-brooklyn-ny-11217/96396665220523489/view?agent_id=610d3f3370540700019b0833","69 South Oxford Street, Unit 5D")</f>
        <v>69 South Oxford Street, Unit 5D</v>
      </c>
      <c r="C2921" s="25" t="s">
        <v>364</v>
      </c>
      <c r="D2921" s="26" t="s">
        <v>23</v>
      </c>
      <c r="E2921" s="27" t="str">
        <f>HYPERLINK("https://www.compass.com/building/69-71-s-oxford-st-brooklyn-ny-11217/293404547026611141/","69-71 S Oxford St")</f>
        <v>69-71 S Oxford St</v>
      </c>
      <c r="F2921" s="25" t="s">
        <v>59</v>
      </c>
      <c r="G2921" s="28">
        <v>950000.0</v>
      </c>
      <c r="H2921" s="29"/>
      <c r="I2921" s="28">
        <v>1043.0</v>
      </c>
      <c r="J2921" s="28">
        <v>6792.0</v>
      </c>
      <c r="K2921" s="25" t="s">
        <v>28</v>
      </c>
      <c r="L2921" s="26">
        <v>5.0</v>
      </c>
      <c r="M2921" s="26">
        <v>2.0</v>
      </c>
      <c r="N2921" s="26">
        <v>1.0</v>
      </c>
      <c r="O2921" s="30"/>
      <c r="P2921" s="30"/>
      <c r="Q2921" s="35">
        <v>116.0</v>
      </c>
      <c r="R2921" s="32">
        <v>43506.0</v>
      </c>
      <c r="S2921" s="32">
        <v>43390.0</v>
      </c>
      <c r="T2921" s="29"/>
      <c r="U2921" s="33"/>
      <c r="V2921" s="1"/>
    </row>
    <row r="2922" ht="24.0" customHeight="1">
      <c r="A2922" s="1"/>
      <c r="B2922" s="24" t="str">
        <f>HYPERLINK("https://www.compass.com/listing/11-ten-eyck-street-unit-4a-brooklyn-ny-11206/920433715183654337/view?agent_id=610d3f3370540700019b0833","11 Ten Eyck Street, Unit 4A")</f>
        <v>11 Ten Eyck Street, Unit 4A</v>
      </c>
      <c r="C2922" s="25" t="s">
        <v>364</v>
      </c>
      <c r="D2922" s="26" t="s">
        <v>23</v>
      </c>
      <c r="E2922" s="27" t="str">
        <f>HYPERLINK("https://www.compass.com/building/11-ten-eyck-st-brooklyn-ny-11206/282387455380868517/","11 Ten Eyck St")</f>
        <v>11 Ten Eyck St</v>
      </c>
      <c r="F2922" s="25" t="s">
        <v>46</v>
      </c>
      <c r="G2922" s="28">
        <v>449000.0</v>
      </c>
      <c r="H2922" s="29"/>
      <c r="I2922" s="28">
        <v>550.0</v>
      </c>
      <c r="J2922" s="29"/>
      <c r="K2922" s="25" t="s">
        <v>25</v>
      </c>
      <c r="L2922" s="26">
        <v>5.0</v>
      </c>
      <c r="M2922" s="26">
        <v>2.0</v>
      </c>
      <c r="N2922" s="26">
        <v>0.0</v>
      </c>
      <c r="O2922" s="26">
        <v>0.0</v>
      </c>
      <c r="P2922" s="30"/>
      <c r="Q2922" s="35">
        <v>30.0</v>
      </c>
      <c r="R2922" s="32">
        <v>45636.0</v>
      </c>
      <c r="S2922" s="32">
        <v>42242.0</v>
      </c>
      <c r="T2922" s="29"/>
      <c r="U2922" s="33"/>
      <c r="V2922" s="1"/>
    </row>
    <row r="2923" ht="24.0" customHeight="1">
      <c r="A2923" s="1"/>
      <c r="B2923" s="24" t="str">
        <f>HYPERLINK("https://www.compass.com/listing/1115-5th-avenue-unit-ph-a-manhattan-ny-10128/4852351648908982401/view?agent_id=610d3f3370540700019b0833","1115 5th Ave, Unit PH A")</f>
        <v>1115 5th Ave, Unit PH A</v>
      </c>
      <c r="C2923" s="25" t="s">
        <v>364</v>
      </c>
      <c r="D2923" s="26" t="s">
        <v>23</v>
      </c>
      <c r="E2923" s="27" t="str">
        <f>HYPERLINK("https://www.compass.com/building/1115-5th-ave-manhattan-ny-10128/282045901403348069/","1115 5th Ave")</f>
        <v>1115 5th Ave</v>
      </c>
      <c r="F2923" s="25" t="s">
        <v>44</v>
      </c>
      <c r="G2923" s="28">
        <v>1.2E7</v>
      </c>
      <c r="H2923" s="29"/>
      <c r="I2923" s="28">
        <v>0.0</v>
      </c>
      <c r="J2923" s="28">
        <v>0.0</v>
      </c>
      <c r="K2923" s="36"/>
      <c r="L2923" s="26">
        <v>4.0</v>
      </c>
      <c r="M2923" s="26">
        <v>2.0</v>
      </c>
      <c r="N2923" s="30"/>
      <c r="O2923" s="26">
        <v>1.0</v>
      </c>
      <c r="P2923" s="30"/>
      <c r="Q2923" s="31"/>
      <c r="R2923" s="32">
        <v>42760.0</v>
      </c>
      <c r="S2923" s="33"/>
      <c r="T2923" s="29"/>
      <c r="U2923" s="33"/>
      <c r="V2923" s="1"/>
    </row>
    <row r="2924" ht="24.0" customHeight="1">
      <c r="A2924" s="1"/>
      <c r="B2924" s="24" t="str">
        <f>HYPERLINK("https://www.compass.com/listing/417-riverside-drive-unit-12b1-manhattan-ny-10025/1511749939318143633/view?agent_id=610d3f3370540700019b0833","417 Riverside Drive, Unit 12B1")</f>
        <v>417 Riverside Drive, Unit 12B1</v>
      </c>
      <c r="C2924" s="25" t="s">
        <v>370</v>
      </c>
      <c r="D2924" s="26" t="s">
        <v>23</v>
      </c>
      <c r="E2924" s="27" t="str">
        <f>HYPERLINK("https://www.compass.com/building/417-riverside-dr-manhattan-ny-10025/281971834784667685/","417 Riverside Dr")</f>
        <v>417 Riverside Dr</v>
      </c>
      <c r="F2924" s="25" t="s">
        <v>41</v>
      </c>
      <c r="G2924" s="28">
        <v>1299000.0</v>
      </c>
      <c r="H2924" s="29"/>
      <c r="I2924" s="28">
        <v>2297.0</v>
      </c>
      <c r="J2924" s="28">
        <v>0.0</v>
      </c>
      <c r="K2924" s="25" t="s">
        <v>25</v>
      </c>
      <c r="L2924" s="26">
        <v>5.0</v>
      </c>
      <c r="M2924" s="26">
        <v>2.0</v>
      </c>
      <c r="N2924" s="26">
        <v>1.0</v>
      </c>
      <c r="O2924" s="26">
        <v>0.0</v>
      </c>
      <c r="P2924" s="30"/>
      <c r="Q2924" s="31"/>
      <c r="R2924" s="32">
        <v>45560.0</v>
      </c>
      <c r="S2924" s="33"/>
      <c r="T2924" s="29"/>
      <c r="U2924" s="33"/>
      <c r="V2924" s="1"/>
    </row>
    <row r="2925" ht="24.0" customHeight="1">
      <c r="A2925" s="1"/>
      <c r="B2925" s="24" t="str">
        <f>HYPERLINK("https://www.compass.com/listing/200-east-61st-street-unit-27ab-manhattan-ny-10065/70915967126976129/view?agent_id=610d3f3370540700019b0833","200 East 61st Street, Unit 27AB")</f>
        <v>200 East 61st Street, Unit 27AB</v>
      </c>
      <c r="C2925" s="25" t="s">
        <v>364</v>
      </c>
      <c r="D2925" s="26" t="s">
        <v>23</v>
      </c>
      <c r="E2925" s="27" t="str">
        <f>HYPERLINK("https://www.compass.com/building/savoy-condominium-manhattan-ny/282037503500765173/","Savoy Condominium")</f>
        <v>Savoy Condominium</v>
      </c>
      <c r="F2925" s="25" t="s">
        <v>64</v>
      </c>
      <c r="G2925" s="28">
        <v>3000000.0</v>
      </c>
      <c r="H2925" s="28">
        <v>1732.0</v>
      </c>
      <c r="I2925" s="28">
        <v>4618.0</v>
      </c>
      <c r="J2925" s="28">
        <v>26772.0</v>
      </c>
      <c r="K2925" s="25" t="s">
        <v>28</v>
      </c>
      <c r="L2925" s="26">
        <v>6.0</v>
      </c>
      <c r="M2925" s="26">
        <v>2.0</v>
      </c>
      <c r="N2925" s="26">
        <v>0.0</v>
      </c>
      <c r="O2925" s="26">
        <v>0.0</v>
      </c>
      <c r="P2925" s="34">
        <v>1732.0</v>
      </c>
      <c r="Q2925" s="35">
        <v>177.0</v>
      </c>
      <c r="R2925" s="32">
        <v>44581.0</v>
      </c>
      <c r="S2925" s="32">
        <v>41669.0</v>
      </c>
      <c r="T2925" s="29"/>
      <c r="U2925" s="33"/>
      <c r="V2925" s="1"/>
    </row>
    <row r="2926" ht="24.0" customHeight="1">
      <c r="A2926" s="1"/>
      <c r="B2926" s="24" t="str">
        <f>HYPERLINK("https://www.compass.com/listing/295-clermont-avenue-brooklyn-ny-11205/848996547718729553/view?agent_id=610d3f3370540700019b0833","295 Clermont Avenue")</f>
        <v>295 Clermont Avenue</v>
      </c>
      <c r="C2926" s="25" t="s">
        <v>364</v>
      </c>
      <c r="D2926" s="26" t="s">
        <v>23</v>
      </c>
      <c r="E2926" s="27" t="str">
        <f>HYPERLINK("https://www.compass.com/building/295-clermont-ave-brooklyn-ny-11205/282469684056459445/","295 Clermont Ave")</f>
        <v>295 Clermont Ave</v>
      </c>
      <c r="F2926" s="25" t="s">
        <v>59</v>
      </c>
      <c r="G2926" s="28">
        <v>3050000.0</v>
      </c>
      <c r="H2926" s="28">
        <v>789.0</v>
      </c>
      <c r="I2926" s="28">
        <v>0.0</v>
      </c>
      <c r="J2926" s="29"/>
      <c r="K2926" s="25" t="s">
        <v>374</v>
      </c>
      <c r="L2926" s="26">
        <v>10.0</v>
      </c>
      <c r="M2926" s="26">
        <v>2.0</v>
      </c>
      <c r="N2926" s="26">
        <v>1.0</v>
      </c>
      <c r="O2926" s="26">
        <v>0.0</v>
      </c>
      <c r="P2926" s="34">
        <v>3864.0</v>
      </c>
      <c r="Q2926" s="35">
        <v>21.0</v>
      </c>
      <c r="R2926" s="32">
        <v>45636.0</v>
      </c>
      <c r="S2926" s="32">
        <v>43258.0</v>
      </c>
      <c r="T2926" s="29"/>
      <c r="U2926" s="33"/>
      <c r="V2926" s="1"/>
    </row>
    <row r="2927" ht="24.0" customHeight="1">
      <c r="A2927" s="1"/>
      <c r="B2927" s="24" t="str">
        <f>HYPERLINK("https://www.compass.com/listing/2-south-end-avenue-unit-9h-manhattan-ny-10280/270868877951444097/view?agent_id=610d3f3370540700019b0833","2 South End Avenue, Unit 9H")</f>
        <v>2 South End Avenue, Unit 9H</v>
      </c>
      <c r="C2927" s="25" t="s">
        <v>364</v>
      </c>
      <c r="D2927" s="26" t="s">
        <v>23</v>
      </c>
      <c r="E2927" s="27" t="str">
        <f>HYPERLINK("https://www.compass.com/building/the-cove-club-manhattan-ny/282053923898945349/","The Cove Club")</f>
        <v>The Cove Club</v>
      </c>
      <c r="F2927" s="25" t="s">
        <v>103</v>
      </c>
      <c r="G2927" s="28">
        <v>750000.0</v>
      </c>
      <c r="H2927" s="28">
        <v>833.0</v>
      </c>
      <c r="I2927" s="28">
        <v>3718.0</v>
      </c>
      <c r="J2927" s="28">
        <v>19320.0</v>
      </c>
      <c r="K2927" s="25" t="s">
        <v>28</v>
      </c>
      <c r="L2927" s="26">
        <v>4.0</v>
      </c>
      <c r="M2927" s="26">
        <v>2.0</v>
      </c>
      <c r="N2927" s="26">
        <v>1.0</v>
      </c>
      <c r="O2927" s="30"/>
      <c r="P2927" s="26">
        <v>900.0</v>
      </c>
      <c r="Q2927" s="35">
        <v>137.0</v>
      </c>
      <c r="R2927" s="32">
        <v>43766.0</v>
      </c>
      <c r="S2927" s="32">
        <v>43629.0</v>
      </c>
      <c r="T2927" s="29"/>
      <c r="U2927" s="33"/>
      <c r="V2927" s="1"/>
    </row>
    <row r="2928" ht="24.0" customHeight="1">
      <c r="A2928" s="1"/>
      <c r="B2928" s="24" t="str">
        <f>HYPERLINK("https://www.compass.com/listing/545-west-111th-street-unit-10f-manhattan-ny-10025/1095172628189660889/view?agent_id=610d3f3370540700019b0833","545 West 111th Street, Unit 10F")</f>
        <v>545 West 111th Street, Unit 10F</v>
      </c>
      <c r="C2928" s="25" t="s">
        <v>365</v>
      </c>
      <c r="D2928" s="26" t="s">
        <v>23</v>
      </c>
      <c r="E2928" s="27" t="str">
        <f>HYPERLINK("https://www.compass.com/building/the-rockfall-manhattan-ny/281972449006936437/","The Rockfall")</f>
        <v>The Rockfall</v>
      </c>
      <c r="F2928" s="25" t="s">
        <v>41</v>
      </c>
      <c r="G2928" s="28">
        <v>1150000.0</v>
      </c>
      <c r="H2928" s="28">
        <v>1045.0</v>
      </c>
      <c r="I2928" s="28">
        <v>2037.0</v>
      </c>
      <c r="J2928" s="28">
        <v>24448.0</v>
      </c>
      <c r="K2928" s="25" t="s">
        <v>25</v>
      </c>
      <c r="L2928" s="26">
        <v>4.0</v>
      </c>
      <c r="M2928" s="26">
        <v>2.0</v>
      </c>
      <c r="N2928" s="26">
        <v>1.0</v>
      </c>
      <c r="O2928" s="30"/>
      <c r="P2928" s="34">
        <v>1100.0</v>
      </c>
      <c r="Q2928" s="35">
        <v>40.0</v>
      </c>
      <c r="R2928" s="32">
        <v>44823.0</v>
      </c>
      <c r="S2928" s="32">
        <v>44763.0</v>
      </c>
      <c r="T2928" s="29"/>
      <c r="U2928" s="33"/>
      <c r="V2928" s="1"/>
    </row>
    <row r="2929" ht="24.0" customHeight="1">
      <c r="A2929" s="1"/>
      <c r="B2929" s="24" t="str">
        <f>HYPERLINK("https://www.compass.com/listing/340-east-64th-street-unit-4a-manhattan-ny-10065/29415646123089377/view?agent_id=610d3f3370540700019b0833","340 East 64th Street, Unit 4A")</f>
        <v>340 East 64th Street, Unit 4A</v>
      </c>
      <c r="C2929" s="25" t="s">
        <v>370</v>
      </c>
      <c r="D2929" s="26" t="s">
        <v>23</v>
      </c>
      <c r="E2929" s="27" t="str">
        <f>HYPERLINK("https://www.compass.com/building/the-st-tropez-manhattan-ny/282039020890901381/","The St Tropez")</f>
        <v>The St Tropez</v>
      </c>
      <c r="F2929" s="25" t="s">
        <v>64</v>
      </c>
      <c r="G2929" s="28">
        <v>939000.0</v>
      </c>
      <c r="H2929" s="28">
        <v>952.0</v>
      </c>
      <c r="I2929" s="28">
        <v>1052.0</v>
      </c>
      <c r="J2929" s="28">
        <v>7668.0</v>
      </c>
      <c r="K2929" s="25" t="s">
        <v>28</v>
      </c>
      <c r="L2929" s="26">
        <v>4.0</v>
      </c>
      <c r="M2929" s="26">
        <v>2.0</v>
      </c>
      <c r="N2929" s="26">
        <v>0.0</v>
      </c>
      <c r="O2929" s="26">
        <v>0.0</v>
      </c>
      <c r="P2929" s="26">
        <v>986.0</v>
      </c>
      <c r="Q2929" s="35">
        <v>0.0</v>
      </c>
      <c r="R2929" s="32">
        <v>44581.0</v>
      </c>
      <c r="S2929" s="32">
        <v>41538.0</v>
      </c>
      <c r="T2929" s="29"/>
      <c r="U2929" s="33"/>
      <c r="V2929" s="1"/>
    </row>
    <row r="2930" ht="24.0" customHeight="1">
      <c r="A2930" s="1"/>
      <c r="B2930" s="24" t="str">
        <f>HYPERLINK("https://www.compass.com/listing/1080-madison-avenue-unit-a2-manhattan-ny-10028/920619712567312377/view?agent_id=610d3f3370540700019b0833","1080 Madison Avenue, Unit A2")</f>
        <v>1080 Madison Avenue, Unit A2</v>
      </c>
      <c r="C2930" s="25" t="s">
        <v>364</v>
      </c>
      <c r="D2930" s="26" t="s">
        <v>23</v>
      </c>
      <c r="E2930" s="27" t="str">
        <f>HYPERLINK("https://www.compass.com/building/la-r-sidence-on-madison-manhattan-ny/281983916108256309/","La R��sidence on Madison")</f>
        <v>La R��sidence on Madison</v>
      </c>
      <c r="F2930" s="25" t="s">
        <v>44</v>
      </c>
      <c r="G2930" s="28">
        <v>2950000.0</v>
      </c>
      <c r="H2930" s="29"/>
      <c r="I2930" s="28">
        <v>4078.0</v>
      </c>
      <c r="J2930" s="28">
        <v>19008.0</v>
      </c>
      <c r="K2930" s="25" t="s">
        <v>28</v>
      </c>
      <c r="L2930" s="26">
        <v>4.0</v>
      </c>
      <c r="M2930" s="26">
        <v>2.0</v>
      </c>
      <c r="N2930" s="26">
        <v>0.0</v>
      </c>
      <c r="O2930" s="26">
        <v>0.0</v>
      </c>
      <c r="P2930" s="30"/>
      <c r="Q2930" s="35">
        <v>88.0</v>
      </c>
      <c r="R2930" s="32">
        <v>45636.0</v>
      </c>
      <c r="S2930" s="32">
        <v>43020.0</v>
      </c>
      <c r="T2930" s="29"/>
      <c r="U2930" s="33"/>
      <c r="V2930" s="1"/>
    </row>
    <row r="2931" ht="24.0" customHeight="1">
      <c r="A2931" s="1"/>
      <c r="B2931" s="24" t="str">
        <f>HYPERLINK("https://www.compass.com/listing/295-clermont-avenue-brooklyn-ny-11205/1838961759394801857/view?agent_id=610d3f3370540700019b0833","295 Clermont Avenue")</f>
        <v>295 Clermont Avenue</v>
      </c>
      <c r="C2931" s="25" t="s">
        <v>364</v>
      </c>
      <c r="D2931" s="26" t="s">
        <v>23</v>
      </c>
      <c r="E2931" s="27" t="str">
        <f>HYPERLINK("https://www.compass.com/building/295-clermont-ave-brooklyn-ny-11205/282469684056459445/","295 Clermont Ave")</f>
        <v>295 Clermont Ave</v>
      </c>
      <c r="F2931" s="25" t="s">
        <v>59</v>
      </c>
      <c r="G2931" s="28">
        <v>3050000.0</v>
      </c>
      <c r="H2931" s="28">
        <v>789.0</v>
      </c>
      <c r="I2931" s="28">
        <v>0.0</v>
      </c>
      <c r="J2931" s="29"/>
      <c r="K2931" s="25" t="s">
        <v>159</v>
      </c>
      <c r="L2931" s="26">
        <v>4.0</v>
      </c>
      <c r="M2931" s="26">
        <v>2.0</v>
      </c>
      <c r="N2931" s="26">
        <v>1.0</v>
      </c>
      <c r="O2931" s="26">
        <v>0.0</v>
      </c>
      <c r="P2931" s="34">
        <v>3864.0</v>
      </c>
      <c r="Q2931" s="35">
        <v>0.0</v>
      </c>
      <c r="R2931" s="32">
        <v>45636.0</v>
      </c>
      <c r="S2931" s="32">
        <v>43257.0</v>
      </c>
      <c r="T2931" s="29"/>
      <c r="U2931" s="33"/>
      <c r="V2931" s="1"/>
    </row>
    <row r="2932" ht="24.0" customHeight="1">
      <c r="A2932" s="1"/>
      <c r="B2932" s="24" t="str">
        <f>HYPERLINK("https://www.compass.com/listing/305-east-85th-street-unit-5b-manhattan-ny-10028/803359028079719681/view?agent_id=610d3f3370540700019b0833","305 East 85th Street, Unit 5B")</f>
        <v>305 East 85th Street, Unit 5B</v>
      </c>
      <c r="C2932" s="25" t="s">
        <v>364</v>
      </c>
      <c r="D2932" s="26" t="s">
        <v>23</v>
      </c>
      <c r="E2932" s="27" t="str">
        <f>HYPERLINK("https://www.compass.com/building/georgica-manhattan-ny/281986061201153461/","Georgica")</f>
        <v>Georgica</v>
      </c>
      <c r="F2932" s="25" t="s">
        <v>44</v>
      </c>
      <c r="G2932" s="28">
        <v>2249500.0</v>
      </c>
      <c r="H2932" s="28">
        <v>1730.0</v>
      </c>
      <c r="I2932" s="28">
        <v>1757.0</v>
      </c>
      <c r="J2932" s="28">
        <v>4716.0</v>
      </c>
      <c r="K2932" s="25" t="s">
        <v>28</v>
      </c>
      <c r="L2932" s="26">
        <v>4.0</v>
      </c>
      <c r="M2932" s="26">
        <v>2.0</v>
      </c>
      <c r="N2932" s="26">
        <v>0.0</v>
      </c>
      <c r="O2932" s="26">
        <v>0.0</v>
      </c>
      <c r="P2932" s="34">
        <v>1300.0</v>
      </c>
      <c r="Q2932" s="35">
        <v>116.0</v>
      </c>
      <c r="R2932" s="32">
        <v>45636.0</v>
      </c>
      <c r="S2932" s="32">
        <v>41900.0</v>
      </c>
      <c r="T2932" s="29"/>
      <c r="U2932" s="33"/>
      <c r="V2932" s="1"/>
    </row>
    <row r="2933" ht="24.0" customHeight="1">
      <c r="A2933" s="1"/>
      <c r="B2933" s="24" t="str">
        <f>HYPERLINK("https://www.compass.com/listing/600-west-115th-street-unit-81-manhattan-ny-10025/114345745447943937/view?agent_id=610d3f3370540700019b0833","600 West 115th Street, Unit 81")</f>
        <v>600 West 115th Street, Unit 81</v>
      </c>
      <c r="C2933" s="25" t="s">
        <v>364</v>
      </c>
      <c r="D2933" s="26" t="s">
        <v>23</v>
      </c>
      <c r="E2933" s="27" t="str">
        <f>HYPERLINK("https://www.compass.com/building/the-luxor-manhattan-ny/292878070849825413/","The Luxor")</f>
        <v>The Luxor</v>
      </c>
      <c r="F2933" s="25" t="s">
        <v>41</v>
      </c>
      <c r="G2933" s="28">
        <v>850000.0</v>
      </c>
      <c r="H2933" s="29"/>
      <c r="I2933" s="28">
        <v>1233.0</v>
      </c>
      <c r="J2933" s="28">
        <v>0.0</v>
      </c>
      <c r="K2933" s="25" t="s">
        <v>25</v>
      </c>
      <c r="L2933" s="26">
        <v>4.0</v>
      </c>
      <c r="M2933" s="26">
        <v>2.0</v>
      </c>
      <c r="N2933" s="26">
        <v>1.0</v>
      </c>
      <c r="O2933" s="26">
        <v>0.0</v>
      </c>
      <c r="P2933" s="30"/>
      <c r="Q2933" s="35">
        <v>293.0</v>
      </c>
      <c r="R2933" s="32">
        <v>43998.0</v>
      </c>
      <c r="S2933" s="32">
        <v>43415.0</v>
      </c>
      <c r="T2933" s="29"/>
      <c r="U2933" s="33"/>
      <c r="V2933" s="1"/>
    </row>
    <row r="2934" ht="24.0" customHeight="1">
      <c r="A2934" s="1"/>
      <c r="B2934" s="24" t="str">
        <f>HYPERLINK("https://www.compass.com/listing/507-west-111th-street-unit-41-manhattan-ny-10025/1548025528419797001/view?agent_id=610d3f3370540700019b0833","507 West 111th Street, Unit 41")</f>
        <v>507 West 111th Street, Unit 41</v>
      </c>
      <c r="C2934" s="25" t="s">
        <v>364</v>
      </c>
      <c r="D2934" s="26" t="s">
        <v>23</v>
      </c>
      <c r="E2934" s="27" t="str">
        <f>HYPERLINK("https://www.compass.com/building/507-w-111th-st-manhattan-ny-10025/281972183792703829/","507 W 111th St")</f>
        <v>507 W 111th St</v>
      </c>
      <c r="F2934" s="25" t="s">
        <v>41</v>
      </c>
      <c r="G2934" s="28">
        <v>895000.0</v>
      </c>
      <c r="H2934" s="29"/>
      <c r="I2934" s="28">
        <v>1561.0</v>
      </c>
      <c r="J2934" s="28">
        <v>0.0</v>
      </c>
      <c r="K2934" s="25" t="s">
        <v>25</v>
      </c>
      <c r="L2934" s="26">
        <v>5.0</v>
      </c>
      <c r="M2934" s="26">
        <v>2.0</v>
      </c>
      <c r="N2934" s="26">
        <v>1.0</v>
      </c>
      <c r="O2934" s="30"/>
      <c r="P2934" s="30"/>
      <c r="Q2934" s="35">
        <v>184.0</v>
      </c>
      <c r="R2934" s="32">
        <v>45600.0</v>
      </c>
      <c r="S2934" s="32">
        <v>45387.0</v>
      </c>
      <c r="T2934" s="29"/>
      <c r="U2934" s="33"/>
      <c r="V2934" s="1"/>
    </row>
    <row r="2935" ht="24.0" customHeight="1">
      <c r="A2935" s="1"/>
      <c r="B2935" s="24" t="str">
        <f>HYPERLINK("https://www.compass.com/listing/400-east-67th-street-unit-4b-manhattan-ny-10065/1838985813032368233/view?agent_id=610d3f3370540700019b0833","400 East 67th Street, Unit 4B")</f>
        <v>400 East 67th Street, Unit 4B</v>
      </c>
      <c r="C2935" s="25" t="s">
        <v>364</v>
      </c>
      <c r="D2935" s="26" t="s">
        <v>23</v>
      </c>
      <c r="E2935" s="27" t="str">
        <f>HYPERLINK("https://www.compass.com/building/the-laurel-manhattan-ny/281928751145595349/","The Laurel")</f>
        <v>The Laurel</v>
      </c>
      <c r="F2935" s="25" t="s">
        <v>64</v>
      </c>
      <c r="G2935" s="28">
        <v>1895000.0</v>
      </c>
      <c r="H2935" s="28">
        <v>1404.0</v>
      </c>
      <c r="I2935" s="28">
        <v>1831.0</v>
      </c>
      <c r="J2935" s="28">
        <v>5616.0</v>
      </c>
      <c r="K2935" s="25" t="s">
        <v>28</v>
      </c>
      <c r="L2935" s="26">
        <v>4.0</v>
      </c>
      <c r="M2935" s="26">
        <v>2.0</v>
      </c>
      <c r="N2935" s="26">
        <v>0.0</v>
      </c>
      <c r="O2935" s="26">
        <v>0.0</v>
      </c>
      <c r="P2935" s="34">
        <v>1350.0</v>
      </c>
      <c r="Q2935" s="31"/>
      <c r="R2935" s="32">
        <v>44581.0</v>
      </c>
      <c r="S2935" s="33"/>
      <c r="T2935" s="29"/>
      <c r="U2935" s="33"/>
      <c r="V2935" s="1"/>
    </row>
    <row r="2936" ht="24.0" customHeight="1">
      <c r="A2936" s="1"/>
      <c r="B2936" s="24" t="str">
        <f>HYPERLINK("https://www.compass.com/listing/439-east-88th-street-unit-2f-manhattan-ny-10128/1535554278550268241/view?agent_id=610d3f3370540700019b0833","439 East 88th Street, Unit 2F")</f>
        <v>439 East 88th Street, Unit 2F</v>
      </c>
      <c r="C2936" s="25" t="s">
        <v>365</v>
      </c>
      <c r="D2936" s="26" t="s">
        <v>23</v>
      </c>
      <c r="E2936" s="27" t="str">
        <f>HYPERLINK("https://www.compass.com/building/439-e-88th-st-manhattan-ny-10128/282052473819002133/","439 E 88th St")</f>
        <v>439 E 88th St</v>
      </c>
      <c r="F2936" s="25" t="s">
        <v>44</v>
      </c>
      <c r="G2936" s="28">
        <v>655000.0</v>
      </c>
      <c r="H2936" s="29"/>
      <c r="I2936" s="28">
        <v>2041.0</v>
      </c>
      <c r="J2936" s="28">
        <v>0.0</v>
      </c>
      <c r="K2936" s="25" t="s">
        <v>25</v>
      </c>
      <c r="L2936" s="26">
        <v>4.0</v>
      </c>
      <c r="M2936" s="26">
        <v>2.0</v>
      </c>
      <c r="N2936" s="26">
        <v>1.0</v>
      </c>
      <c r="O2936" s="26">
        <v>0.0</v>
      </c>
      <c r="P2936" s="30"/>
      <c r="Q2936" s="35">
        <v>154.0</v>
      </c>
      <c r="R2936" s="32">
        <v>45525.0</v>
      </c>
      <c r="S2936" s="32">
        <v>45370.0</v>
      </c>
      <c r="T2936" s="29"/>
      <c r="U2936" s="33"/>
      <c r="V2936" s="1"/>
    </row>
    <row r="2937" ht="24.0" customHeight="1">
      <c r="A2937" s="1"/>
      <c r="B2937" s="24" t="str">
        <f>HYPERLINK("https://www.compass.com/listing/446-west-47th-street-unit-1d-manhattan-ny-10036/29389141326285137/view?agent_id=610d3f3370540700019b0833","446 West 47th Street, Unit 1D")</f>
        <v>446 West 47th Street, Unit 1D</v>
      </c>
      <c r="C2937" s="25" t="s">
        <v>370</v>
      </c>
      <c r="D2937" s="26" t="s">
        <v>23</v>
      </c>
      <c r="E2937" s="27" t="str">
        <f>HYPERLINK("https://www.compass.com/building/446-w-47th-st-manhattan-ny-10036/282025474564042853/","446 W 47th St")</f>
        <v>446 W 47th St</v>
      </c>
      <c r="F2937" s="25" t="s">
        <v>47</v>
      </c>
      <c r="G2937" s="28">
        <v>1595000.0</v>
      </c>
      <c r="H2937" s="28">
        <v>1450.0</v>
      </c>
      <c r="I2937" s="28">
        <v>1635.0</v>
      </c>
      <c r="J2937" s="28">
        <v>9672.0</v>
      </c>
      <c r="K2937" s="25" t="s">
        <v>28</v>
      </c>
      <c r="L2937" s="26">
        <v>5.0</v>
      </c>
      <c r="M2937" s="26">
        <v>2.0</v>
      </c>
      <c r="N2937" s="26">
        <v>0.0</v>
      </c>
      <c r="O2937" s="26">
        <v>0.0</v>
      </c>
      <c r="P2937" s="34">
        <v>1100.0</v>
      </c>
      <c r="Q2937" s="35">
        <v>298.0</v>
      </c>
      <c r="R2937" s="32">
        <v>45636.0</v>
      </c>
      <c r="S2937" s="32">
        <v>42467.0</v>
      </c>
      <c r="T2937" s="29"/>
      <c r="U2937" s="33"/>
      <c r="V2937" s="1"/>
    </row>
    <row r="2938" ht="24.0" customHeight="1">
      <c r="A2938" s="1"/>
      <c r="B2938" s="24" t="str">
        <f>HYPERLINK("https://www.compass.com/listing/44-cheever-place-unit-107101-brooklyn-ny-11231/849058787875881993/view?agent_id=610d3f3370540700019b0833","44 Cheever Place, Unit 107101")</f>
        <v>44 Cheever Place, Unit 107101</v>
      </c>
      <c r="C2938" s="25" t="s">
        <v>364</v>
      </c>
      <c r="D2938" s="26" t="s">
        <v>23</v>
      </c>
      <c r="E2938" s="27" t="str">
        <f>HYPERLINK("https://www.compass.com/building/the-cobble-hill-school-condo-brooklyn-ny/294845821878955141/","The Cobble Hill School Condo")</f>
        <v>The Cobble Hill School Condo</v>
      </c>
      <c r="F2938" s="25" t="s">
        <v>131</v>
      </c>
      <c r="G2938" s="28">
        <v>1300000.0</v>
      </c>
      <c r="H2938" s="28">
        <v>746.0</v>
      </c>
      <c r="I2938" s="28">
        <v>1509.0</v>
      </c>
      <c r="J2938" s="28">
        <v>8664.0</v>
      </c>
      <c r="K2938" s="25" t="s">
        <v>28</v>
      </c>
      <c r="L2938" s="26">
        <v>7.0</v>
      </c>
      <c r="M2938" s="26">
        <v>2.0</v>
      </c>
      <c r="N2938" s="26">
        <v>0.0</v>
      </c>
      <c r="O2938" s="26">
        <v>0.0</v>
      </c>
      <c r="P2938" s="34">
        <v>1742.0</v>
      </c>
      <c r="Q2938" s="35">
        <v>12.0</v>
      </c>
      <c r="R2938" s="32">
        <v>45636.0</v>
      </c>
      <c r="S2938" s="32">
        <v>42089.0</v>
      </c>
      <c r="T2938" s="29"/>
      <c r="U2938" s="33"/>
      <c r="V2938" s="1"/>
    </row>
    <row r="2939" ht="24.0" customHeight="1">
      <c r="A2939" s="1"/>
      <c r="B2939" s="24" t="str">
        <f>HYPERLINK("https://www.compass.com/listing/1080-madison-avenue-unit-a2-manhattan-ny-10028/4817627874783658417/view?agent_id=610d3f3370540700019b0833","1080 Madison Avenue, Unit A2")</f>
        <v>1080 Madison Avenue, Unit A2</v>
      </c>
      <c r="C2939" s="25" t="s">
        <v>364</v>
      </c>
      <c r="D2939" s="26" t="s">
        <v>23</v>
      </c>
      <c r="E2939" s="27" t="str">
        <f>HYPERLINK("https://www.compass.com/building/la-r-sidence-on-madison-manhattan-ny/281983916108256309/","La R��sidence on Madison")</f>
        <v>La R��sidence on Madison</v>
      </c>
      <c r="F2939" s="25" t="s">
        <v>44</v>
      </c>
      <c r="G2939" s="28">
        <v>3195000.0</v>
      </c>
      <c r="H2939" s="28">
        <v>2159.0</v>
      </c>
      <c r="I2939" s="28">
        <v>3804.0</v>
      </c>
      <c r="J2939" s="28">
        <v>16584.0</v>
      </c>
      <c r="K2939" s="25" t="s">
        <v>28</v>
      </c>
      <c r="L2939" s="26">
        <v>4.0</v>
      </c>
      <c r="M2939" s="26">
        <v>2.0</v>
      </c>
      <c r="N2939" s="26">
        <v>0.0</v>
      </c>
      <c r="O2939" s="26">
        <v>0.0</v>
      </c>
      <c r="P2939" s="34">
        <v>1480.0</v>
      </c>
      <c r="Q2939" s="35">
        <v>378.0</v>
      </c>
      <c r="R2939" s="32">
        <v>45636.0</v>
      </c>
      <c r="S2939" s="32">
        <v>42500.0</v>
      </c>
      <c r="T2939" s="29"/>
      <c r="U2939" s="33"/>
      <c r="V2939" s="1"/>
    </row>
    <row r="2940" ht="24.0" customHeight="1">
      <c r="A2940" s="1"/>
      <c r="B2940" s="24" t="str">
        <f>HYPERLINK("https://www.compass.com/listing/350-east-62nd-street-unit-4l-manhattan-ny-10065/1593466659459109089/view?agent_id=610d3f3370540700019b0833","350 East 62nd Street, Unit 4L")</f>
        <v>350 East 62nd Street, Unit 4L</v>
      </c>
      <c r="C2940" s="25" t="s">
        <v>365</v>
      </c>
      <c r="D2940" s="26" t="s">
        <v>23</v>
      </c>
      <c r="E2940" s="27" t="str">
        <f>HYPERLINK("https://www.compass.com/building/350-e-62nd-st-manhattan-ny-10065/282039234506806085/","350 E 62nd St")</f>
        <v>350 E 62nd St</v>
      </c>
      <c r="F2940" s="25" t="s">
        <v>64</v>
      </c>
      <c r="G2940" s="28">
        <v>1150000.0</v>
      </c>
      <c r="H2940" s="28">
        <v>1150.0</v>
      </c>
      <c r="I2940" s="28">
        <v>2231.0</v>
      </c>
      <c r="J2940" s="28">
        <v>14172.0</v>
      </c>
      <c r="K2940" s="25" t="s">
        <v>28</v>
      </c>
      <c r="L2940" s="26">
        <v>4.0</v>
      </c>
      <c r="M2940" s="26">
        <v>2.0</v>
      </c>
      <c r="N2940" s="26">
        <v>1.0</v>
      </c>
      <c r="O2940" s="30"/>
      <c r="P2940" s="34">
        <v>1000.0</v>
      </c>
      <c r="Q2940" s="35">
        <v>38.0</v>
      </c>
      <c r="R2940" s="32">
        <v>45519.0</v>
      </c>
      <c r="S2940" s="32">
        <v>45481.0</v>
      </c>
      <c r="T2940" s="29"/>
      <c r="U2940" s="33"/>
      <c r="V2940" s="1"/>
    </row>
    <row r="2941" ht="24.0" customHeight="1">
      <c r="A2941" s="1"/>
      <c r="B2941" s="24" t="str">
        <f>HYPERLINK("https://www.compass.com/listing/554-bainbridge-street-unit-2b-brooklyn-ny-11233/576039202725221953/view?agent_id=610d3f3370540700019b0833","554 Bainbridge Street, Unit 2B")</f>
        <v>554 Bainbridge Street, Unit 2B</v>
      </c>
      <c r="C2941" s="25" t="s">
        <v>364</v>
      </c>
      <c r="D2941" s="26" t="s">
        <v>23</v>
      </c>
      <c r="E2941" s="27" t="str">
        <f>HYPERLINK("https://www.compass.com/building/554-bainbridge-st-brooklyn-ny-11233/293420140584827029/","554 Bainbridge St")</f>
        <v>554 Bainbridge St</v>
      </c>
      <c r="F2941" s="25" t="s">
        <v>51</v>
      </c>
      <c r="G2941" s="28">
        <v>708000.0</v>
      </c>
      <c r="H2941" s="28">
        <v>901.0</v>
      </c>
      <c r="I2941" s="28">
        <v>259.0</v>
      </c>
      <c r="J2941" s="28">
        <v>120.0</v>
      </c>
      <c r="K2941" s="25" t="s">
        <v>28</v>
      </c>
      <c r="L2941" s="26">
        <v>4.0</v>
      </c>
      <c r="M2941" s="26">
        <v>2.0</v>
      </c>
      <c r="N2941" s="26">
        <v>1.0</v>
      </c>
      <c r="O2941" s="26">
        <v>0.0</v>
      </c>
      <c r="P2941" s="26">
        <v>786.0</v>
      </c>
      <c r="Q2941" s="35">
        <v>108.0</v>
      </c>
      <c r="R2941" s="32">
        <v>44155.0</v>
      </c>
      <c r="S2941" s="32">
        <v>44046.0</v>
      </c>
      <c r="T2941" s="29"/>
      <c r="U2941" s="33"/>
      <c r="V2941" s="1"/>
    </row>
    <row r="2942" ht="24.0" customHeight="1">
      <c r="A2942" s="1"/>
      <c r="B2942" s="24" t="str">
        <f>HYPERLINK("https://www.compass.com/listing/400-east-67th-street-unit-19d-manhattan-ny-10065/1838913603491574825/view?agent_id=610d3f3370540700019b0833","400 East 67th Street, Unit 19D")</f>
        <v>400 East 67th Street, Unit 19D</v>
      </c>
      <c r="C2942" s="25" t="s">
        <v>364</v>
      </c>
      <c r="D2942" s="26" t="s">
        <v>23</v>
      </c>
      <c r="E2942" s="27" t="str">
        <f>HYPERLINK("https://www.compass.com/building/the-laurel-manhattan-ny/281928751145595349/","The Laurel")</f>
        <v>The Laurel</v>
      </c>
      <c r="F2942" s="25" t="s">
        <v>64</v>
      </c>
      <c r="G2942" s="28">
        <v>2995000.0</v>
      </c>
      <c r="H2942" s="28">
        <v>1902.0</v>
      </c>
      <c r="I2942" s="28">
        <v>3187.0</v>
      </c>
      <c r="J2942" s="28">
        <v>16560.0</v>
      </c>
      <c r="K2942" s="25" t="s">
        <v>28</v>
      </c>
      <c r="L2942" s="26">
        <v>5.0</v>
      </c>
      <c r="M2942" s="26">
        <v>2.0</v>
      </c>
      <c r="N2942" s="26">
        <v>0.0</v>
      </c>
      <c r="O2942" s="26">
        <v>0.0</v>
      </c>
      <c r="P2942" s="34">
        <v>1575.0</v>
      </c>
      <c r="Q2942" s="35">
        <v>126.0</v>
      </c>
      <c r="R2942" s="32">
        <v>45636.0</v>
      </c>
      <c r="S2942" s="32">
        <v>43046.0</v>
      </c>
      <c r="T2942" s="29"/>
      <c r="U2942" s="33"/>
      <c r="V2942" s="1"/>
    </row>
    <row r="2943" ht="24.0" customHeight="1">
      <c r="A2943" s="1"/>
      <c r="B2943" s="24" t="str">
        <f>HYPERLINK("https://www.compass.com/listing/345-montgomery-street-unit-5h-brooklyn-ny-11225/1246375307029079537/view?agent_id=610d3f3370540700019b0833","345 Montgomery Street, Unit 5H")</f>
        <v>345 Montgomery Street, Unit 5H</v>
      </c>
      <c r="C2943" s="25" t="s">
        <v>364</v>
      </c>
      <c r="D2943" s="26" t="s">
        <v>23</v>
      </c>
      <c r="E2943" s="27" t="str">
        <f>HYPERLINK("https://www.compass.com/building/the-dearborn-brooklyn-ny/293534796993295621/","The Dearborn")</f>
        <v>The Dearborn</v>
      </c>
      <c r="F2943" s="25" t="s">
        <v>113</v>
      </c>
      <c r="G2943" s="28">
        <v>635000.0</v>
      </c>
      <c r="H2943" s="29"/>
      <c r="I2943" s="28">
        <v>1066.0</v>
      </c>
      <c r="J2943" s="28">
        <v>0.0</v>
      </c>
      <c r="K2943" s="25" t="s">
        <v>25</v>
      </c>
      <c r="L2943" s="26">
        <v>4.0</v>
      </c>
      <c r="M2943" s="26">
        <v>2.0</v>
      </c>
      <c r="N2943" s="26">
        <v>1.0</v>
      </c>
      <c r="O2943" s="30"/>
      <c r="P2943" s="30"/>
      <c r="Q2943" s="35">
        <v>65.0</v>
      </c>
      <c r="R2943" s="32">
        <v>45082.0</v>
      </c>
      <c r="S2943" s="32">
        <v>44971.0</v>
      </c>
      <c r="T2943" s="29"/>
      <c r="U2943" s="33"/>
      <c r="V2943" s="1"/>
    </row>
    <row r="2944" ht="24.0" customHeight="1">
      <c r="A2944" s="1"/>
      <c r="B2944" s="24" t="str">
        <f>HYPERLINK("https://www.compass.com/listing/165-east-60th-street-unit-5a-4a-manhattan-ny-10022/1809613081462416657/view?agent_id=610d3f3370540700019b0833","165 East 60th Street, Unit 5A/4A")</f>
        <v>165 East 60th Street, Unit 5A/4A</v>
      </c>
      <c r="C2944" s="25" t="s">
        <v>364</v>
      </c>
      <c r="D2944" s="26" t="s">
        <v>23</v>
      </c>
      <c r="E2944" s="27" t="str">
        <f>HYPERLINK("https://www.compass.com/building/165-e-60th-st-manhattan-ny-10022/307438270283639973/","165 E 60th St")</f>
        <v>165 E 60th St</v>
      </c>
      <c r="F2944" s="25" t="s">
        <v>64</v>
      </c>
      <c r="G2944" s="28">
        <v>2400000.0</v>
      </c>
      <c r="H2944" s="29"/>
      <c r="I2944" s="28">
        <v>2280.0</v>
      </c>
      <c r="J2944" s="29"/>
      <c r="K2944" s="25" t="s">
        <v>49</v>
      </c>
      <c r="L2944" s="26">
        <v>5.0</v>
      </c>
      <c r="M2944" s="26">
        <v>2.0</v>
      </c>
      <c r="N2944" s="26">
        <v>0.0</v>
      </c>
      <c r="O2944" s="26">
        <v>1.0</v>
      </c>
      <c r="P2944" s="30"/>
      <c r="Q2944" s="31"/>
      <c r="R2944" s="32">
        <v>44581.0</v>
      </c>
      <c r="S2944" s="33"/>
      <c r="T2944" s="29"/>
      <c r="U2944" s="33"/>
      <c r="V2944" s="1"/>
    </row>
    <row r="2945" ht="24.0" customHeight="1">
      <c r="A2945" s="1"/>
      <c r="B2945" s="24" t="str">
        <f>HYPERLINK("https://www.compass.com/listing/635-west-42nd-street-unit-38k-manhattan-ny-10036/1838949507572818577/view?agent_id=610d3f3370540700019b0833","635 West 42nd Street, Unit 38K")</f>
        <v>635 West 42nd Street, Unit 38K</v>
      </c>
      <c r="C2945" s="25" t="s">
        <v>370</v>
      </c>
      <c r="D2945" s="26" t="s">
        <v>23</v>
      </c>
      <c r="E2945" s="27" t="str">
        <f>HYPERLINK("https://www.compass.com/building/the-atelier-manhattan-ny/282026826413386389/","The Atelier")</f>
        <v>The Atelier</v>
      </c>
      <c r="F2945" s="25" t="s">
        <v>47</v>
      </c>
      <c r="G2945" s="28">
        <v>2450000.0</v>
      </c>
      <c r="H2945" s="28">
        <v>2409.0</v>
      </c>
      <c r="I2945" s="28">
        <v>915.0</v>
      </c>
      <c r="J2945" s="29"/>
      <c r="K2945" s="25" t="s">
        <v>28</v>
      </c>
      <c r="L2945" s="26">
        <v>5.0</v>
      </c>
      <c r="M2945" s="26">
        <v>2.0</v>
      </c>
      <c r="N2945" s="26">
        <v>0.0</v>
      </c>
      <c r="O2945" s="26">
        <v>0.0</v>
      </c>
      <c r="P2945" s="34">
        <v>1017.0</v>
      </c>
      <c r="Q2945" s="35">
        <v>59.0</v>
      </c>
      <c r="R2945" s="32">
        <v>44234.0</v>
      </c>
      <c r="S2945" s="32">
        <v>42949.0</v>
      </c>
      <c r="T2945" s="29"/>
      <c r="U2945" s="33"/>
      <c r="V2945" s="1"/>
    </row>
    <row r="2946" ht="24.0" customHeight="1">
      <c r="A2946" s="1"/>
      <c r="B2946" s="24" t="str">
        <f>HYPERLINK("https://www.compass.com/listing/115-east-90th-street-unit-4e-manhattan-ny-10128/1075465400218303809/view?agent_id=610d3f3370540700019b0833","115 East 90th Street, Unit 4E")</f>
        <v>115 East 90th Street, Unit 4E</v>
      </c>
      <c r="C2946" s="25" t="s">
        <v>364</v>
      </c>
      <c r="D2946" s="26" t="s">
        <v>23</v>
      </c>
      <c r="E2946" s="27" t="str">
        <f>HYPERLINK("https://www.compass.com/building/115-e-90th-st-manhattan-ny-10128/282046082488230949/","115 E 90th St")</f>
        <v>115 E 90th St</v>
      </c>
      <c r="F2946" s="25" t="s">
        <v>44</v>
      </c>
      <c r="G2946" s="28">
        <v>799000.0</v>
      </c>
      <c r="H2946" s="29"/>
      <c r="I2946" s="28">
        <v>2491.0</v>
      </c>
      <c r="J2946" s="28">
        <v>0.0</v>
      </c>
      <c r="K2946" s="25" t="s">
        <v>25</v>
      </c>
      <c r="L2946" s="26">
        <v>4.0</v>
      </c>
      <c r="M2946" s="26">
        <v>2.0</v>
      </c>
      <c r="N2946" s="26">
        <v>1.0</v>
      </c>
      <c r="O2946" s="26">
        <v>0.0</v>
      </c>
      <c r="P2946" s="30"/>
      <c r="Q2946" s="35">
        <v>398.0</v>
      </c>
      <c r="R2946" s="32">
        <v>45156.0</v>
      </c>
      <c r="S2946" s="32">
        <v>44735.0</v>
      </c>
      <c r="T2946" s="29"/>
      <c r="U2946" s="33"/>
      <c r="V2946" s="1"/>
    </row>
    <row r="2947" ht="24.0" customHeight="1">
      <c r="A2947" s="1"/>
      <c r="B2947" s="24" t="str">
        <f>HYPERLINK("https://www.compass.com/listing/345-montgomery-street-unit-5-brooklyn-ny-11225/1326914564627230721/view?agent_id=610d3f3370540700019b0833","345 Montgomery Street, Unit 5")</f>
        <v>345 Montgomery Street, Unit 5</v>
      </c>
      <c r="C2947" s="25" t="s">
        <v>365</v>
      </c>
      <c r="D2947" s="26" t="s">
        <v>23</v>
      </c>
      <c r="E2947" s="27" t="str">
        <f>HYPERLINK("https://www.compass.com/building/the-dearborn-brooklyn-ny/293534796993295621/","The Dearborn")</f>
        <v>The Dearborn</v>
      </c>
      <c r="F2947" s="25" t="s">
        <v>113</v>
      </c>
      <c r="G2947" s="28">
        <v>620000.0</v>
      </c>
      <c r="H2947" s="29"/>
      <c r="I2947" s="28">
        <v>1066.0</v>
      </c>
      <c r="J2947" s="28">
        <v>0.0</v>
      </c>
      <c r="K2947" s="25" t="s">
        <v>25</v>
      </c>
      <c r="L2947" s="26">
        <v>3.0</v>
      </c>
      <c r="M2947" s="26">
        <v>2.0</v>
      </c>
      <c r="N2947" s="26">
        <v>1.0</v>
      </c>
      <c r="O2947" s="30"/>
      <c r="P2947" s="30"/>
      <c r="Q2947" s="35">
        <v>37.0</v>
      </c>
      <c r="R2947" s="32">
        <v>45120.0</v>
      </c>
      <c r="S2947" s="32">
        <v>45082.0</v>
      </c>
      <c r="T2947" s="29"/>
      <c r="U2947" s="33"/>
      <c r="V2947" s="1"/>
    </row>
    <row r="2948" ht="24.0" customHeight="1">
      <c r="A2948" s="1"/>
      <c r="B2948" s="24" t="str">
        <f>HYPERLINK("https://www.compass.com/listing/1080-madison-avenue-unit-2apom-manhattan-ny-10028/70929104609857617/view?agent_id=610d3f3370540700019b0833","1080 Madison Avenue, Unit 2APOM")</f>
        <v>1080 Madison Avenue, Unit 2APOM</v>
      </c>
      <c r="C2948" s="25" t="s">
        <v>364</v>
      </c>
      <c r="D2948" s="26" t="s">
        <v>23</v>
      </c>
      <c r="E2948" s="27" t="str">
        <f>HYPERLINK("https://www.compass.com/building/la-r-sidence-on-madison-manhattan-ny/281983916108256309/","La R��sidence on Madison")</f>
        <v>La R��sidence on Madison</v>
      </c>
      <c r="F2948" s="25" t="s">
        <v>44</v>
      </c>
      <c r="G2948" s="28">
        <v>3195000.0</v>
      </c>
      <c r="H2948" s="29"/>
      <c r="I2948" s="28">
        <v>4078.0</v>
      </c>
      <c r="J2948" s="28">
        <v>19008.0</v>
      </c>
      <c r="K2948" s="25" t="s">
        <v>28</v>
      </c>
      <c r="L2948" s="26">
        <v>4.0</v>
      </c>
      <c r="M2948" s="26">
        <v>2.0</v>
      </c>
      <c r="N2948" s="26">
        <v>0.0</v>
      </c>
      <c r="O2948" s="26">
        <v>0.0</v>
      </c>
      <c r="P2948" s="30"/>
      <c r="Q2948" s="35">
        <v>184.0</v>
      </c>
      <c r="R2948" s="32">
        <v>45636.0</v>
      </c>
      <c r="S2948" s="32">
        <v>42835.0</v>
      </c>
      <c r="T2948" s="29"/>
      <c r="U2948" s="33"/>
      <c r="V2948" s="1"/>
    </row>
    <row r="2949" ht="24.0" customHeight="1">
      <c r="A2949" s="1"/>
      <c r="B2949" s="24" t="str">
        <f>HYPERLINK("https://www.compass.com/listing/606-west-113th-street-unit-4b-manhattan-ny-10025/998610949080655497/view?agent_id=610d3f3370540700019b0833","606 West 113th Street, Unit 4B")</f>
        <v>606 West 113th Street, Unit 4B</v>
      </c>
      <c r="C2949" s="25" t="s">
        <v>370</v>
      </c>
      <c r="D2949" s="26" t="s">
        <v>23</v>
      </c>
      <c r="E2949" s="27" t="str">
        <f>HYPERLINK("https://www.compass.com/building/the-altamonte-manhattan-ny/281972673150540709/","The Altamonte")</f>
        <v>The Altamonte</v>
      </c>
      <c r="F2949" s="25" t="s">
        <v>41</v>
      </c>
      <c r="G2949" s="28">
        <v>899000.0</v>
      </c>
      <c r="H2949" s="28">
        <v>999.0</v>
      </c>
      <c r="I2949" s="28">
        <v>1662.0</v>
      </c>
      <c r="J2949" s="29"/>
      <c r="K2949" s="25" t="s">
        <v>25</v>
      </c>
      <c r="L2949" s="26">
        <v>5.0</v>
      </c>
      <c r="M2949" s="26">
        <v>2.0</v>
      </c>
      <c r="N2949" s="26">
        <v>1.0</v>
      </c>
      <c r="O2949" s="26">
        <v>0.0</v>
      </c>
      <c r="P2949" s="26">
        <v>900.0</v>
      </c>
      <c r="Q2949" s="35">
        <v>165.0</v>
      </c>
      <c r="R2949" s="32">
        <v>45636.0</v>
      </c>
      <c r="S2949" s="32">
        <v>44629.0</v>
      </c>
      <c r="T2949" s="29"/>
      <c r="U2949" s="33"/>
      <c r="V2949" s="1"/>
    </row>
    <row r="2950" ht="24.0" customHeight="1">
      <c r="A2950" s="1"/>
      <c r="B2950" s="24" t="str">
        <f>HYPERLINK("https://www.compass.com/listing/446-chauncey-street-unit-1-brooklyn-ny-11233/35886490575779777/view?agent_id=610d3f3370540700019b0833","446 Chauncey Street, Unit 1")</f>
        <v>446 Chauncey Street, Unit 1</v>
      </c>
      <c r="C2950" s="25" t="s">
        <v>364</v>
      </c>
      <c r="D2950" s="26" t="s">
        <v>23</v>
      </c>
      <c r="E2950" s="27" t="str">
        <f>HYPERLINK("https://www.compass.com/building/446-chauncey-st-brooklyn-ny-11233/293422644978583461/","446 Chauncey St")</f>
        <v>446 Chauncey St</v>
      </c>
      <c r="F2950" s="25" t="s">
        <v>51</v>
      </c>
      <c r="G2950" s="28">
        <v>500000.0</v>
      </c>
      <c r="H2950" s="28">
        <v>617.0</v>
      </c>
      <c r="I2950" s="28">
        <v>435.0</v>
      </c>
      <c r="J2950" s="29"/>
      <c r="K2950" s="25" t="s">
        <v>28</v>
      </c>
      <c r="L2950" s="26">
        <v>4.0</v>
      </c>
      <c r="M2950" s="26">
        <v>2.0</v>
      </c>
      <c r="N2950" s="26">
        <v>1.0</v>
      </c>
      <c r="O2950" s="26">
        <v>0.0</v>
      </c>
      <c r="P2950" s="26">
        <v>811.0</v>
      </c>
      <c r="Q2950" s="35">
        <v>45.0</v>
      </c>
      <c r="R2950" s="32">
        <v>45636.0</v>
      </c>
      <c r="S2950" s="32">
        <v>43365.0</v>
      </c>
      <c r="T2950" s="29"/>
      <c r="U2950" s="33"/>
      <c r="V2950" s="1"/>
    </row>
    <row r="2951" ht="24.0" customHeight="1">
      <c r="A2951" s="1"/>
      <c r="B2951" s="24" t="str">
        <f>HYPERLINK("https://www.compass.com/listing/205-east-59th-street-unit-8b-manhattan-ny-10022/1838979909037581657/view?agent_id=610d3f3370540700019b0833","205 East 59th Street, Unit 8B")</f>
        <v>205 East 59th Street, Unit 8B</v>
      </c>
      <c r="C2951" s="25" t="s">
        <v>364</v>
      </c>
      <c r="D2951" s="26" t="s">
        <v>23</v>
      </c>
      <c r="E2951" s="27" t="str">
        <f>HYPERLINK("https://www.compass.com/building/205-e-59th-st-manhattan-ny-10022/281952922483361877/","205 E 59th St")</f>
        <v>205 E 59th St</v>
      </c>
      <c r="F2951" s="25" t="s">
        <v>64</v>
      </c>
      <c r="G2951" s="28">
        <v>1738000.0</v>
      </c>
      <c r="H2951" s="28">
        <v>1534.0</v>
      </c>
      <c r="I2951" s="28">
        <v>2588.0</v>
      </c>
      <c r="J2951" s="28">
        <v>12912.0</v>
      </c>
      <c r="K2951" s="25" t="s">
        <v>28</v>
      </c>
      <c r="L2951" s="26">
        <v>4.0</v>
      </c>
      <c r="M2951" s="26">
        <v>2.0</v>
      </c>
      <c r="N2951" s="26">
        <v>0.0</v>
      </c>
      <c r="O2951" s="26">
        <v>0.0</v>
      </c>
      <c r="P2951" s="34">
        <v>1133.0</v>
      </c>
      <c r="Q2951" s="35">
        <v>94.0</v>
      </c>
      <c r="R2951" s="32">
        <v>45636.0</v>
      </c>
      <c r="S2951" s="32">
        <v>42859.0</v>
      </c>
      <c r="T2951" s="29"/>
      <c r="U2951" s="33"/>
      <c r="V2951" s="1"/>
    </row>
    <row r="2952" ht="24.0" customHeight="1">
      <c r="A2952" s="1"/>
      <c r="B2952" s="24" t="str">
        <f>HYPERLINK("https://www.compass.com/listing/166-east-63rd-street-unit-2a-manhattan-ny-10065/1096413766200971217/view?agent_id=610d3f3370540700019b0833","166 East 63rd Street, Unit 2A")</f>
        <v>166 East 63rd Street, Unit 2A</v>
      </c>
      <c r="C2952" s="25" t="s">
        <v>365</v>
      </c>
      <c r="D2952" s="26" t="s">
        <v>23</v>
      </c>
      <c r="E2952" s="27" t="str">
        <f>HYPERLINK("https://www.compass.com/building/beekman-townhouse-manhattan-ny/282037143142944357/","Beekman Townhouse")</f>
        <v>Beekman Townhouse</v>
      </c>
      <c r="F2952" s="25" t="s">
        <v>64</v>
      </c>
      <c r="G2952" s="28">
        <v>1185000.0</v>
      </c>
      <c r="H2952" s="28">
        <v>1255.0</v>
      </c>
      <c r="I2952" s="28">
        <v>2471.0</v>
      </c>
      <c r="J2952" s="28">
        <v>14847.0</v>
      </c>
      <c r="K2952" s="25" t="s">
        <v>28</v>
      </c>
      <c r="L2952" s="26">
        <v>4.0</v>
      </c>
      <c r="M2952" s="26">
        <v>2.0</v>
      </c>
      <c r="N2952" s="26">
        <v>1.0</v>
      </c>
      <c r="O2952" s="26">
        <v>0.0</v>
      </c>
      <c r="P2952" s="26">
        <v>944.0</v>
      </c>
      <c r="Q2952" s="35">
        <v>163.0</v>
      </c>
      <c r="R2952" s="32">
        <v>44931.0</v>
      </c>
      <c r="S2952" s="32">
        <v>44764.0</v>
      </c>
      <c r="T2952" s="29"/>
      <c r="U2952" s="33"/>
      <c r="V2952" s="1"/>
    </row>
    <row r="2953" ht="24.0" customHeight="1">
      <c r="A2953" s="1"/>
      <c r="B2953" s="24" t="str">
        <f>HYPERLINK("https://www.compass.com/listing/442-south-5th-street-unit-commercial-brooklyn-ny-11211/543965181637031481/view?agent_id=610d3f3370540700019b0833","442 South 5th Street, Unit COMMERCIAL")</f>
        <v>442 South 5th Street, Unit COMMERCIAL</v>
      </c>
      <c r="C2953" s="25" t="s">
        <v>370</v>
      </c>
      <c r="D2953" s="26" t="s">
        <v>23</v>
      </c>
      <c r="E2953" s="27" t="str">
        <f>HYPERLINK("https://www.compass.com/building/442-s-5th-st-brooklyn-ny-11211/282399923788386677/","442 S 5th St")</f>
        <v>442 S 5th St</v>
      </c>
      <c r="F2953" s="25" t="s">
        <v>46</v>
      </c>
      <c r="G2953" s="28">
        <v>3250000.0</v>
      </c>
      <c r="H2953" s="28">
        <v>900.0</v>
      </c>
      <c r="I2953" s="28">
        <v>3811.0</v>
      </c>
      <c r="J2953" s="28">
        <v>42820.0</v>
      </c>
      <c r="K2953" s="25" t="s">
        <v>28</v>
      </c>
      <c r="L2953" s="26">
        <v>1.0</v>
      </c>
      <c r="M2953" s="26">
        <v>2.0</v>
      </c>
      <c r="N2953" s="30"/>
      <c r="O2953" s="30"/>
      <c r="P2953" s="34">
        <v>3612.0</v>
      </c>
      <c r="Q2953" s="35">
        <v>32.0</v>
      </c>
      <c r="R2953" s="32">
        <v>44036.0</v>
      </c>
      <c r="S2953" s="32">
        <v>44002.0</v>
      </c>
      <c r="T2953" s="29"/>
      <c r="U2953" s="33"/>
      <c r="V2953" s="1"/>
    </row>
    <row r="2954" ht="24.0" customHeight="1">
      <c r="A2954" s="1"/>
      <c r="B2954" s="24" t="str">
        <f>HYPERLINK("https://www.compass.com/listing/350-west-42nd-street-unit-41c-manhattan-ny-10036/29387461926895393/view?agent_id=610d3f3370540700019b0833","350 West 42nd Street, Unit 41C")</f>
        <v>350 West 42nd Street, Unit 41C</v>
      </c>
      <c r="C2954" s="25" t="s">
        <v>364</v>
      </c>
      <c r="D2954" s="26" t="s">
        <v>23</v>
      </c>
      <c r="E2954" s="27" t="str">
        <f>HYPERLINK("https://www.compass.com/building/the-orion-manhattan-ny/282024268559033301/","The Orion")</f>
        <v>The Orion</v>
      </c>
      <c r="F2954" s="25" t="s">
        <v>47</v>
      </c>
      <c r="G2954" s="28">
        <v>1750000.0</v>
      </c>
      <c r="H2954" s="28">
        <v>1591.0</v>
      </c>
      <c r="I2954" s="28">
        <v>2.0</v>
      </c>
      <c r="J2954" s="28">
        <v>12.0</v>
      </c>
      <c r="K2954" s="25" t="s">
        <v>28</v>
      </c>
      <c r="L2954" s="26">
        <v>4.0</v>
      </c>
      <c r="M2954" s="26">
        <v>2.0</v>
      </c>
      <c r="N2954" s="26">
        <v>0.0</v>
      </c>
      <c r="O2954" s="26">
        <v>0.0</v>
      </c>
      <c r="P2954" s="34">
        <v>1100.0</v>
      </c>
      <c r="Q2954" s="35">
        <v>116.0</v>
      </c>
      <c r="R2954" s="32">
        <v>44581.0</v>
      </c>
      <c r="S2954" s="32">
        <v>42895.0</v>
      </c>
      <c r="T2954" s="29"/>
      <c r="U2954" s="33"/>
      <c r="V2954" s="1"/>
    </row>
    <row r="2955" ht="24.0" customHeight="1">
      <c r="A2955" s="1"/>
      <c r="B2955" s="24" t="str">
        <f>HYPERLINK("https://www.compass.com/listing/358-eastern-parkway-unit-1-brooklyn-ny-11225/918980751638115137/view?agent_id=610d3f3370540700019b0833","358 Eastern Parkway, Unit 1")</f>
        <v>358 Eastern Parkway, Unit 1</v>
      </c>
      <c r="C2955" s="25" t="s">
        <v>364</v>
      </c>
      <c r="D2955" s="26" t="s">
        <v>23</v>
      </c>
      <c r="E2955" s="27" t="str">
        <f>HYPERLINK("https://www.compass.com/building/358-eastern-pkwy-brooklyn-ny-11225/293526971235761269/","358 Eastern Pkwy")</f>
        <v>358 Eastern Pkwy</v>
      </c>
      <c r="F2955" s="25" t="s">
        <v>113</v>
      </c>
      <c r="G2955" s="28">
        <v>875000.0</v>
      </c>
      <c r="H2955" s="28">
        <v>761.0</v>
      </c>
      <c r="I2955" s="28">
        <v>684.0</v>
      </c>
      <c r="J2955" s="29"/>
      <c r="K2955" s="25" t="s">
        <v>25</v>
      </c>
      <c r="L2955" s="26">
        <v>6.0</v>
      </c>
      <c r="M2955" s="26">
        <v>2.0</v>
      </c>
      <c r="N2955" s="26">
        <v>0.0</v>
      </c>
      <c r="O2955" s="26">
        <v>0.0</v>
      </c>
      <c r="P2955" s="34">
        <v>1150.0</v>
      </c>
      <c r="Q2955" s="35">
        <v>113.0</v>
      </c>
      <c r="R2955" s="32">
        <v>45636.0</v>
      </c>
      <c r="S2955" s="32">
        <v>42648.0</v>
      </c>
      <c r="T2955" s="29"/>
      <c r="U2955" s="33"/>
      <c r="V2955" s="1"/>
    </row>
    <row r="2956" ht="24.0" customHeight="1">
      <c r="A2956" s="1"/>
      <c r="B2956" s="24" t="str">
        <f>HYPERLINK("https://www.compass.com/listing/129-metropolitan-avenue-unit-4a-brooklyn-ny-11249/827198724306388505/view?agent_id=610d3f3370540700019b0833","129 Metropolitan Avenue, Unit 4A")</f>
        <v>129 Metropolitan Avenue, Unit 4A</v>
      </c>
      <c r="C2956" s="25" t="s">
        <v>364</v>
      </c>
      <c r="D2956" s="26" t="s">
        <v>23</v>
      </c>
      <c r="E2956" s="27" t="str">
        <f>HYPERLINK("https://www.compass.com/building/129-metropolitan-ave-brooklyn-ny-11249/293424609179538613/","129 Metropolitan Ave")</f>
        <v>129 Metropolitan Ave</v>
      </c>
      <c r="F2956" s="25" t="s">
        <v>46</v>
      </c>
      <c r="G2956" s="28">
        <v>565000.0</v>
      </c>
      <c r="H2956" s="28">
        <v>677.0</v>
      </c>
      <c r="I2956" s="28">
        <v>345.0</v>
      </c>
      <c r="J2956" s="28">
        <v>240.0</v>
      </c>
      <c r="K2956" s="25" t="s">
        <v>28</v>
      </c>
      <c r="L2956" s="26">
        <v>4.0</v>
      </c>
      <c r="M2956" s="26">
        <v>2.0</v>
      </c>
      <c r="N2956" s="26">
        <v>0.0</v>
      </c>
      <c r="O2956" s="26">
        <v>0.0</v>
      </c>
      <c r="P2956" s="26">
        <v>834.0</v>
      </c>
      <c r="Q2956" s="35">
        <v>2590.0</v>
      </c>
      <c r="R2956" s="32">
        <v>44581.0</v>
      </c>
      <c r="S2956" s="32">
        <v>41990.0</v>
      </c>
      <c r="T2956" s="29"/>
      <c r="U2956" s="33"/>
      <c r="V2956" s="1"/>
    </row>
    <row r="2957" ht="24.0" customHeight="1">
      <c r="A2957" s="1"/>
      <c r="B2957" s="24" t="str">
        <f>HYPERLINK("https://www.compass.com/listing/350-west-42nd-street-unit-32b-manhattan-ny-10036/441959323770610625/view?agent_id=610d3f3370540700019b0833","350 West 42nd Street, Unit 32B")</f>
        <v>350 West 42nd Street, Unit 32B</v>
      </c>
      <c r="C2957" s="25" t="s">
        <v>364</v>
      </c>
      <c r="D2957" s="26" t="s">
        <v>23</v>
      </c>
      <c r="E2957" s="27" t="str">
        <f>HYPERLINK("https://www.compass.com/building/the-orion-manhattan-ny/282024268559033301/","The Orion")</f>
        <v>The Orion</v>
      </c>
      <c r="F2957" s="25" t="s">
        <v>47</v>
      </c>
      <c r="G2957" s="28">
        <v>2095000.0</v>
      </c>
      <c r="H2957" s="28">
        <v>1676.0</v>
      </c>
      <c r="I2957" s="28">
        <v>2529.0</v>
      </c>
      <c r="J2957" s="28">
        <v>15348.0</v>
      </c>
      <c r="K2957" s="25" t="s">
        <v>28</v>
      </c>
      <c r="L2957" s="26">
        <v>5.0</v>
      </c>
      <c r="M2957" s="26">
        <v>2.0</v>
      </c>
      <c r="N2957" s="26">
        <v>0.0</v>
      </c>
      <c r="O2957" s="26">
        <v>0.0</v>
      </c>
      <c r="P2957" s="34">
        <v>1250.0</v>
      </c>
      <c r="Q2957" s="35">
        <v>500.0</v>
      </c>
      <c r="R2957" s="32">
        <v>45636.0</v>
      </c>
      <c r="S2957" s="32">
        <v>42377.0</v>
      </c>
      <c r="T2957" s="29"/>
      <c r="U2957" s="33"/>
      <c r="V2957" s="1"/>
    </row>
    <row r="2958" ht="24.0" customHeight="1">
      <c r="A2958" s="1"/>
      <c r="B2958" s="24" t="str">
        <f>HYPERLINK("https://www.compass.com/listing/304-east-65th-street-unit-37-manhattan-ny-10065/921884071247987193/view?agent_id=610d3f3370540700019b0833","304 East 65th Street, Unit 37")</f>
        <v>304 East 65th Street, Unit 37</v>
      </c>
      <c r="C2958" s="25" t="s">
        <v>364</v>
      </c>
      <c r="D2958" s="26" t="s">
        <v>23</v>
      </c>
      <c r="E2958" s="27" t="str">
        <f>HYPERLINK("https://www.compass.com/building/the-rio-manhattan-ny/282038647555902117/","The Rio")</f>
        <v>The Rio</v>
      </c>
      <c r="F2958" s="25" t="s">
        <v>64</v>
      </c>
      <c r="G2958" s="28">
        <v>9500000.0</v>
      </c>
      <c r="H2958" s="28">
        <v>2375.0</v>
      </c>
      <c r="I2958" s="28">
        <v>8895.0</v>
      </c>
      <c r="J2958" s="28">
        <v>52704.0</v>
      </c>
      <c r="K2958" s="25" t="s">
        <v>28</v>
      </c>
      <c r="L2958" s="26">
        <v>8.0</v>
      </c>
      <c r="M2958" s="26">
        <v>2.0</v>
      </c>
      <c r="N2958" s="26">
        <v>0.0</v>
      </c>
      <c r="O2958" s="26">
        <v>1.0</v>
      </c>
      <c r="P2958" s="34">
        <v>4000.0</v>
      </c>
      <c r="Q2958" s="35">
        <v>0.0</v>
      </c>
      <c r="R2958" s="32">
        <v>44581.0</v>
      </c>
      <c r="S2958" s="32">
        <v>43178.0</v>
      </c>
      <c r="T2958" s="29"/>
      <c r="U2958" s="33"/>
      <c r="V2958" s="1"/>
    </row>
    <row r="2959" ht="24.0" customHeight="1">
      <c r="A2959" s="1"/>
      <c r="B2959" s="24" t="str">
        <f>HYPERLINK("https://www.compass.com/listing/1208-pacific-street-unit-2f-brooklyn-ny-11216/29471309058562561/view?agent_id=610d3f3370540700019b0833","1208 Pacific Street, Unit 2F")</f>
        <v>1208 Pacific Street, Unit 2F</v>
      </c>
      <c r="C2959" s="25" t="s">
        <v>364</v>
      </c>
      <c r="D2959" s="26" t="s">
        <v>23</v>
      </c>
      <c r="E2959" s="27" t="str">
        <f>HYPERLINK("https://www.compass.com/building/1208-pacific-st-brooklyn-ny-11216/294838484682264149/","1208 Pacific St")</f>
        <v>1208 Pacific St</v>
      </c>
      <c r="F2959" s="25" t="s">
        <v>113</v>
      </c>
      <c r="G2959" s="28">
        <v>450000.0</v>
      </c>
      <c r="H2959" s="28">
        <v>595.0</v>
      </c>
      <c r="I2959" s="28">
        <v>184.0</v>
      </c>
      <c r="J2959" s="29"/>
      <c r="K2959" s="25" t="s">
        <v>28</v>
      </c>
      <c r="L2959" s="26">
        <v>4.0</v>
      </c>
      <c r="M2959" s="26">
        <v>2.0</v>
      </c>
      <c r="N2959" s="26">
        <v>1.0</v>
      </c>
      <c r="O2959" s="26">
        <v>0.0</v>
      </c>
      <c r="P2959" s="26">
        <v>756.0</v>
      </c>
      <c r="Q2959" s="35">
        <v>57.0</v>
      </c>
      <c r="R2959" s="32">
        <v>45636.0</v>
      </c>
      <c r="S2959" s="32">
        <v>41586.0</v>
      </c>
      <c r="T2959" s="29"/>
      <c r="U2959" s="33"/>
      <c r="V2959" s="1"/>
    </row>
    <row r="2960" ht="24.0" customHeight="1">
      <c r="A2960" s="1"/>
      <c r="B2960" s="24" t="str">
        <f>HYPERLINK("https://www.compass.com/listing/200-east-66th-street-unit-d1201-manhattan-ny-10065/147716839756124017/view?agent_id=610d3f3370540700019b0833","200 East 66th Street, Unit D1201")</f>
        <v>200 East 66th Street, Unit D1201</v>
      </c>
      <c r="C2960" s="25" t="s">
        <v>364</v>
      </c>
      <c r="D2960" s="26" t="s">
        <v>23</v>
      </c>
      <c r="E2960" s="27" t="str">
        <f>HYPERLINK("https://www.compass.com/building/manhattan-house-manhattan-ny/282037560954341381/","Manhattan House")</f>
        <v>Manhattan House</v>
      </c>
      <c r="F2960" s="25" t="s">
        <v>64</v>
      </c>
      <c r="G2960" s="28">
        <v>2700000.0</v>
      </c>
      <c r="H2960" s="28">
        <v>1846.0</v>
      </c>
      <c r="I2960" s="28">
        <v>2995.0</v>
      </c>
      <c r="J2960" s="28">
        <v>16884.0</v>
      </c>
      <c r="K2960" s="25" t="s">
        <v>28</v>
      </c>
      <c r="L2960" s="26">
        <v>6.0</v>
      </c>
      <c r="M2960" s="26">
        <v>2.0</v>
      </c>
      <c r="N2960" s="26">
        <v>0.0</v>
      </c>
      <c r="O2960" s="26">
        <v>0.0</v>
      </c>
      <c r="P2960" s="34">
        <v>1463.0</v>
      </c>
      <c r="Q2960" s="35">
        <v>112.0</v>
      </c>
      <c r="R2960" s="32">
        <v>45636.0</v>
      </c>
      <c r="S2960" s="32">
        <v>42627.0</v>
      </c>
      <c r="T2960" s="29"/>
      <c r="U2960" s="33"/>
      <c r="V2960" s="1"/>
    </row>
    <row r="2961" ht="24.0" customHeight="1">
      <c r="A2961" s="1"/>
      <c r="B2961" s="24" t="str">
        <f>HYPERLINK("https://www.compass.com/listing/345-montgomery-street-unit-4j-brooklyn-ny-11225/1592193611279258905/view?agent_id=610d3f3370540700019b0833","345 Montgomery Street, Unit 4J")</f>
        <v>345 Montgomery Street, Unit 4J</v>
      </c>
      <c r="C2961" s="25" t="s">
        <v>365</v>
      </c>
      <c r="D2961" s="26" t="s">
        <v>23</v>
      </c>
      <c r="E2961" s="27" t="str">
        <f>HYPERLINK("https://www.compass.com/building/the-dearborn-brooklyn-ny/293534796993295621/","The Dearborn")</f>
        <v>The Dearborn</v>
      </c>
      <c r="F2961" s="25" t="s">
        <v>113</v>
      </c>
      <c r="G2961" s="28">
        <v>719000.0</v>
      </c>
      <c r="H2961" s="29"/>
      <c r="I2961" s="28">
        <v>1323.0</v>
      </c>
      <c r="J2961" s="28">
        <v>0.0</v>
      </c>
      <c r="K2961" s="25" t="s">
        <v>25</v>
      </c>
      <c r="L2961" s="26">
        <v>4.0</v>
      </c>
      <c r="M2961" s="26">
        <v>2.0</v>
      </c>
      <c r="N2961" s="26">
        <v>1.0</v>
      </c>
      <c r="O2961" s="30"/>
      <c r="P2961" s="30"/>
      <c r="Q2961" s="35">
        <v>176.0</v>
      </c>
      <c r="R2961" s="32">
        <v>45643.0</v>
      </c>
      <c r="S2961" s="32">
        <v>45448.0</v>
      </c>
      <c r="T2961" s="29"/>
      <c r="U2961" s="33"/>
      <c r="V2961" s="1"/>
    </row>
    <row r="2962" ht="24.0" customHeight="1">
      <c r="A2962" s="1"/>
      <c r="B2962" s="24" t="str">
        <f>HYPERLINK("https://www.compass.com/listing/635-west-42nd-street-unit-38k-manhattan-ny-10036/50949617256348145/view?agent_id=610d3f3370540700019b0833","635 West 42nd Street, Unit 38K")</f>
        <v>635 West 42nd Street, Unit 38K</v>
      </c>
      <c r="C2962" s="25" t="s">
        <v>370</v>
      </c>
      <c r="D2962" s="26" t="s">
        <v>23</v>
      </c>
      <c r="E2962" s="27" t="str">
        <f>HYPERLINK("https://www.compass.com/building/the-atelier-manhattan-ny/282026826413386389/","The Atelier")</f>
        <v>The Atelier</v>
      </c>
      <c r="F2962" s="25" t="s">
        <v>47</v>
      </c>
      <c r="G2962" s="28">
        <v>2250000.0</v>
      </c>
      <c r="H2962" s="28">
        <v>2212.0</v>
      </c>
      <c r="I2962" s="28">
        <v>2050.0</v>
      </c>
      <c r="J2962" s="28">
        <v>13620.0</v>
      </c>
      <c r="K2962" s="25" t="s">
        <v>28</v>
      </c>
      <c r="L2962" s="26">
        <v>5.0</v>
      </c>
      <c r="M2962" s="26">
        <v>2.0</v>
      </c>
      <c r="N2962" s="26">
        <v>0.0</v>
      </c>
      <c r="O2962" s="26">
        <v>0.0</v>
      </c>
      <c r="P2962" s="34">
        <v>1017.0</v>
      </c>
      <c r="Q2962" s="35">
        <v>93.0</v>
      </c>
      <c r="R2962" s="32">
        <v>45636.0</v>
      </c>
      <c r="S2962" s="32">
        <v>43126.0</v>
      </c>
      <c r="T2962" s="29"/>
      <c r="U2962" s="33"/>
      <c r="V2962" s="1"/>
    </row>
    <row r="2963" ht="24.0" customHeight="1">
      <c r="A2963" s="1"/>
      <c r="B2963" s="24" t="str">
        <f>HYPERLINK("https://www.compass.com/listing/130-east-94th-street-unit-2e-manhattan-ny-10128/349973551050154529/view?agent_id=610d3f3370540700019b0833","130 East 94th Street, Unit 2E")</f>
        <v>130 East 94th Street, Unit 2E</v>
      </c>
      <c r="C2963" s="25" t="s">
        <v>364</v>
      </c>
      <c r="D2963" s="26" t="s">
        <v>23</v>
      </c>
      <c r="E2963" s="27" t="str">
        <f>HYPERLINK("https://www.compass.com/building/130-e-94th-st-manhattan-ny-10128/282046949064992373/","130 E 94th St")</f>
        <v>130 E 94th St</v>
      </c>
      <c r="F2963" s="25" t="s">
        <v>44</v>
      </c>
      <c r="G2963" s="28">
        <v>949000.0</v>
      </c>
      <c r="H2963" s="29"/>
      <c r="I2963" s="28">
        <v>2247.0</v>
      </c>
      <c r="J2963" s="28">
        <v>0.0</v>
      </c>
      <c r="K2963" s="25" t="s">
        <v>25</v>
      </c>
      <c r="L2963" s="26">
        <v>6.0</v>
      </c>
      <c r="M2963" s="26">
        <v>2.0</v>
      </c>
      <c r="N2963" s="26">
        <v>1.0</v>
      </c>
      <c r="O2963" s="30"/>
      <c r="P2963" s="30"/>
      <c r="Q2963" s="35">
        <v>6.0</v>
      </c>
      <c r="R2963" s="32">
        <v>43902.0</v>
      </c>
      <c r="S2963" s="32">
        <v>43739.0</v>
      </c>
      <c r="T2963" s="29"/>
      <c r="U2963" s="33"/>
      <c r="V2963" s="1"/>
    </row>
    <row r="2964" ht="24.0" customHeight="1">
      <c r="A2964" s="1"/>
      <c r="B2964" s="24" t="str">
        <f>HYPERLINK("https://www.compass.com/listing/200-east-66th-street-unit-d1606-manhattan-ny-10065/1000034040978687129/view?agent_id=610d3f3370540700019b0833","200 East 66th Street, Unit D1606")</f>
        <v>200 East 66th Street, Unit D1606</v>
      </c>
      <c r="C2964" s="25" t="s">
        <v>364</v>
      </c>
      <c r="D2964" s="26" t="s">
        <v>23</v>
      </c>
      <c r="E2964" s="27" t="str">
        <f>HYPERLINK("https://www.compass.com/building/manhattan-house-manhattan-ny/282037560954341381/","Manhattan House")</f>
        <v>Manhattan House</v>
      </c>
      <c r="F2964" s="25" t="s">
        <v>64</v>
      </c>
      <c r="G2964" s="28">
        <v>2250000.0</v>
      </c>
      <c r="H2964" s="28">
        <v>1984.0</v>
      </c>
      <c r="I2964" s="28">
        <v>2780.0</v>
      </c>
      <c r="J2964" s="28">
        <v>15456.0</v>
      </c>
      <c r="K2964" s="25" t="s">
        <v>28</v>
      </c>
      <c r="L2964" s="26">
        <v>6.0</v>
      </c>
      <c r="M2964" s="26">
        <v>2.0</v>
      </c>
      <c r="N2964" s="26">
        <v>1.0</v>
      </c>
      <c r="O2964" s="30"/>
      <c r="P2964" s="34">
        <v>1134.0</v>
      </c>
      <c r="Q2964" s="35">
        <v>34.0</v>
      </c>
      <c r="R2964" s="32">
        <v>44665.0</v>
      </c>
      <c r="S2964" s="32">
        <v>44631.0</v>
      </c>
      <c r="T2964" s="29"/>
      <c r="U2964" s="33"/>
      <c r="V2964" s="1"/>
    </row>
    <row r="2965" ht="24.0" customHeight="1">
      <c r="A2965" s="1"/>
      <c r="B2965" s="24" t="str">
        <f>HYPERLINK("https://www.compass.com/listing/235-east-87th-street-unit-7k-manhattan-ny-10128/81096592836288257/view?agent_id=610d3f3370540700019b0833","235 East 87th Street, Unit 7K")</f>
        <v>235 East 87th Street, Unit 7K</v>
      </c>
      <c r="C2965" s="25" t="s">
        <v>364</v>
      </c>
      <c r="D2965" s="26" t="s">
        <v>23</v>
      </c>
      <c r="E2965" s="27" t="str">
        <f>HYPERLINK("https://www.compass.com/building/the-plymouth-house-manhattan-ny/282050471919644629/","The Plymouth House")</f>
        <v>The Plymouth House</v>
      </c>
      <c r="F2965" s="25" t="s">
        <v>44</v>
      </c>
      <c r="G2965" s="28">
        <v>1300000.0</v>
      </c>
      <c r="H2965" s="28">
        <v>929.0</v>
      </c>
      <c r="I2965" s="28">
        <v>2950.0</v>
      </c>
      <c r="J2965" s="28">
        <v>0.0</v>
      </c>
      <c r="K2965" s="25" t="s">
        <v>25</v>
      </c>
      <c r="L2965" s="26">
        <v>5.0</v>
      </c>
      <c r="M2965" s="26">
        <v>2.0</v>
      </c>
      <c r="N2965" s="30"/>
      <c r="O2965" s="30"/>
      <c r="P2965" s="34">
        <v>1400.0</v>
      </c>
      <c r="Q2965" s="35">
        <v>108.0</v>
      </c>
      <c r="R2965" s="32">
        <v>43559.0</v>
      </c>
      <c r="S2965" s="32">
        <v>43363.0</v>
      </c>
      <c r="T2965" s="29"/>
      <c r="U2965" s="33"/>
      <c r="V2965" s="1"/>
    </row>
    <row r="2966" ht="24.0" customHeight="1">
      <c r="A2966" s="1"/>
      <c r="B2966" s="24" t="str">
        <f>HYPERLINK("https://www.compass.com/listing/150-east-93rd-street-unit-5b-manhattan-ny-10128/1780127599295923209/view?agent_id=610d3f3370540700019b0833","150 East 93rd Street, Unit 5B")</f>
        <v>150 East 93rd Street, Unit 5B</v>
      </c>
      <c r="C2966" s="25" t="s">
        <v>364</v>
      </c>
      <c r="D2966" s="26" t="s">
        <v>23</v>
      </c>
      <c r="E2966" s="27" t="str">
        <f>HYPERLINK("https://www.compass.com/building/150-e-93rd-st-manhattan-ny-10128/282061069860506485/","150 E 93rd St")</f>
        <v>150 E 93rd St</v>
      </c>
      <c r="F2966" s="25" t="s">
        <v>44</v>
      </c>
      <c r="G2966" s="28">
        <v>925000.0</v>
      </c>
      <c r="H2966" s="29"/>
      <c r="I2966" s="28">
        <v>2704.0</v>
      </c>
      <c r="J2966" s="28">
        <v>0.0</v>
      </c>
      <c r="K2966" s="25" t="s">
        <v>25</v>
      </c>
      <c r="L2966" s="26">
        <v>4.0</v>
      </c>
      <c r="M2966" s="26">
        <v>2.0</v>
      </c>
      <c r="N2966" s="26">
        <v>1.0</v>
      </c>
      <c r="O2966" s="26">
        <v>0.0</v>
      </c>
      <c r="P2966" s="30"/>
      <c r="Q2966" s="35">
        <v>127.0</v>
      </c>
      <c r="R2966" s="32">
        <v>45855.0</v>
      </c>
      <c r="S2966" s="32">
        <v>45727.0</v>
      </c>
      <c r="T2966" s="29"/>
      <c r="U2966" s="33"/>
      <c r="V2966" s="1"/>
    </row>
    <row r="2967" ht="24.0" customHeight="1">
      <c r="A2967" s="1"/>
      <c r="B2967" s="24" t="str">
        <f>HYPERLINK("https://www.compass.com/listing/11-ten-eyck-street-unit-6c-brooklyn-ny-11206/921325480476090321/view?agent_id=610d3f3370540700019b0833","11 Ten Eyck Street, Unit 6C")</f>
        <v>11 Ten Eyck Street, Unit 6C</v>
      </c>
      <c r="C2967" s="25" t="s">
        <v>370</v>
      </c>
      <c r="D2967" s="26" t="s">
        <v>23</v>
      </c>
      <c r="E2967" s="27" t="str">
        <f>HYPERLINK("https://www.compass.com/building/11-ten-eyck-st-brooklyn-ny-11206/282387455380868517/","11 Ten Eyck St")</f>
        <v>11 Ten Eyck St</v>
      </c>
      <c r="F2967" s="25" t="s">
        <v>46</v>
      </c>
      <c r="G2967" s="28">
        <v>469000.0</v>
      </c>
      <c r="H2967" s="28">
        <v>586.0</v>
      </c>
      <c r="I2967" s="28">
        <v>550.0</v>
      </c>
      <c r="J2967" s="29"/>
      <c r="K2967" s="25" t="s">
        <v>25</v>
      </c>
      <c r="L2967" s="26">
        <v>5.0</v>
      </c>
      <c r="M2967" s="26">
        <v>2.0</v>
      </c>
      <c r="N2967" s="26">
        <v>1.0</v>
      </c>
      <c r="O2967" s="26">
        <v>0.0</v>
      </c>
      <c r="P2967" s="26">
        <v>800.0</v>
      </c>
      <c r="Q2967" s="35">
        <v>331.0</v>
      </c>
      <c r="R2967" s="32">
        <v>45636.0</v>
      </c>
      <c r="S2967" s="32">
        <v>42948.0</v>
      </c>
      <c r="T2967" s="29"/>
      <c r="U2967" s="33"/>
      <c r="V2967" s="1"/>
    </row>
    <row r="2968" ht="24.0" customHeight="1">
      <c r="A2968" s="1"/>
      <c r="B2968" s="24" t="str">
        <f>HYPERLINK("https://www.compass.com/listing/530-east-90th-street-unit-2l-manhattan-ny-10128/377527360877911873/view?agent_id=610d3f3370540700019b0833","530 East 90th Street, Unit 2L")</f>
        <v>530 East 90th Street, Unit 2L</v>
      </c>
      <c r="C2968" s="25" t="s">
        <v>370</v>
      </c>
      <c r="D2968" s="26" t="s">
        <v>23</v>
      </c>
      <c r="E2968" s="27" t="str">
        <f>HYPERLINK("https://www.compass.com/building/gracie-gardens-manhattan-ny/282053236947447173/","Gracie Gardens")</f>
        <v>Gracie Gardens</v>
      </c>
      <c r="F2968" s="25" t="s">
        <v>44</v>
      </c>
      <c r="G2968" s="28">
        <v>699000.0</v>
      </c>
      <c r="H2968" s="29"/>
      <c r="I2968" s="28">
        <v>2174.0</v>
      </c>
      <c r="J2968" s="28">
        <v>0.0</v>
      </c>
      <c r="K2968" s="25" t="s">
        <v>25</v>
      </c>
      <c r="L2968" s="26">
        <v>4.0</v>
      </c>
      <c r="M2968" s="26">
        <v>2.0</v>
      </c>
      <c r="N2968" s="26">
        <v>1.0</v>
      </c>
      <c r="O2968" s="26">
        <v>0.0</v>
      </c>
      <c r="P2968" s="30"/>
      <c r="Q2968" s="35">
        <v>120.0</v>
      </c>
      <c r="R2968" s="32">
        <v>44033.0</v>
      </c>
      <c r="S2968" s="32">
        <v>43789.0</v>
      </c>
      <c r="T2968" s="29"/>
      <c r="U2968" s="33"/>
      <c r="V2968" s="1"/>
    </row>
    <row r="2969" ht="24.0" customHeight="1">
      <c r="A2969" s="1"/>
      <c r="B2969" s="24" t="str">
        <f>HYPERLINK("https://www.compass.com/listing/200-east-61st-street-unit-36g-manhattan-ny-10065/1838975765266482625/view?agent_id=610d3f3370540700019b0833","200 E 61st St, Unit 36G")</f>
        <v>200 E 61st St, Unit 36G</v>
      </c>
      <c r="C2969" s="25" t="s">
        <v>364</v>
      </c>
      <c r="D2969" s="26" t="s">
        <v>23</v>
      </c>
      <c r="E2969" s="27" t="str">
        <f>HYPERLINK("https://www.compass.com/building/savoy-condominium-manhattan-ny/282037503500765173/","Savoy Condominium")</f>
        <v>Savoy Condominium</v>
      </c>
      <c r="F2969" s="25" t="s">
        <v>64</v>
      </c>
      <c r="G2969" s="28">
        <v>2395000.0</v>
      </c>
      <c r="H2969" s="28">
        <v>1675.0</v>
      </c>
      <c r="I2969" s="28">
        <v>4118.0</v>
      </c>
      <c r="J2969" s="28">
        <v>25776.0</v>
      </c>
      <c r="K2969" s="25" t="s">
        <v>28</v>
      </c>
      <c r="L2969" s="26">
        <v>4.0</v>
      </c>
      <c r="M2969" s="26">
        <v>2.0</v>
      </c>
      <c r="N2969" s="26">
        <v>0.0</v>
      </c>
      <c r="O2969" s="26">
        <v>0.0</v>
      </c>
      <c r="P2969" s="34">
        <v>1430.0</v>
      </c>
      <c r="Q2969" s="35">
        <v>188.0</v>
      </c>
      <c r="R2969" s="32">
        <v>45636.0</v>
      </c>
      <c r="S2969" s="32">
        <v>42983.0</v>
      </c>
      <c r="T2969" s="29"/>
      <c r="U2969" s="33"/>
      <c r="V2969" s="1"/>
    </row>
    <row r="2970" ht="24.0" customHeight="1">
      <c r="A2970" s="1"/>
      <c r="B2970" s="24" t="str">
        <f>HYPERLINK("https://www.compass.com/listing/377-rector-place-unit-6kl-manhattan-ny-10280/70911214368101057/view?agent_id=610d3f3370540700019b0833","377 Rector Pl, Unit 6KL")</f>
        <v>377 Rector Pl, Unit 6KL</v>
      </c>
      <c r="C2970" s="25" t="s">
        <v>370</v>
      </c>
      <c r="D2970" s="26" t="s">
        <v>23</v>
      </c>
      <c r="E2970" s="27" t="str">
        <f>HYPERLINK("https://www.compass.com/building/liberty-house-manhattan-ny/282054262102456533/","Liberty House")</f>
        <v>Liberty House</v>
      </c>
      <c r="F2970" s="25" t="s">
        <v>103</v>
      </c>
      <c r="G2970" s="28">
        <v>1498000.0</v>
      </c>
      <c r="H2970" s="28">
        <v>1152.0</v>
      </c>
      <c r="I2970" s="28">
        <v>2689.0</v>
      </c>
      <c r="J2970" s="28">
        <v>18072.0</v>
      </c>
      <c r="K2970" s="25" t="s">
        <v>28</v>
      </c>
      <c r="L2970" s="26">
        <v>6.0</v>
      </c>
      <c r="M2970" s="26">
        <v>2.0</v>
      </c>
      <c r="N2970" s="26">
        <v>0.0</v>
      </c>
      <c r="O2970" s="26">
        <v>0.0</v>
      </c>
      <c r="P2970" s="34">
        <v>1300.0</v>
      </c>
      <c r="Q2970" s="35">
        <v>0.0</v>
      </c>
      <c r="R2970" s="32">
        <v>44581.0</v>
      </c>
      <c r="S2970" s="32">
        <v>41538.0</v>
      </c>
      <c r="T2970" s="29"/>
      <c r="U2970" s="33"/>
      <c r="V2970" s="1"/>
    </row>
    <row r="2971" ht="24.0" customHeight="1">
      <c r="A2971" s="1"/>
      <c r="B2971" s="24" t="str">
        <f>HYPERLINK("https://www.compass.com/listing/4-east-88th-street-unit-ph9d-manhattan-ny-10128/1520559490712759481/view?agent_id=610d3f3370540700019b0833","4 E 88th St, Unit PH9D")</f>
        <v>4 E 88th St, Unit PH9D</v>
      </c>
      <c r="C2971" s="25" t="s">
        <v>364</v>
      </c>
      <c r="D2971" s="26" t="s">
        <v>23</v>
      </c>
      <c r="E2971" s="27" t="str">
        <f>HYPERLINK("https://www.compass.com/building/4-e-88th-st-manhattan-ny-10128/282052070343731861/","4 E 88th St")</f>
        <v>4 E 88th St</v>
      </c>
      <c r="F2971" s="25" t="s">
        <v>44</v>
      </c>
      <c r="G2971" s="28">
        <v>1100000.0</v>
      </c>
      <c r="H2971" s="29"/>
      <c r="I2971" s="28">
        <v>3356.0</v>
      </c>
      <c r="J2971" s="28">
        <v>0.0</v>
      </c>
      <c r="K2971" s="25" t="s">
        <v>25</v>
      </c>
      <c r="L2971" s="26">
        <v>4.0</v>
      </c>
      <c r="M2971" s="26">
        <v>2.0</v>
      </c>
      <c r="N2971" s="26">
        <v>1.0</v>
      </c>
      <c r="O2971" s="30"/>
      <c r="P2971" s="30"/>
      <c r="Q2971" s="35">
        <v>240.0</v>
      </c>
      <c r="R2971" s="32">
        <v>45590.0</v>
      </c>
      <c r="S2971" s="32">
        <v>45349.0</v>
      </c>
      <c r="T2971" s="29"/>
      <c r="U2971" s="33"/>
      <c r="V2971" s="1"/>
    </row>
    <row r="2972" ht="24.0" customHeight="1">
      <c r="A2972" s="1"/>
      <c r="B2972" s="24" t="str">
        <f>HYPERLINK("https://www.compass.com/listing/235-east-87th-street-unit-11j-new-york-ny-10128/1521754483648985649/view?agent_id=610d3f3370540700019b0833","235 E 87th St, Unit 11J")</f>
        <v>235 E 87th St, Unit 11J</v>
      </c>
      <c r="C2972" s="25" t="s">
        <v>364</v>
      </c>
      <c r="D2972" s="26" t="s">
        <v>23</v>
      </c>
      <c r="E2972" s="27" t="str">
        <f>HYPERLINK("https://www.compass.com/building/the-plymouth-house-new-york-ny/282050471919644629/","The Plymouth House")</f>
        <v>The Plymouth House</v>
      </c>
      <c r="F2972" s="25" t="s">
        <v>44</v>
      </c>
      <c r="G2972" s="28">
        <v>999999.0</v>
      </c>
      <c r="H2972" s="28">
        <v>780.0</v>
      </c>
      <c r="I2972" s="28">
        <v>2991.0</v>
      </c>
      <c r="J2972" s="28">
        <v>0.0</v>
      </c>
      <c r="K2972" s="25" t="s">
        <v>25</v>
      </c>
      <c r="L2972" s="26">
        <v>4.0</v>
      </c>
      <c r="M2972" s="26">
        <v>2.0</v>
      </c>
      <c r="N2972" s="26">
        <v>1.0</v>
      </c>
      <c r="O2972" s="26">
        <v>0.0</v>
      </c>
      <c r="P2972" s="34">
        <v>1282.0</v>
      </c>
      <c r="Q2972" s="35">
        <v>318.0</v>
      </c>
      <c r="R2972" s="32">
        <v>45713.0</v>
      </c>
      <c r="S2972" s="32">
        <v>45351.0</v>
      </c>
      <c r="T2972" s="29"/>
      <c r="U2972" s="33"/>
      <c r="V2972" s="1"/>
    </row>
    <row r="2973" ht="24.0" customHeight="1">
      <c r="A2973" s="1"/>
      <c r="B2973" s="24" t="str">
        <f>HYPERLINK("https://www.compass.com/listing/330-east-33rd-street-unit-16l-manhattan-ny-10016/1628220185926791465/view?agent_id=610d3f3370540700019b0833","330 E 33rd St, Unit 16L")</f>
        <v>330 E 33rd St, Unit 16L</v>
      </c>
      <c r="C2973" s="25" t="s">
        <v>364</v>
      </c>
      <c r="D2973" s="26" t="s">
        <v>23</v>
      </c>
      <c r="E2973" s="27" t="str">
        <f>HYPERLINK("https://www.compass.com/building/kips-bay-towers-manhattan-ny/294841116104683269/","Kips Bay Towers")</f>
        <v>Kips Bay Towers</v>
      </c>
      <c r="F2973" s="25" t="s">
        <v>107</v>
      </c>
      <c r="G2973" s="28">
        <v>1350000.0</v>
      </c>
      <c r="H2973" s="28">
        <v>1524.0</v>
      </c>
      <c r="I2973" s="28">
        <v>2015.0</v>
      </c>
      <c r="J2973" s="28">
        <v>13761.0</v>
      </c>
      <c r="K2973" s="25" t="s">
        <v>28</v>
      </c>
      <c r="L2973" s="26">
        <v>5.0</v>
      </c>
      <c r="M2973" s="26">
        <v>2.0</v>
      </c>
      <c r="N2973" s="26">
        <v>1.0</v>
      </c>
      <c r="O2973" s="26">
        <v>0.0</v>
      </c>
      <c r="P2973" s="26">
        <v>886.0</v>
      </c>
      <c r="Q2973" s="35">
        <v>60.0</v>
      </c>
      <c r="R2973" s="32">
        <v>45558.0</v>
      </c>
      <c r="S2973" s="32">
        <v>45498.0</v>
      </c>
      <c r="T2973" s="29"/>
      <c r="U2973" s="33"/>
      <c r="V2973" s="1"/>
    </row>
    <row r="2974" ht="24.0" customHeight="1">
      <c r="A2974" s="1"/>
      <c r="B2974" s="24" t="str">
        <f>HYPERLINK("https://www.compass.com/listing/144-east-30th-street-unit-4-manhattan-ny-10016/29378743411716049/view?agent_id=610d3f3370540700019b0833","144 E 30th St, Unit 4")</f>
        <v>144 E 30th St, Unit 4</v>
      </c>
      <c r="C2974" s="25" t="s">
        <v>370</v>
      </c>
      <c r="D2974" s="26" t="s">
        <v>23</v>
      </c>
      <c r="E2974" s="27" t="str">
        <f>HYPERLINK("https://www.compass.com/building/144-e-30th-st-manhattan-ny-10016/281937530159421717/","144 E 30th St")</f>
        <v>144 E 30th St</v>
      </c>
      <c r="F2974" s="25" t="s">
        <v>107</v>
      </c>
      <c r="G2974" s="28">
        <v>2595000.0</v>
      </c>
      <c r="H2974" s="28">
        <v>1682.0</v>
      </c>
      <c r="I2974" s="28">
        <v>1474.0</v>
      </c>
      <c r="J2974" s="28">
        <v>12672.0</v>
      </c>
      <c r="K2974" s="25" t="s">
        <v>28</v>
      </c>
      <c r="L2974" s="26">
        <v>5.0</v>
      </c>
      <c r="M2974" s="26">
        <v>2.0</v>
      </c>
      <c r="N2974" s="26">
        <v>0.0</v>
      </c>
      <c r="O2974" s="26">
        <v>0.0</v>
      </c>
      <c r="P2974" s="34">
        <v>1543.0</v>
      </c>
      <c r="Q2974" s="35">
        <v>214.0</v>
      </c>
      <c r="R2974" s="32">
        <v>45636.0</v>
      </c>
      <c r="S2974" s="32">
        <v>42126.0</v>
      </c>
      <c r="T2974" s="29"/>
      <c r="U2974" s="33"/>
      <c r="V2974" s="1"/>
    </row>
    <row r="2975" ht="24.0" customHeight="1">
      <c r="A2975" s="1"/>
      <c r="B2975" s="24" t="str">
        <f>HYPERLINK("https://www.compass.com/listing/2-bayard-street-unit-2d-brooklyn-ny-11211/1499610992718064985/view?agent_id=610d3f3370540700019b0833","2 Bayard St, Unit 2D")</f>
        <v>2 Bayard St, Unit 2D</v>
      </c>
      <c r="C2975" s="25" t="s">
        <v>365</v>
      </c>
      <c r="D2975" s="26" t="s">
        <v>23</v>
      </c>
      <c r="E2975" s="27" t="str">
        <f>HYPERLINK("https://www.compass.com/building/lotus-brooklyn-ny/282404931971921637/","Lotus")</f>
        <v>Lotus</v>
      </c>
      <c r="F2975" s="25" t="s">
        <v>46</v>
      </c>
      <c r="G2975" s="28">
        <v>1350000.0</v>
      </c>
      <c r="H2975" s="28">
        <v>1350.0</v>
      </c>
      <c r="I2975" s="28">
        <v>1704.0</v>
      </c>
      <c r="J2975" s="28">
        <v>9612.0</v>
      </c>
      <c r="K2975" s="25" t="s">
        <v>28</v>
      </c>
      <c r="L2975" s="26">
        <v>5.0</v>
      </c>
      <c r="M2975" s="26">
        <v>2.0</v>
      </c>
      <c r="N2975" s="26">
        <v>1.0</v>
      </c>
      <c r="O2975" s="30"/>
      <c r="P2975" s="34">
        <v>1000.0</v>
      </c>
      <c r="Q2975" s="35">
        <v>19.0</v>
      </c>
      <c r="R2975" s="32">
        <v>45510.0</v>
      </c>
      <c r="S2975" s="32">
        <v>45386.0</v>
      </c>
      <c r="T2975" s="29"/>
      <c r="U2975" s="33"/>
      <c r="V2975" s="1"/>
    </row>
    <row r="2976" ht="24.0" customHeight="1">
      <c r="A2976" s="1"/>
      <c r="B2976" s="24" t="str">
        <f>HYPERLINK("https://www.compass.com/listing/235-east-87th-street-unit-11j-manhattan-ny-10128/1784924383085111737/view?agent_id=610d3f3370540700019b0833","235 E 87th St, Unit 11J")</f>
        <v>235 E 87th St, Unit 11J</v>
      </c>
      <c r="C2976" s="25" t="s">
        <v>370</v>
      </c>
      <c r="D2976" s="26" t="s">
        <v>23</v>
      </c>
      <c r="E2976" s="27" t="str">
        <f>HYPERLINK("https://www.compass.com/building/the-plymouth-house-manhattan-ny/282050471919644629/","The Plymouth House")</f>
        <v>The Plymouth House</v>
      </c>
      <c r="F2976" s="25" t="s">
        <v>44</v>
      </c>
      <c r="G2976" s="28">
        <v>1120000.0</v>
      </c>
      <c r="H2976" s="28">
        <v>874.0</v>
      </c>
      <c r="I2976" s="28">
        <v>2950.0</v>
      </c>
      <c r="J2976" s="29"/>
      <c r="K2976" s="25" t="s">
        <v>25</v>
      </c>
      <c r="L2976" s="26">
        <v>4.0</v>
      </c>
      <c r="M2976" s="26">
        <v>2.0</v>
      </c>
      <c r="N2976" s="26">
        <v>1.0</v>
      </c>
      <c r="O2976" s="30"/>
      <c r="P2976" s="34">
        <v>1282.0</v>
      </c>
      <c r="Q2976" s="35">
        <v>90.0</v>
      </c>
      <c r="R2976" s="32">
        <v>45536.0</v>
      </c>
      <c r="S2976" s="32">
        <v>45351.0</v>
      </c>
      <c r="T2976" s="29"/>
      <c r="U2976" s="33"/>
      <c r="V2976" s="1"/>
    </row>
    <row r="2977" ht="24.0" customHeight="1">
      <c r="A2977" s="1"/>
      <c r="B2977" s="24" t="str">
        <f>HYPERLINK("https://www.compass.com/listing/152-east-94th-street-unit-8e-manhattan-ny-10128/410798252122849425/view?agent_id=610d3f3370540700019b0833","152 E 94th St, Unit 8E")</f>
        <v>152 E 94th St, Unit 8E</v>
      </c>
      <c r="C2977" s="25" t="s">
        <v>364</v>
      </c>
      <c r="D2977" s="26" t="s">
        <v>23</v>
      </c>
      <c r="E2977" s="27" t="str">
        <f>HYPERLINK("https://www.compass.com/building/152-e-94th-st-manhattan-ny-10128/282047681767958693/","152 E 94th St")</f>
        <v>152 E 94th St</v>
      </c>
      <c r="F2977" s="25" t="s">
        <v>44</v>
      </c>
      <c r="G2977" s="28">
        <v>1175000.0</v>
      </c>
      <c r="H2977" s="28">
        <v>1022.0</v>
      </c>
      <c r="I2977" s="28">
        <v>2073.0</v>
      </c>
      <c r="J2977" s="28">
        <v>0.0</v>
      </c>
      <c r="K2977" s="25" t="s">
        <v>25</v>
      </c>
      <c r="L2977" s="26">
        <v>4.0</v>
      </c>
      <c r="M2977" s="26">
        <v>2.0</v>
      </c>
      <c r="N2977" s="26">
        <v>1.0</v>
      </c>
      <c r="O2977" s="30"/>
      <c r="P2977" s="34">
        <v>1150.0</v>
      </c>
      <c r="Q2977" s="35">
        <v>60.0</v>
      </c>
      <c r="R2977" s="32">
        <v>44084.0</v>
      </c>
      <c r="S2977" s="32">
        <v>43849.0</v>
      </c>
      <c r="T2977" s="29"/>
      <c r="U2977" s="33"/>
      <c r="V2977" s="1"/>
    </row>
    <row r="2978" ht="24.0" customHeight="1">
      <c r="A2978" s="1"/>
      <c r="B2978" s="24" t="str">
        <f>HYPERLINK("https://www.compass.com/listing/115-east-90th-street-unit-5e-manhattan-ny-10128/646488799151577897/view?agent_id=610d3f3370540700019b0833","115 E 90th St, Unit 5E")</f>
        <v>115 E 90th St, Unit 5E</v>
      </c>
      <c r="C2978" s="25" t="s">
        <v>364</v>
      </c>
      <c r="D2978" s="26" t="s">
        <v>23</v>
      </c>
      <c r="E2978" s="27" t="str">
        <f>HYPERLINK("https://www.compass.com/building/115-e-90th-st-manhattan-ny-10128/282046082488230949/","115 E 90th St")</f>
        <v>115 E 90th St</v>
      </c>
      <c r="F2978" s="25" t="s">
        <v>44</v>
      </c>
      <c r="G2978" s="28">
        <v>895000.0</v>
      </c>
      <c r="H2978" s="29"/>
      <c r="I2978" s="28">
        <v>2445.0</v>
      </c>
      <c r="J2978" s="28">
        <v>0.0</v>
      </c>
      <c r="K2978" s="25" t="s">
        <v>25</v>
      </c>
      <c r="L2978" s="26">
        <v>4.0</v>
      </c>
      <c r="M2978" s="26">
        <v>2.0</v>
      </c>
      <c r="N2978" s="26">
        <v>1.0</v>
      </c>
      <c r="O2978" s="26">
        <v>0.0</v>
      </c>
      <c r="P2978" s="30"/>
      <c r="Q2978" s="35">
        <v>162.0</v>
      </c>
      <c r="R2978" s="32">
        <v>44322.0</v>
      </c>
      <c r="S2978" s="32">
        <v>44159.0</v>
      </c>
      <c r="T2978" s="29"/>
      <c r="U2978" s="33"/>
      <c r="V2978" s="1"/>
    </row>
    <row r="2979" ht="24.0" customHeight="1">
      <c r="A2979" s="1"/>
      <c r="B2979" s="24" t="str">
        <f>HYPERLINK("https://www.compass.com/listing/1070-park-avenue-unit-1d-manhattan-ny-10128/1126074091066645593/view?agent_id=610d3f3370540700019b0833","1070 Park Ave, Unit 1D")</f>
        <v>1070 Park Ave, Unit 1D</v>
      </c>
      <c r="C2979" s="25" t="s">
        <v>364</v>
      </c>
      <c r="D2979" s="26" t="s">
        <v>23</v>
      </c>
      <c r="E2979" s="27" t="str">
        <f>HYPERLINK("https://www.compass.com/building/1070-park-ave-manhattan-ny-10128/282045697828608997/","1070 Park Ave")</f>
        <v>1070 Park Ave</v>
      </c>
      <c r="F2979" s="25" t="s">
        <v>44</v>
      </c>
      <c r="G2979" s="28">
        <v>445000.0</v>
      </c>
      <c r="H2979" s="28">
        <v>371.0</v>
      </c>
      <c r="I2979" s="28">
        <v>6107.0</v>
      </c>
      <c r="J2979" s="28">
        <v>73284.0</v>
      </c>
      <c r="K2979" s="25" t="s">
        <v>25</v>
      </c>
      <c r="L2979" s="26">
        <v>4.0</v>
      </c>
      <c r="M2979" s="26">
        <v>2.0</v>
      </c>
      <c r="N2979" s="26">
        <v>1.0</v>
      </c>
      <c r="O2979" s="26">
        <v>0.0</v>
      </c>
      <c r="P2979" s="34">
        <v>1200.0</v>
      </c>
      <c r="Q2979" s="35">
        <v>66.0</v>
      </c>
      <c r="R2979" s="32">
        <v>45248.0</v>
      </c>
      <c r="S2979" s="32">
        <v>45135.0</v>
      </c>
      <c r="T2979" s="29"/>
      <c r="U2979" s="33"/>
      <c r="V2979" s="1"/>
    </row>
    <row r="2980" ht="24.0" customHeight="1">
      <c r="A2980" s="1"/>
      <c r="B2980" s="24" t="str">
        <f>HYPERLINK("https://www.compass.com/listing/115-east-90th-street-unit-4e-manhattan-ny-10128/804502974264880377/view?agent_id=610d3f3370540700019b0833","115 E 90th St, Unit 4E")</f>
        <v>115 E 90th St, Unit 4E</v>
      </c>
      <c r="C2980" s="25" t="s">
        <v>364</v>
      </c>
      <c r="D2980" s="26" t="s">
        <v>23</v>
      </c>
      <c r="E2980" s="27" t="str">
        <f>HYPERLINK("https://www.compass.com/building/115-e-90th-st-manhattan-ny-10128/282046082488230949/","115 E 90th St")</f>
        <v>115 E 90th St</v>
      </c>
      <c r="F2980" s="25" t="s">
        <v>44</v>
      </c>
      <c r="G2980" s="28">
        <v>875000.0</v>
      </c>
      <c r="H2980" s="29"/>
      <c r="I2980" s="28">
        <v>2491.0</v>
      </c>
      <c r="J2980" s="28">
        <v>0.0</v>
      </c>
      <c r="K2980" s="25" t="s">
        <v>25</v>
      </c>
      <c r="L2980" s="26">
        <v>4.0</v>
      </c>
      <c r="M2980" s="26">
        <v>2.0</v>
      </c>
      <c r="N2980" s="26">
        <v>1.0</v>
      </c>
      <c r="O2980" s="26">
        <v>0.0</v>
      </c>
      <c r="P2980" s="30"/>
      <c r="Q2980" s="35">
        <v>49.0</v>
      </c>
      <c r="R2980" s="32">
        <v>44411.0</v>
      </c>
      <c r="S2980" s="32">
        <v>44362.0</v>
      </c>
      <c r="T2980" s="29"/>
      <c r="U2980" s="33"/>
      <c r="V2980" s="1"/>
    </row>
    <row r="2981" ht="24.0" customHeight="1">
      <c r="A2981" s="1"/>
      <c r="B2981" s="24" t="str">
        <f>HYPERLINK("https://www.compass.com/listing/40-east-88th-street-unit-7a-manhattan-ny-10128/29669228399397649/view?agent_id=610d3f3370540700019b0833","40 E 88th St, Unit 7A")</f>
        <v>40 E 88th St, Unit 7A</v>
      </c>
      <c r="C2981" s="25" t="s">
        <v>370</v>
      </c>
      <c r="D2981" s="26" t="s">
        <v>23</v>
      </c>
      <c r="E2981" s="27" t="str">
        <f>HYPERLINK("https://www.compass.com/building/40-e-88th-st-manhattan-ny-10128/294838326691345317/","40 E 88th St")</f>
        <v>40 E 88th St</v>
      </c>
      <c r="F2981" s="25" t="s">
        <v>44</v>
      </c>
      <c r="G2981" s="28">
        <v>3245000.0</v>
      </c>
      <c r="H2981" s="29"/>
      <c r="I2981" s="28">
        <v>2808.0</v>
      </c>
      <c r="J2981" s="29"/>
      <c r="K2981" s="25" t="s">
        <v>25</v>
      </c>
      <c r="L2981" s="26">
        <v>6.0</v>
      </c>
      <c r="M2981" s="26">
        <v>2.0</v>
      </c>
      <c r="N2981" s="26">
        <v>0.0</v>
      </c>
      <c r="O2981" s="26">
        <v>0.0</v>
      </c>
      <c r="P2981" s="30"/>
      <c r="Q2981" s="35">
        <v>181.0</v>
      </c>
      <c r="R2981" s="32">
        <v>45636.0</v>
      </c>
      <c r="S2981" s="32">
        <v>43207.0</v>
      </c>
      <c r="T2981" s="29"/>
      <c r="U2981" s="33"/>
      <c r="V2981" s="1"/>
    </row>
    <row r="2982" ht="24.0" customHeight="1">
      <c r="A2982" s="1"/>
      <c r="B2982" s="24" t="str">
        <f>HYPERLINK("https://www.compass.com/listing/49-east-96th-street-unit-4b-manhattan-ny-10128/167365083939231841/view?agent_id=610d3f3370540700019b0833","49 E 96th St, Unit 4B")</f>
        <v>49 E 96th St, Unit 4B</v>
      </c>
      <c r="C2982" s="25" t="s">
        <v>364</v>
      </c>
      <c r="D2982" s="26" t="s">
        <v>23</v>
      </c>
      <c r="E2982" s="27" t="str">
        <f>HYPERLINK("https://www.compass.com/building/49-e-96th-st-manhattan-ny-10128/455661626813713661/","49 E 96th St")</f>
        <v>49 E 96th St</v>
      </c>
      <c r="F2982" s="25" t="s">
        <v>44</v>
      </c>
      <c r="G2982" s="28">
        <v>999000.0</v>
      </c>
      <c r="H2982" s="29"/>
      <c r="I2982" s="28">
        <v>1673.0</v>
      </c>
      <c r="J2982" s="28">
        <v>0.0</v>
      </c>
      <c r="K2982" s="25" t="s">
        <v>25</v>
      </c>
      <c r="L2982" s="26">
        <v>4.0</v>
      </c>
      <c r="M2982" s="26">
        <v>2.0</v>
      </c>
      <c r="N2982" s="26">
        <v>1.0</v>
      </c>
      <c r="O2982" s="26">
        <v>0.0</v>
      </c>
      <c r="P2982" s="30"/>
      <c r="Q2982" s="35">
        <v>119.0</v>
      </c>
      <c r="R2982" s="32">
        <v>43607.0</v>
      </c>
      <c r="S2982" s="32">
        <v>43488.0</v>
      </c>
      <c r="T2982" s="29"/>
      <c r="U2982" s="33"/>
      <c r="V2982" s="1"/>
    </row>
    <row r="2983" ht="24.0" customHeight="1">
      <c r="A2983" s="1"/>
      <c r="B2983" s="24" t="str">
        <f>HYPERLINK("https://www.compass.com/listing/125-ashland-place-unit-12b-brooklyn-ny-11201/530537753571123753/view?agent_id=610d3f3370540700019b0833","125 Ashland Pl, Unit 12B")</f>
        <v>125 Ashland Pl, Unit 12B</v>
      </c>
      <c r="C2983" s="25" t="s">
        <v>364</v>
      </c>
      <c r="D2983" s="26" t="s">
        <v>23</v>
      </c>
      <c r="E2983" s="27" t="str">
        <f>HYPERLINK("https://www.compass.com/building/125-ashland-pl-brooklyn-ny-11201/293426386096430693/","125 Ashland Pl")</f>
        <v>125 Ashland Pl</v>
      </c>
      <c r="F2983" s="25" t="s">
        <v>59</v>
      </c>
      <c r="G2983" s="28">
        <v>750000.0</v>
      </c>
      <c r="H2983" s="28">
        <v>882.0</v>
      </c>
      <c r="I2983" s="28">
        <v>979.0</v>
      </c>
      <c r="J2983" s="28">
        <v>11748.0</v>
      </c>
      <c r="K2983" s="25" t="s">
        <v>25</v>
      </c>
      <c r="L2983" s="26">
        <v>5.0</v>
      </c>
      <c r="M2983" s="26">
        <v>2.0</v>
      </c>
      <c r="N2983" s="26">
        <v>1.0</v>
      </c>
      <c r="O2983" s="30"/>
      <c r="P2983" s="26">
        <v>850.0</v>
      </c>
      <c r="Q2983" s="35">
        <v>18.0</v>
      </c>
      <c r="R2983" s="32">
        <v>44022.0</v>
      </c>
      <c r="S2983" s="32">
        <v>43998.0</v>
      </c>
      <c r="T2983" s="29"/>
      <c r="U2983" s="33"/>
      <c r="V2983" s="1"/>
    </row>
    <row r="2984" ht="24.0" customHeight="1">
      <c r="A2984" s="1"/>
      <c r="B2984" s="24" t="str">
        <f>HYPERLINK("https://www.compass.com/listing/1070-park-avenue-unit-1d-manhattan-ny-10128/876685319040988945/view?agent_id=610d3f3370540700019b0833","1070 Park Ave, Unit 1D")</f>
        <v>1070 Park Ave, Unit 1D</v>
      </c>
      <c r="C2984" s="25" t="s">
        <v>364</v>
      </c>
      <c r="D2984" s="26" t="s">
        <v>23</v>
      </c>
      <c r="E2984" s="27" t="str">
        <f>HYPERLINK("https://www.compass.com/building/1070-park-ave-manhattan-ny-10128/282045697828608997/","1070 Park Ave")</f>
        <v>1070 Park Ave</v>
      </c>
      <c r="F2984" s="25" t="s">
        <v>44</v>
      </c>
      <c r="G2984" s="28">
        <v>465000.0</v>
      </c>
      <c r="H2984" s="28">
        <v>423.0</v>
      </c>
      <c r="I2984" s="28">
        <v>6107.0</v>
      </c>
      <c r="J2984" s="28">
        <v>0.0</v>
      </c>
      <c r="K2984" s="25" t="s">
        <v>25</v>
      </c>
      <c r="L2984" s="26">
        <v>5.0</v>
      </c>
      <c r="M2984" s="26">
        <v>2.0</v>
      </c>
      <c r="N2984" s="26">
        <v>1.0</v>
      </c>
      <c r="O2984" s="26">
        <v>0.0</v>
      </c>
      <c r="P2984" s="34">
        <v>1100.0</v>
      </c>
      <c r="Q2984" s="35">
        <v>176.0</v>
      </c>
      <c r="R2984" s="32">
        <v>44936.0</v>
      </c>
      <c r="S2984" s="32">
        <v>44461.0</v>
      </c>
      <c r="T2984" s="29"/>
      <c r="U2984" s="33"/>
      <c r="V2984" s="1"/>
    </row>
    <row r="2985" ht="24.0" customHeight="1">
      <c r="A2985" s="1"/>
      <c r="B2985" s="24" t="str">
        <f>HYPERLINK("https://www.compass.com/listing/157-east-84th-street-unit-1a-manhattan-ny-10028/1838886530962636993/view?agent_id=610d3f3370540700019b0833","157 E 84th St, Unit 1A")</f>
        <v>157 E 84th St, Unit 1A</v>
      </c>
      <c r="C2985" s="25" t="s">
        <v>364</v>
      </c>
      <c r="D2985" s="26" t="s">
        <v>23</v>
      </c>
      <c r="E2985" s="27" t="str">
        <f>HYPERLINK("https://www.compass.com/building/the-legacy-manhattan-ny/281984807137812533/","The Legacy")</f>
        <v>The Legacy</v>
      </c>
      <c r="F2985" s="25" t="s">
        <v>44</v>
      </c>
      <c r="G2985" s="28">
        <v>4750000.0</v>
      </c>
      <c r="H2985" s="28">
        <v>1092.0</v>
      </c>
      <c r="I2985" s="28">
        <v>7702.0</v>
      </c>
      <c r="J2985" s="28">
        <v>42912.0</v>
      </c>
      <c r="K2985" s="25" t="s">
        <v>28</v>
      </c>
      <c r="L2985" s="26">
        <v>7.0</v>
      </c>
      <c r="M2985" s="26">
        <v>2.0</v>
      </c>
      <c r="N2985" s="26">
        <v>0.0</v>
      </c>
      <c r="O2985" s="26">
        <v>0.0</v>
      </c>
      <c r="P2985" s="34">
        <v>4348.0</v>
      </c>
      <c r="Q2985" s="35">
        <v>686.0</v>
      </c>
      <c r="R2985" s="32">
        <v>44581.0</v>
      </c>
      <c r="S2985" s="32">
        <v>41242.0</v>
      </c>
      <c r="T2985" s="29"/>
      <c r="U2985" s="33"/>
      <c r="V2985" s="1"/>
    </row>
    <row r="2986" ht="24.0" customHeight="1">
      <c r="A2986" s="1"/>
      <c r="B2986" s="24" t="str">
        <f>HYPERLINK("https://www.compass.com/listing/15-gates-avenue-unit-11c-brooklyn-ny-11238/716575867252999105/view?agent_id=610d3f3370540700019b0833","15 Gates Ave, Unit 11C")</f>
        <v>15 Gates Ave, Unit 11C</v>
      </c>
      <c r="C2986" s="25" t="s">
        <v>365</v>
      </c>
      <c r="D2986" s="26" t="s">
        <v>23</v>
      </c>
      <c r="E2986" s="27" t="str">
        <f>HYPERLINK("https://www.compass.com/building/fort-greene-partnership-homes-brooklyn-ny/293423336501873637/","Fort Greene Partnership Homes")</f>
        <v>Fort Greene Partnership Homes</v>
      </c>
      <c r="F2986" s="25" t="s">
        <v>59</v>
      </c>
      <c r="G2986" s="28">
        <v>950000.0</v>
      </c>
      <c r="H2986" s="28">
        <v>939.0</v>
      </c>
      <c r="I2986" s="28">
        <v>1250.0</v>
      </c>
      <c r="J2986" s="28">
        <v>8400.0</v>
      </c>
      <c r="K2986" s="25" t="s">
        <v>28</v>
      </c>
      <c r="L2986" s="26">
        <v>3.0</v>
      </c>
      <c r="M2986" s="26">
        <v>2.0</v>
      </c>
      <c r="N2986" s="26">
        <v>1.0</v>
      </c>
      <c r="O2986" s="30"/>
      <c r="P2986" s="34">
        <v>1012.0</v>
      </c>
      <c r="Q2986" s="35">
        <v>32.0</v>
      </c>
      <c r="R2986" s="32">
        <v>44272.0</v>
      </c>
      <c r="S2986" s="32">
        <v>44240.0</v>
      </c>
      <c r="T2986" s="29"/>
      <c r="U2986" s="33"/>
      <c r="V2986" s="1"/>
    </row>
    <row r="2987" ht="24.0" customHeight="1">
      <c r="A2987" s="1"/>
      <c r="B2987" s="24" t="str">
        <f>HYPERLINK("https://www.compass.com/listing/60-east-96th-street-unit-6c-manhattan-ny-10128/596416168271686161/view?agent_id=610d3f3370540700019b0833","60 E 96th St, Unit 6C")</f>
        <v>60 E 96th St, Unit 6C</v>
      </c>
      <c r="C2987" s="25" t="s">
        <v>365</v>
      </c>
      <c r="D2987" s="26" t="s">
        <v>23</v>
      </c>
      <c r="E2987" s="27" t="str">
        <f>HYPERLINK("https://www.compass.com/building/60-e-96th-st-manhattan-ny-10128/292933576549239781/","60 E 96th St")</f>
        <v>60 E 96th St</v>
      </c>
      <c r="F2987" s="25" t="s">
        <v>44</v>
      </c>
      <c r="G2987" s="28">
        <v>895000.0</v>
      </c>
      <c r="H2987" s="29"/>
      <c r="I2987" s="28">
        <v>2194.0</v>
      </c>
      <c r="J2987" s="28">
        <v>0.0</v>
      </c>
      <c r="K2987" s="25" t="s">
        <v>25</v>
      </c>
      <c r="L2987" s="26">
        <v>5.0</v>
      </c>
      <c r="M2987" s="26">
        <v>2.0</v>
      </c>
      <c r="N2987" s="26">
        <v>1.0</v>
      </c>
      <c r="O2987" s="30"/>
      <c r="P2987" s="30"/>
      <c r="Q2987" s="35">
        <v>78.0</v>
      </c>
      <c r="R2987" s="32">
        <v>44155.0</v>
      </c>
      <c r="S2987" s="32">
        <v>44076.0</v>
      </c>
      <c r="T2987" s="29"/>
      <c r="U2987" s="33"/>
      <c r="V2987" s="1"/>
    </row>
    <row r="2988" ht="24.0" customHeight="1">
      <c r="A2988" s="1"/>
      <c r="B2988" s="24" t="str">
        <f>HYPERLINK("https://www.compass.com/listing/243-mcdonald-avenue-unit-2d-brooklyn-ny-11218/318638000699399041/view?agent_id=610d3f3370540700019b0833","243 McDonald Ave, Unit 2D")</f>
        <v>243 McDonald Ave, Unit 2D</v>
      </c>
      <c r="C2988" s="25" t="s">
        <v>370</v>
      </c>
      <c r="D2988" s="26" t="s">
        <v>23</v>
      </c>
      <c r="E2988" s="27" t="str">
        <f>HYPERLINK("https://www.compass.com/building/243-mcdonald-ave-brooklyn-ny-11218/293416561484606197/","243 Mcdonald Ave")</f>
        <v>243 Mcdonald Ave</v>
      </c>
      <c r="F2988" s="25" t="s">
        <v>106</v>
      </c>
      <c r="G2988" s="28">
        <v>675000.0</v>
      </c>
      <c r="H2988" s="28">
        <v>675.0</v>
      </c>
      <c r="I2988" s="28">
        <v>870.0</v>
      </c>
      <c r="J2988" s="28">
        <v>0.0</v>
      </c>
      <c r="K2988" s="25" t="s">
        <v>25</v>
      </c>
      <c r="L2988" s="26">
        <v>4.0</v>
      </c>
      <c r="M2988" s="26">
        <v>2.0</v>
      </c>
      <c r="N2988" s="26">
        <v>1.0</v>
      </c>
      <c r="O2988" s="26">
        <v>0.0</v>
      </c>
      <c r="P2988" s="34">
        <v>1000.0</v>
      </c>
      <c r="Q2988" s="35">
        <v>211.0</v>
      </c>
      <c r="R2988" s="32">
        <v>43915.0</v>
      </c>
      <c r="S2988" s="32">
        <v>43698.0</v>
      </c>
      <c r="T2988" s="29"/>
      <c r="U2988" s="33"/>
      <c r="V2988" s="1"/>
    </row>
    <row r="2989" ht="24.0" customHeight="1">
      <c r="A2989" s="1"/>
      <c r="B2989" s="24" t="str">
        <f>HYPERLINK("https://www.compass.com/listing/72-east-93rd-street-unit-4b-manhattan-ny-10128/29420344599211073/view?agent_id=610d3f3370540700019b0833","72 E 93rd St, Unit 4B")</f>
        <v>72 E 93rd St, Unit 4B</v>
      </c>
      <c r="C2989" s="25" t="s">
        <v>364</v>
      </c>
      <c r="D2989" s="26" t="s">
        <v>23</v>
      </c>
      <c r="E2989" s="27" t="str">
        <f>HYPERLINK("https://www.compass.com/building/72-e-93rd-st-manhattan-ny-10128/282053748811919541/","72 E 93rd St")</f>
        <v>72 E 93rd St</v>
      </c>
      <c r="F2989" s="25" t="s">
        <v>44</v>
      </c>
      <c r="G2989" s="28">
        <v>645000.0</v>
      </c>
      <c r="H2989" s="29"/>
      <c r="I2989" s="28">
        <v>1069.0</v>
      </c>
      <c r="J2989" s="29"/>
      <c r="K2989" s="25" t="s">
        <v>25</v>
      </c>
      <c r="L2989" s="26">
        <v>4.0</v>
      </c>
      <c r="M2989" s="26">
        <v>2.0</v>
      </c>
      <c r="N2989" s="26">
        <v>1.0</v>
      </c>
      <c r="O2989" s="26">
        <v>0.0</v>
      </c>
      <c r="P2989" s="30"/>
      <c r="Q2989" s="35">
        <v>131.0</v>
      </c>
      <c r="R2989" s="32">
        <v>44581.0</v>
      </c>
      <c r="S2989" s="32">
        <v>41388.0</v>
      </c>
      <c r="T2989" s="29"/>
      <c r="U2989" s="33"/>
      <c r="V2989" s="1"/>
    </row>
    <row r="2990" ht="24.0" customHeight="1">
      <c r="A2990" s="1"/>
      <c r="B2990" s="24" t="str">
        <f>HYPERLINK("https://www.compass.com/listing/335-east-90th-street-unit-5f-manhattan-ny-10128/803301342676032865/view?agent_id=610d3f3370540700019b0833","335 E 90th St, Unit 5F")</f>
        <v>335 E 90th St, Unit 5F</v>
      </c>
      <c r="C2990" s="25" t="s">
        <v>370</v>
      </c>
      <c r="D2990" s="26" t="s">
        <v>23</v>
      </c>
      <c r="E2990" s="27" t="str">
        <f>HYPERLINK("https://www.compass.com/building/335-e-90th-st-manhattan-ny-10128/281929433323973717/","335 E 90th St")</f>
        <v>335 E 90th St</v>
      </c>
      <c r="F2990" s="25" t="s">
        <v>44</v>
      </c>
      <c r="G2990" s="28">
        <v>675000.0</v>
      </c>
      <c r="H2990" s="29"/>
      <c r="I2990" s="28">
        <v>1454.0</v>
      </c>
      <c r="J2990" s="29"/>
      <c r="K2990" s="25" t="s">
        <v>25</v>
      </c>
      <c r="L2990" s="26">
        <v>4.0</v>
      </c>
      <c r="M2990" s="26">
        <v>2.0</v>
      </c>
      <c r="N2990" s="26">
        <v>0.0</v>
      </c>
      <c r="O2990" s="26">
        <v>0.0</v>
      </c>
      <c r="P2990" s="30"/>
      <c r="Q2990" s="35">
        <v>0.0</v>
      </c>
      <c r="R2990" s="32">
        <v>44581.0</v>
      </c>
      <c r="S2990" s="32">
        <v>41538.0</v>
      </c>
      <c r="T2990" s="29"/>
      <c r="U2990" s="33"/>
      <c r="V2990" s="1"/>
    </row>
    <row r="2991" ht="24.0" customHeight="1">
      <c r="A2991" s="1"/>
      <c r="B2991" s="24" t="str">
        <f>HYPERLINK("https://www.compass.com/listing/571-macdonough-street-unit-1-brooklyn-ny-11233/1269035136075234929/view?agent_id=610d3f3370540700019b0833","571 MacDonough St, Unit 1")</f>
        <v>571 MacDonough St, Unit 1</v>
      </c>
      <c r="C2991" s="25" t="s">
        <v>365</v>
      </c>
      <c r="D2991" s="26" t="s">
        <v>23</v>
      </c>
      <c r="E2991" s="27" t="str">
        <f>HYPERLINK("https://www.compass.com/building/571-macdonough-st-brooklyn-ny-11233/307439508643233637/","571 Macdonough St")</f>
        <v>571 Macdonough St</v>
      </c>
      <c r="F2991" s="25" t="s">
        <v>51</v>
      </c>
      <c r="G2991" s="28">
        <v>799000.0</v>
      </c>
      <c r="H2991" s="28">
        <v>942.0</v>
      </c>
      <c r="I2991" s="28">
        <v>1061.0</v>
      </c>
      <c r="J2991" s="28">
        <v>3276.0</v>
      </c>
      <c r="K2991" s="25" t="s">
        <v>28</v>
      </c>
      <c r="L2991" s="26">
        <v>3.0</v>
      </c>
      <c r="M2991" s="26">
        <v>2.0</v>
      </c>
      <c r="N2991" s="26">
        <v>1.0</v>
      </c>
      <c r="O2991" s="30"/>
      <c r="P2991" s="26">
        <v>848.0</v>
      </c>
      <c r="Q2991" s="35">
        <v>80.0</v>
      </c>
      <c r="R2991" s="32">
        <v>45083.0</v>
      </c>
      <c r="S2991" s="32">
        <v>45002.0</v>
      </c>
      <c r="T2991" s="29"/>
      <c r="U2991" s="33"/>
      <c r="V2991" s="1"/>
    </row>
    <row r="2992" ht="24.0" customHeight="1">
      <c r="A2992" s="1"/>
      <c r="B2992" s="24" t="str">
        <f>HYPERLINK("https://www.compass.com/listing/235-east-87th-street-unit-11l-manhattan-ny-10128/449847790345679481/view?agent_id=610d3f3370540700019b0833","235 E 87th St, Unit 11L")</f>
        <v>235 E 87th St, Unit 11L</v>
      </c>
      <c r="C2992" s="25" t="s">
        <v>370</v>
      </c>
      <c r="D2992" s="26" t="s">
        <v>23</v>
      </c>
      <c r="E2992" s="27" t="str">
        <f>HYPERLINK("https://www.compass.com/building/the-plymouth-house-manhattan-ny/282050471919644629/","The Plymouth House")</f>
        <v>The Plymouth House</v>
      </c>
      <c r="F2992" s="25" t="s">
        <v>44</v>
      </c>
      <c r="G2992" s="28">
        <v>795000.0</v>
      </c>
      <c r="H2992" s="29"/>
      <c r="I2992" s="28">
        <v>2238.0</v>
      </c>
      <c r="J2992" s="28">
        <v>0.0</v>
      </c>
      <c r="K2992" s="25" t="s">
        <v>25</v>
      </c>
      <c r="L2992" s="26">
        <v>4.0</v>
      </c>
      <c r="M2992" s="26">
        <v>2.0</v>
      </c>
      <c r="N2992" s="26">
        <v>1.0</v>
      </c>
      <c r="O2992" s="26">
        <v>0.0</v>
      </c>
      <c r="P2992" s="30"/>
      <c r="Q2992" s="35">
        <v>132.0</v>
      </c>
      <c r="R2992" s="32">
        <v>44193.0</v>
      </c>
      <c r="S2992" s="32">
        <v>44060.0</v>
      </c>
      <c r="T2992" s="29"/>
      <c r="U2992" s="33"/>
      <c r="V2992" s="1"/>
    </row>
    <row r="2993" ht="24.0" customHeight="1">
      <c r="A2993" s="1"/>
      <c r="B2993" s="24" t="str">
        <f>HYPERLINK("https://www.compass.com/listing/230-ashland-place-unit-22c-brooklyn-ny-11217/29481995146951009/view?agent_id=610d3f3370540700019b0833","230 Ashland Pl, Unit 22C")</f>
        <v>230 Ashland Pl, Unit 22C</v>
      </c>
      <c r="C2993" s="25" t="s">
        <v>370</v>
      </c>
      <c r="D2993" s="26" t="s">
        <v>23</v>
      </c>
      <c r="E2993" s="27" t="str">
        <f>HYPERLINK("https://www.compass.com/building/the-forte-brooklyn-ny/282512216035517381/","The Forte")</f>
        <v>The Forte</v>
      </c>
      <c r="F2993" s="25" t="s">
        <v>59</v>
      </c>
      <c r="G2993" s="28">
        <v>1150000.0</v>
      </c>
      <c r="H2993" s="28">
        <v>958.0</v>
      </c>
      <c r="I2993" s="28">
        <v>1056.0</v>
      </c>
      <c r="J2993" s="29"/>
      <c r="K2993" s="25" t="s">
        <v>28</v>
      </c>
      <c r="L2993" s="26">
        <v>4.0</v>
      </c>
      <c r="M2993" s="26">
        <v>2.0</v>
      </c>
      <c r="N2993" s="26">
        <v>0.0</v>
      </c>
      <c r="O2993" s="26">
        <v>0.0</v>
      </c>
      <c r="P2993" s="34">
        <v>1200.0</v>
      </c>
      <c r="Q2993" s="35">
        <v>0.0</v>
      </c>
      <c r="R2993" s="32">
        <v>44581.0</v>
      </c>
      <c r="S2993" s="32">
        <v>42409.0</v>
      </c>
      <c r="T2993" s="29"/>
      <c r="U2993" s="33"/>
      <c r="V2993" s="1"/>
    </row>
    <row r="2994" ht="24.0" customHeight="1">
      <c r="A2994" s="1"/>
      <c r="B2994" s="24" t="str">
        <f>HYPERLINK("https://www.compass.com/listing/1060-park-avenue-unit-14g-manhattan-ny-10128/923737911119083481/view?agent_id=610d3f3370540700019b0833","1060 Park Ave, Unit 14G")</f>
        <v>1060 Park Ave, Unit 14G</v>
      </c>
      <c r="C2994" s="25" t="s">
        <v>370</v>
      </c>
      <c r="D2994" s="26" t="s">
        <v>23</v>
      </c>
      <c r="E2994" s="27" t="str">
        <f>HYPERLINK("https://www.compass.com/building/1060-park-ave-manhattan-ny-10128/282045656908978677/","1060 Park Ave")</f>
        <v>1060 Park Ave</v>
      </c>
      <c r="F2994" s="25" t="s">
        <v>44</v>
      </c>
      <c r="G2994" s="28">
        <v>2495000.0</v>
      </c>
      <c r="H2994" s="29"/>
      <c r="I2994" s="28">
        <v>3642.0</v>
      </c>
      <c r="J2994" s="29"/>
      <c r="K2994" s="25" t="s">
        <v>25</v>
      </c>
      <c r="L2994" s="26">
        <v>5.0</v>
      </c>
      <c r="M2994" s="26">
        <v>2.0</v>
      </c>
      <c r="N2994" s="26">
        <v>0.0</v>
      </c>
      <c r="O2994" s="26">
        <v>0.0</v>
      </c>
      <c r="P2994" s="30"/>
      <c r="Q2994" s="35">
        <v>190.0</v>
      </c>
      <c r="R2994" s="32">
        <v>45636.0</v>
      </c>
      <c r="S2994" s="32">
        <v>42661.0</v>
      </c>
      <c r="T2994" s="29"/>
      <c r="U2994" s="33"/>
      <c r="V2994" s="1"/>
    </row>
    <row r="2995" ht="24.0" customHeight="1">
      <c r="A2995" s="1"/>
      <c r="B2995" s="24" t="str">
        <f>HYPERLINK("https://www.compass.com/listing/111-east-30th-street-unit-3c-manhattan-ny-10016/803317267752239033/view?agent_id=610d3f3370540700019b0833","111 E 30th St, Unit 3C")</f>
        <v>111 E 30th St, Unit 3C</v>
      </c>
      <c r="C2995" s="25" t="s">
        <v>364</v>
      </c>
      <c r="D2995" s="26" t="s">
        <v>23</v>
      </c>
      <c r="E2995" s="27" t="str">
        <f>HYPERLINK("https://www.compass.com/building/111-e-30th-st-manhattan-ny-10016/281936671325343429/","111 E 30th St")</f>
        <v>111 E 30th St</v>
      </c>
      <c r="F2995" s="25" t="s">
        <v>107</v>
      </c>
      <c r="G2995" s="28">
        <v>1475000.0</v>
      </c>
      <c r="H2995" s="28">
        <v>1452.0</v>
      </c>
      <c r="I2995" s="28">
        <v>2122.0</v>
      </c>
      <c r="J2995" s="28">
        <v>12168.0</v>
      </c>
      <c r="K2995" s="25" t="s">
        <v>28</v>
      </c>
      <c r="L2995" s="26">
        <v>5.0</v>
      </c>
      <c r="M2995" s="26">
        <v>2.0</v>
      </c>
      <c r="N2995" s="26">
        <v>0.0</v>
      </c>
      <c r="O2995" s="26">
        <v>0.0</v>
      </c>
      <c r="P2995" s="34">
        <v>1016.0</v>
      </c>
      <c r="Q2995" s="35">
        <v>185.0</v>
      </c>
      <c r="R2995" s="32">
        <v>45636.0</v>
      </c>
      <c r="S2995" s="32">
        <v>42656.0</v>
      </c>
      <c r="T2995" s="29"/>
      <c r="U2995" s="33"/>
      <c r="V2995" s="1"/>
    </row>
    <row r="2996" ht="24.0" customHeight="1">
      <c r="A2996" s="1"/>
      <c r="B2996" s="24" t="str">
        <f>HYPERLINK("https://www.compass.com/listing/383-carlton-avenue-unit-9s-brooklyn-ny-11238/4852276570892548433/view?agent_id=610d3f3370540700019b0833","383 Carlton Ave, Unit 9S")</f>
        <v>383 Carlton Ave, Unit 9S</v>
      </c>
      <c r="C2996" s="25" t="s">
        <v>364</v>
      </c>
      <c r="D2996" s="26" t="s">
        <v>23</v>
      </c>
      <c r="E2996" s="27" t="str">
        <f>HYPERLINK("https://www.compass.com/building/greenehouse-condos-brooklyn-ny/293422982250957237/","Greenehouse Condos")</f>
        <v>Greenehouse Condos</v>
      </c>
      <c r="F2996" s="25" t="s">
        <v>59</v>
      </c>
      <c r="G2996" s="28">
        <v>795000.0</v>
      </c>
      <c r="H2996" s="28">
        <v>951.0</v>
      </c>
      <c r="I2996" s="28">
        <v>726.0</v>
      </c>
      <c r="J2996" s="28">
        <v>84.0</v>
      </c>
      <c r="K2996" s="25" t="s">
        <v>28</v>
      </c>
      <c r="L2996" s="26">
        <v>6.0</v>
      </c>
      <c r="M2996" s="26">
        <v>2.0</v>
      </c>
      <c r="N2996" s="26">
        <v>0.0</v>
      </c>
      <c r="O2996" s="26">
        <v>0.0</v>
      </c>
      <c r="P2996" s="26">
        <v>836.0</v>
      </c>
      <c r="Q2996" s="35">
        <v>1764.0</v>
      </c>
      <c r="R2996" s="32">
        <v>44581.0</v>
      </c>
      <c r="S2996" s="32">
        <v>41172.0</v>
      </c>
      <c r="T2996" s="29"/>
      <c r="U2996" s="33"/>
      <c r="V2996" s="1"/>
    </row>
    <row r="2997" ht="24.0" customHeight="1">
      <c r="A2997" s="1"/>
      <c r="B2997" s="24" t="str">
        <f>HYPERLINK("https://www.compass.com/listing/150-east-94th-street-unit-1a-manhattan-ny-10128/1431311800782097561/view?agent_id=610d3f3370540700019b0833","150 E 94th St, Unit 1A")</f>
        <v>150 E 94th St, Unit 1A</v>
      </c>
      <c r="C2997" s="25" t="s">
        <v>364</v>
      </c>
      <c r="D2997" s="26" t="s">
        <v>23</v>
      </c>
      <c r="E2997" s="27" t="str">
        <f>HYPERLINK("https://www.compass.com/building/150-e-94th-st-manhattan-ny-10128/567567733636188989/","150 E 94th St")</f>
        <v>150 E 94th St</v>
      </c>
      <c r="F2997" s="25" t="s">
        <v>44</v>
      </c>
      <c r="G2997" s="28">
        <v>695000.0</v>
      </c>
      <c r="H2997" s="28">
        <v>535.0</v>
      </c>
      <c r="I2997" s="28">
        <v>3266.0</v>
      </c>
      <c r="J2997" s="28">
        <v>0.0</v>
      </c>
      <c r="K2997" s="25" t="s">
        <v>25</v>
      </c>
      <c r="L2997" s="26">
        <v>5.0</v>
      </c>
      <c r="M2997" s="26">
        <v>2.0</v>
      </c>
      <c r="N2997" s="26">
        <v>1.0</v>
      </c>
      <c r="O2997" s="30"/>
      <c r="P2997" s="34">
        <v>1300.0</v>
      </c>
      <c r="Q2997" s="35">
        <v>103.0</v>
      </c>
      <c r="R2997" s="32">
        <v>45330.0</v>
      </c>
      <c r="S2997" s="32">
        <v>45226.0</v>
      </c>
      <c r="T2997" s="29"/>
      <c r="U2997" s="33"/>
      <c r="V2997" s="1"/>
    </row>
    <row r="2998" ht="24.0" customHeight="1">
      <c r="A2998" s="1"/>
      <c r="B2998" s="24" t="str">
        <f>HYPERLINK("https://www.compass.com/listing/165-east-60th-street-unit-5a-4a-manhattan-ny-10022/826841125547699721/view?agent_id=610d3f3370540700019b0833","165 E 60th St, Unit 5A/4A")</f>
        <v>165 E 60th St, Unit 5A/4A</v>
      </c>
      <c r="C2998" s="25" t="s">
        <v>364</v>
      </c>
      <c r="D2998" s="26" t="s">
        <v>23</v>
      </c>
      <c r="E2998" s="27" t="str">
        <f>HYPERLINK("https://www.compass.com/building/165-e-60th-st-manhattan-ny-10022/307438270283639973/","165 E 60th St")</f>
        <v>165 E 60th St</v>
      </c>
      <c r="F2998" s="25" t="s">
        <v>64</v>
      </c>
      <c r="G2998" s="28">
        <v>2400000.0</v>
      </c>
      <c r="H2998" s="29"/>
      <c r="I2998" s="28">
        <v>2280.0</v>
      </c>
      <c r="J2998" s="29"/>
      <c r="K2998" s="25" t="s">
        <v>110</v>
      </c>
      <c r="L2998" s="26">
        <v>5.0</v>
      </c>
      <c r="M2998" s="26">
        <v>2.0</v>
      </c>
      <c r="N2998" s="26">
        <v>0.0</v>
      </c>
      <c r="O2998" s="26">
        <v>0.0</v>
      </c>
      <c r="P2998" s="30"/>
      <c r="Q2998" s="35">
        <v>102.0</v>
      </c>
      <c r="R2998" s="32">
        <v>45636.0</v>
      </c>
      <c r="S2998" s="32">
        <v>42306.0</v>
      </c>
      <c r="T2998" s="29"/>
      <c r="U2998" s="33"/>
      <c r="V2998" s="1"/>
    </row>
    <row r="2999" ht="24.0" customHeight="1">
      <c r="A2999" s="1"/>
      <c r="B2999" s="24" t="str">
        <f>HYPERLINK("https://www.compass.com/listing/568-st-marks-avenue-unit-2b-brooklyn-ny-11216/1838925984473463481/view?agent_id=610d3f3370540700019b0833","568 St Marks Ave, Unit 2B")</f>
        <v>568 St Marks Ave, Unit 2B</v>
      </c>
      <c r="C2999" s="25" t="s">
        <v>364</v>
      </c>
      <c r="D2999" s="26" t="s">
        <v>23</v>
      </c>
      <c r="E2999" s="27" t="str">
        <f>HYPERLINK("https://www.compass.com/building/568-st-marks-ave-brooklyn-ny-11216/293530633240597189/","568 St Marks Ave")</f>
        <v>568 St Marks Ave</v>
      </c>
      <c r="F2999" s="25" t="s">
        <v>113</v>
      </c>
      <c r="G2999" s="28">
        <v>385000.0</v>
      </c>
      <c r="H2999" s="29"/>
      <c r="I2999" s="28">
        <v>575.0</v>
      </c>
      <c r="J2999" s="29"/>
      <c r="K2999" s="25" t="s">
        <v>28</v>
      </c>
      <c r="L2999" s="26">
        <v>5.0</v>
      </c>
      <c r="M2999" s="26">
        <v>2.0</v>
      </c>
      <c r="N2999" s="26">
        <v>1.0</v>
      </c>
      <c r="O2999" s="26">
        <v>0.0</v>
      </c>
      <c r="P2999" s="30"/>
      <c r="Q2999" s="35">
        <v>0.0</v>
      </c>
      <c r="R2999" s="32">
        <v>44581.0</v>
      </c>
      <c r="S2999" s="32">
        <v>42321.0</v>
      </c>
      <c r="T2999" s="29"/>
      <c r="U2999" s="33"/>
      <c r="V2999" s="1"/>
    </row>
    <row r="3000" ht="24.0" customHeight="1">
      <c r="A3000" s="1"/>
      <c r="B3000" s="24" t="str">
        <f>HYPERLINK("https://www.compass.com/listing/742-st-nicholas-avenue-unit-14-manhattan-ny-10031/4852308891293191169/view?agent_id=610d3f3370540700019b0833","742 St Nicholas Ave, Unit 14")</f>
        <v>742 St Nicholas Ave, Unit 14</v>
      </c>
      <c r="C3000" s="25" t="s">
        <v>364</v>
      </c>
      <c r="D3000" s="26" t="s">
        <v>23</v>
      </c>
      <c r="E3000" s="27" t="str">
        <f t="shared" ref="E3000:E3002" si="80">HYPERLINK("https://www.compass.com/building/742-st-nicholas-ave-manhattan-ny-10031/281927423782593989/","742 St Nicholas Ave")</f>
        <v>742 St Nicholas Ave</v>
      </c>
      <c r="F3000" s="25" t="s">
        <v>71</v>
      </c>
      <c r="G3000" s="28">
        <v>838950.0</v>
      </c>
      <c r="H3000" s="28">
        <v>862.0</v>
      </c>
      <c r="I3000" s="28">
        <v>1245.0</v>
      </c>
      <c r="J3000" s="28">
        <v>6300.0</v>
      </c>
      <c r="K3000" s="25" t="s">
        <v>28</v>
      </c>
      <c r="L3000" s="26">
        <v>4.0</v>
      </c>
      <c r="M3000" s="26">
        <v>2.0</v>
      </c>
      <c r="N3000" s="26">
        <v>1.0</v>
      </c>
      <c r="O3000" s="26">
        <v>0.0</v>
      </c>
      <c r="P3000" s="26">
        <v>973.0</v>
      </c>
      <c r="Q3000" s="35">
        <v>104.0</v>
      </c>
      <c r="R3000" s="32">
        <v>45636.0</v>
      </c>
      <c r="S3000" s="32">
        <v>42377.0</v>
      </c>
      <c r="T3000" s="29"/>
      <c r="U3000" s="33"/>
      <c r="V3000" s="1"/>
    </row>
    <row r="3001" ht="24.0" customHeight="1">
      <c r="A3001" s="1"/>
      <c r="B3001" s="24" t="str">
        <f>HYPERLINK("https://www.compass.com/listing/742-st-nicholas-avenue-unit-15-manhattan-ny-10031/4852308632605297217/view?agent_id=610d3f3370540700019b0833","742 St Nicholas Ave, Unit 15")</f>
        <v>742 St Nicholas Ave, Unit 15</v>
      </c>
      <c r="C3001" s="25" t="s">
        <v>364</v>
      </c>
      <c r="D3001" s="26" t="s">
        <v>23</v>
      </c>
      <c r="E3001" s="27" t="str">
        <f t="shared" si="80"/>
        <v>742 St Nicholas Ave</v>
      </c>
      <c r="F3001" s="25" t="s">
        <v>71</v>
      </c>
      <c r="G3001" s="28">
        <v>780000.0</v>
      </c>
      <c r="H3001" s="28">
        <v>854.0</v>
      </c>
      <c r="I3001" s="28">
        <v>1168.0</v>
      </c>
      <c r="J3001" s="28">
        <v>5916.0</v>
      </c>
      <c r="K3001" s="25" t="s">
        <v>28</v>
      </c>
      <c r="L3001" s="26">
        <v>4.0</v>
      </c>
      <c r="M3001" s="26">
        <v>2.0</v>
      </c>
      <c r="N3001" s="26">
        <v>1.0</v>
      </c>
      <c r="O3001" s="26">
        <v>0.0</v>
      </c>
      <c r="P3001" s="26">
        <v>913.0</v>
      </c>
      <c r="Q3001" s="35">
        <v>104.0</v>
      </c>
      <c r="R3001" s="32">
        <v>45636.0</v>
      </c>
      <c r="S3001" s="32">
        <v>42377.0</v>
      </c>
      <c r="T3001" s="29"/>
      <c r="U3001" s="33"/>
      <c r="V3001" s="1"/>
    </row>
    <row r="3002" ht="24.0" customHeight="1">
      <c r="A3002" s="1"/>
      <c r="B3002" s="24" t="str">
        <f>HYPERLINK("https://www.compass.com/listing/742-st-nicholas-avenue-unit-9-manhattan-ny-10031/4852325828429626465/view?agent_id=610d3f3370540700019b0833","742 St Nicholas Ave, Unit 9")</f>
        <v>742 St Nicholas Ave, Unit 9</v>
      </c>
      <c r="C3002" s="25" t="s">
        <v>364</v>
      </c>
      <c r="D3002" s="26" t="s">
        <v>23</v>
      </c>
      <c r="E3002" s="27" t="str">
        <f t="shared" si="80"/>
        <v>742 St Nicholas Ave</v>
      </c>
      <c r="F3002" s="25" t="s">
        <v>71</v>
      </c>
      <c r="G3002" s="28">
        <v>875000.0</v>
      </c>
      <c r="H3002" s="28">
        <v>821.0</v>
      </c>
      <c r="I3002" s="28">
        <v>1365.0</v>
      </c>
      <c r="J3002" s="28">
        <v>6912.0</v>
      </c>
      <c r="K3002" s="25" t="s">
        <v>28</v>
      </c>
      <c r="L3002" s="26">
        <v>5.0</v>
      </c>
      <c r="M3002" s="26">
        <v>2.0</v>
      </c>
      <c r="N3002" s="26">
        <v>1.0</v>
      </c>
      <c r="O3002" s="26">
        <v>0.0</v>
      </c>
      <c r="P3002" s="34">
        <v>1066.0</v>
      </c>
      <c r="Q3002" s="35">
        <v>103.0</v>
      </c>
      <c r="R3002" s="32">
        <v>45636.0</v>
      </c>
      <c r="S3002" s="32">
        <v>42377.0</v>
      </c>
      <c r="T3002" s="29"/>
      <c r="U3002" s="33"/>
      <c r="V3002" s="1"/>
    </row>
    <row r="3003" ht="24.0" customHeight="1">
      <c r="A3003" s="1"/>
      <c r="B3003" s="24" t="str">
        <f>HYPERLINK("https://www.compass.com/listing/166-east-92nd-street-unit-3g-manhattan-ny-10128/1028333153514647545/view?agent_id=610d3f3370540700019b0833","166 E 92nd St, Unit 3G")</f>
        <v>166 E 92nd St, Unit 3G</v>
      </c>
      <c r="C3003" s="25" t="s">
        <v>364</v>
      </c>
      <c r="D3003" s="26" t="s">
        <v>23</v>
      </c>
      <c r="E3003" s="27" t="str">
        <f>HYPERLINK("https://www.compass.com/building/166-e-92nd-st-manhattan-ny-10128/282048210485144101/","166 E 92nd St")</f>
        <v>166 E 92nd St</v>
      </c>
      <c r="F3003" s="25" t="s">
        <v>44</v>
      </c>
      <c r="G3003" s="28">
        <v>840000.0</v>
      </c>
      <c r="H3003" s="28">
        <v>884.0</v>
      </c>
      <c r="I3003" s="28">
        <v>1725.0</v>
      </c>
      <c r="J3003" s="28">
        <v>0.0</v>
      </c>
      <c r="K3003" s="25" t="s">
        <v>25</v>
      </c>
      <c r="L3003" s="26">
        <v>4.0</v>
      </c>
      <c r="M3003" s="26">
        <v>2.0</v>
      </c>
      <c r="N3003" s="26">
        <v>1.0</v>
      </c>
      <c r="O3003" s="30"/>
      <c r="P3003" s="26">
        <v>950.0</v>
      </c>
      <c r="Q3003" s="35">
        <v>126.0</v>
      </c>
      <c r="R3003" s="32">
        <v>44798.0</v>
      </c>
      <c r="S3003" s="32">
        <v>44672.0</v>
      </c>
      <c r="T3003" s="29"/>
      <c r="U3003" s="33"/>
      <c r="V3003" s="1"/>
    </row>
    <row r="3004" ht="24.0" customHeight="1">
      <c r="A3004" s="1"/>
      <c r="B3004" s="24" t="str">
        <f>HYPERLINK("https://www.compass.com/listing/15-gates-avenue-unit-11c-brooklyn-ny-11238/576803524393071897/view?agent_id=610d3f3370540700019b0833","15 Gates Ave, Unit 11C")</f>
        <v>15 Gates Ave, Unit 11C</v>
      </c>
      <c r="C3004" s="25" t="s">
        <v>370</v>
      </c>
      <c r="D3004" s="26" t="s">
        <v>23</v>
      </c>
      <c r="E3004" s="27" t="str">
        <f>HYPERLINK("https://www.compass.com/building/fort-greene-partnership-homes-brooklyn-ny/293423336501873637/","Fort Greene Partnership Homes")</f>
        <v>Fort Greene Partnership Homes</v>
      </c>
      <c r="F3004" s="25" t="s">
        <v>59</v>
      </c>
      <c r="G3004" s="28">
        <v>950000.0</v>
      </c>
      <c r="H3004" s="28">
        <v>939.0</v>
      </c>
      <c r="I3004" s="28">
        <v>1250.0</v>
      </c>
      <c r="J3004" s="28">
        <v>8400.0</v>
      </c>
      <c r="K3004" s="25" t="s">
        <v>28</v>
      </c>
      <c r="L3004" s="26">
        <v>4.0</v>
      </c>
      <c r="M3004" s="26">
        <v>2.0</v>
      </c>
      <c r="N3004" s="26">
        <v>1.0</v>
      </c>
      <c r="O3004" s="26">
        <v>0.0</v>
      </c>
      <c r="P3004" s="34">
        <v>1012.0</v>
      </c>
      <c r="Q3004" s="35">
        <v>172.0</v>
      </c>
      <c r="R3004" s="32">
        <v>44228.0</v>
      </c>
      <c r="S3004" s="32">
        <v>44053.0</v>
      </c>
      <c r="T3004" s="29"/>
      <c r="U3004" s="33"/>
      <c r="V3004" s="1"/>
    </row>
    <row r="3005" ht="24.0" customHeight="1">
      <c r="A3005" s="1"/>
      <c r="B3005" s="24" t="str">
        <f>HYPERLINK("https://www.compass.com/listing/245-east-87th-street-unit-17a-manhattan-ny-10128/920583129889917825/view?agent_id=610d3f3370540700019b0833","245 E 87th St, Unit 17A")</f>
        <v>245 E 87th St, Unit 17A</v>
      </c>
      <c r="C3005" s="25" t="s">
        <v>364</v>
      </c>
      <c r="D3005" s="26" t="s">
        <v>23</v>
      </c>
      <c r="E3005" s="27" t="str">
        <f>HYPERLINK("https://www.compass.com/building/the-mayflower-manhattan-ny/292930849270169045/","The Mayflower")</f>
        <v>The Mayflower</v>
      </c>
      <c r="F3005" s="25" t="s">
        <v>44</v>
      </c>
      <c r="G3005" s="28">
        <v>825000.0</v>
      </c>
      <c r="H3005" s="28">
        <v>805.0</v>
      </c>
      <c r="I3005" s="28">
        <v>2032.0</v>
      </c>
      <c r="J3005" s="29"/>
      <c r="K3005" s="25" t="s">
        <v>25</v>
      </c>
      <c r="L3005" s="26">
        <v>4.0</v>
      </c>
      <c r="M3005" s="26">
        <v>2.0</v>
      </c>
      <c r="N3005" s="26">
        <v>1.0</v>
      </c>
      <c r="O3005" s="26">
        <v>0.0</v>
      </c>
      <c r="P3005" s="34">
        <v>1025.0</v>
      </c>
      <c r="Q3005" s="35">
        <v>67.0</v>
      </c>
      <c r="R3005" s="32">
        <v>45636.0</v>
      </c>
      <c r="S3005" s="32">
        <v>41754.0</v>
      </c>
      <c r="T3005" s="29"/>
      <c r="U3005" s="33"/>
      <c r="V3005" s="1"/>
    </row>
    <row r="3006" ht="24.0" customHeight="1">
      <c r="A3006" s="1"/>
      <c r="B3006" s="24" t="str">
        <f>HYPERLINK("https://www.compass.com/listing/706-riverside-drive-unit-1c-manhattan-ny-10031/29434868307917233/view?agent_id=610d3f3370540700019b0833","706 Riverside Dr, Unit 1C")</f>
        <v>706 Riverside Dr, Unit 1C</v>
      </c>
      <c r="C3006" s="25" t="s">
        <v>364</v>
      </c>
      <c r="D3006" s="26" t="s">
        <v>23</v>
      </c>
      <c r="E3006" s="27" t="str">
        <f>HYPERLINK("https://www.compass.com/building/706-riverside-dr-manhattan-ny-10031/282003232430092965/","706 Riverside Dr")</f>
        <v>706 Riverside Dr</v>
      </c>
      <c r="F3006" s="25" t="s">
        <v>71</v>
      </c>
      <c r="G3006" s="28">
        <v>699000.0</v>
      </c>
      <c r="H3006" s="28">
        <v>780.0</v>
      </c>
      <c r="I3006" s="28">
        <v>798.0</v>
      </c>
      <c r="J3006" s="28">
        <v>3912.0</v>
      </c>
      <c r="K3006" s="25" t="s">
        <v>28</v>
      </c>
      <c r="L3006" s="26">
        <v>4.0</v>
      </c>
      <c r="M3006" s="26">
        <v>2.0</v>
      </c>
      <c r="N3006" s="30"/>
      <c r="O3006" s="30"/>
      <c r="P3006" s="26">
        <v>896.0</v>
      </c>
      <c r="Q3006" s="35">
        <v>141.0</v>
      </c>
      <c r="R3006" s="32">
        <v>43455.0</v>
      </c>
      <c r="S3006" s="32">
        <v>43313.0</v>
      </c>
      <c r="T3006" s="29"/>
      <c r="U3006" s="33"/>
      <c r="V3006" s="1"/>
    </row>
    <row r="3007" ht="24.0" customHeight="1">
      <c r="A3007" s="1"/>
      <c r="B3007" s="24" t="str">
        <f>HYPERLINK("https://www.compass.com/listing/1172-park-avenue-unit-6d-manhattan-ny-10128/70918526709275969/view?agent_id=610d3f3370540700019b0833","1172 Park Ave, Unit 6D")</f>
        <v>1172 Park Ave, Unit 6D</v>
      </c>
      <c r="C3007" s="25" t="s">
        <v>370</v>
      </c>
      <c r="D3007" s="26" t="s">
        <v>23</v>
      </c>
      <c r="E3007" s="27" t="str">
        <f>HYPERLINK("https://www.compass.com/building/1172-park-ave-manhattan-ny-10128/282046203166745717/","1172 Park Ave")</f>
        <v>1172 Park Ave</v>
      </c>
      <c r="F3007" s="25" t="s">
        <v>44</v>
      </c>
      <c r="G3007" s="28">
        <v>1850000.0</v>
      </c>
      <c r="H3007" s="29"/>
      <c r="I3007" s="28">
        <v>2333.0</v>
      </c>
      <c r="J3007" s="29"/>
      <c r="K3007" s="25" t="s">
        <v>25</v>
      </c>
      <c r="L3007" s="26">
        <v>4.0</v>
      </c>
      <c r="M3007" s="26">
        <v>2.0</v>
      </c>
      <c r="N3007" s="26">
        <v>0.0</v>
      </c>
      <c r="O3007" s="26">
        <v>0.0</v>
      </c>
      <c r="P3007" s="30"/>
      <c r="Q3007" s="35">
        <v>87.0</v>
      </c>
      <c r="R3007" s="32">
        <v>44581.0</v>
      </c>
      <c r="S3007" s="32">
        <v>42220.0</v>
      </c>
      <c r="T3007" s="29"/>
      <c r="U3007" s="33"/>
      <c r="V3007" s="1"/>
    </row>
    <row r="3008" ht="24.0" customHeight="1">
      <c r="A3008" s="1"/>
      <c r="B3008" s="24" t="str">
        <f>HYPERLINK("https://www.compass.com/listing/1349-lexington-avenue-unit-10e-manhattan-ny-10128/70911403992641569/view?agent_id=610d3f3370540700019b0833","1349 Lexington Ave, Unit 10E")</f>
        <v>1349 Lexington Ave, Unit 10E</v>
      </c>
      <c r="C3008" s="25" t="s">
        <v>370</v>
      </c>
      <c r="D3008" s="26" t="s">
        <v>23</v>
      </c>
      <c r="E3008" s="27" t="str">
        <f>HYPERLINK("https://www.compass.com/building/the-paulding-manhattan-ny/282047186303213061/","The Paulding")</f>
        <v>The Paulding</v>
      </c>
      <c r="F3008" s="25" t="s">
        <v>44</v>
      </c>
      <c r="G3008" s="28">
        <v>1495000.0</v>
      </c>
      <c r="H3008" s="28">
        <v>906.0</v>
      </c>
      <c r="I3008" s="28">
        <v>2390.0</v>
      </c>
      <c r="J3008" s="29"/>
      <c r="K3008" s="25" t="s">
        <v>25</v>
      </c>
      <c r="L3008" s="26">
        <v>6.0</v>
      </c>
      <c r="M3008" s="26">
        <v>2.0</v>
      </c>
      <c r="N3008" s="26">
        <v>0.0</v>
      </c>
      <c r="O3008" s="26">
        <v>0.0</v>
      </c>
      <c r="P3008" s="34">
        <v>1650.0</v>
      </c>
      <c r="Q3008" s="35">
        <v>0.0</v>
      </c>
      <c r="R3008" s="32">
        <v>44581.0</v>
      </c>
      <c r="S3008" s="32">
        <v>41538.0</v>
      </c>
      <c r="T3008" s="29"/>
      <c r="U3008" s="33"/>
      <c r="V3008" s="1"/>
    </row>
    <row r="3009" ht="24.0" customHeight="1">
      <c r="A3009" s="1"/>
      <c r="B3009" s="24" t="str">
        <f>HYPERLINK("https://www.compass.com/listing/1112-park-avenue-unit-10c-manhattan-ny-10128/4852310582453349377/view?agent_id=610d3f3370540700019b0833","1112 Park Ave, Unit 10C")</f>
        <v>1112 Park Ave, Unit 10C</v>
      </c>
      <c r="C3009" s="25" t="s">
        <v>364</v>
      </c>
      <c r="D3009" s="26" t="s">
        <v>23</v>
      </c>
      <c r="E3009" s="27" t="str">
        <f>HYPERLINK("https://www.compass.com/building/1112-park-ave-manhattan-ny-10128/282045867639202709/","1112 Park Ave")</f>
        <v>1112 Park Ave</v>
      </c>
      <c r="F3009" s="25" t="s">
        <v>44</v>
      </c>
      <c r="G3009" s="28">
        <v>2300000.0</v>
      </c>
      <c r="H3009" s="29"/>
      <c r="I3009" s="28">
        <v>4535.0</v>
      </c>
      <c r="J3009" s="29"/>
      <c r="K3009" s="25" t="s">
        <v>25</v>
      </c>
      <c r="L3009" s="26">
        <v>6.0</v>
      </c>
      <c r="M3009" s="26">
        <v>2.0</v>
      </c>
      <c r="N3009" s="26">
        <v>0.0</v>
      </c>
      <c r="O3009" s="26">
        <v>0.0</v>
      </c>
      <c r="P3009" s="30"/>
      <c r="Q3009" s="35">
        <v>90.0</v>
      </c>
      <c r="R3009" s="32">
        <v>44581.0</v>
      </c>
      <c r="S3009" s="32">
        <v>41240.0</v>
      </c>
      <c r="T3009" s="29"/>
      <c r="U3009" s="33"/>
      <c r="V3009" s="1"/>
    </row>
    <row r="3010" ht="24.0" customHeight="1">
      <c r="A3010" s="1"/>
      <c r="B3010" s="24" t="str">
        <f>HYPERLINK("https://www.compass.com/listing/44-cheever-place-unit-107101-brooklyn-ny-11231/1838942851967321081/view?agent_id=610d3f3370540700019b0833","44 Cheever Pl, Unit 107101")</f>
        <v>44 Cheever Pl, Unit 107101</v>
      </c>
      <c r="C3010" s="25" t="s">
        <v>364</v>
      </c>
      <c r="D3010" s="26" t="s">
        <v>23</v>
      </c>
      <c r="E3010" s="27" t="str">
        <f>HYPERLINK("https://www.compass.com/building/the-cobble-hill-school-condo-brooklyn-ny/294845821878955141/","The Cobble Hill School Condo")</f>
        <v>The Cobble Hill School Condo</v>
      </c>
      <c r="F3010" s="25" t="s">
        <v>131</v>
      </c>
      <c r="G3010" s="28">
        <v>1300000.0</v>
      </c>
      <c r="H3010" s="28">
        <v>746.0</v>
      </c>
      <c r="I3010" s="28">
        <v>0.0</v>
      </c>
      <c r="J3010" s="29"/>
      <c r="K3010" s="25" t="s">
        <v>28</v>
      </c>
      <c r="L3010" s="26">
        <v>7.0</v>
      </c>
      <c r="M3010" s="26">
        <v>2.0</v>
      </c>
      <c r="N3010" s="26">
        <v>0.0</v>
      </c>
      <c r="O3010" s="26">
        <v>0.0</v>
      </c>
      <c r="P3010" s="34">
        <v>1742.0</v>
      </c>
      <c r="Q3010" s="35">
        <v>12.0</v>
      </c>
      <c r="R3010" s="32">
        <v>45636.0</v>
      </c>
      <c r="S3010" s="32">
        <v>42088.0</v>
      </c>
      <c r="T3010" s="29"/>
      <c r="U3010" s="33"/>
      <c r="V3010" s="1"/>
    </row>
    <row r="3011" ht="24.0" customHeight="1">
      <c r="A3011" s="1"/>
      <c r="B3011" s="24" t="str">
        <f>HYPERLINK("https://www.compass.com/listing/64-east-94th-street-unit-2e-manhattan-ny-10128/29420399804648257/view?agent_id=610d3f3370540700019b0833","64 E 94th St, Unit 2E")</f>
        <v>64 E 94th St, Unit 2E</v>
      </c>
      <c r="C3011" s="25" t="s">
        <v>364</v>
      </c>
      <c r="D3011" s="26" t="s">
        <v>23</v>
      </c>
      <c r="E3011" s="27" t="str">
        <f>HYPERLINK("https://www.compass.com/building/64-e-94th-st-manhattan-ny-10128/282053602766256117/","64 E 94th St")</f>
        <v>64 E 94th St</v>
      </c>
      <c r="F3011" s="25" t="s">
        <v>44</v>
      </c>
      <c r="G3011" s="28">
        <v>1165000.0</v>
      </c>
      <c r="H3011" s="29"/>
      <c r="I3011" s="28">
        <v>2579.0</v>
      </c>
      <c r="J3011" s="29"/>
      <c r="K3011" s="25" t="s">
        <v>25</v>
      </c>
      <c r="L3011" s="26">
        <v>4.0</v>
      </c>
      <c r="M3011" s="26">
        <v>2.0</v>
      </c>
      <c r="N3011" s="26">
        <v>0.0</v>
      </c>
      <c r="O3011" s="26">
        <v>0.0</v>
      </c>
      <c r="P3011" s="30"/>
      <c r="Q3011" s="35">
        <v>239.0</v>
      </c>
      <c r="R3011" s="32">
        <v>45636.0</v>
      </c>
      <c r="S3011" s="32">
        <v>41297.0</v>
      </c>
      <c r="T3011" s="29"/>
      <c r="U3011" s="33"/>
      <c r="V3011" s="1"/>
    </row>
    <row r="3012" ht="24.0" customHeight="1">
      <c r="A3012" s="1"/>
      <c r="B3012" s="24" t="str">
        <f>HYPERLINK("https://www.compass.com/listing/114-east-90th-street-unit-2c-manhattan-ny-10128/70911195661494833/view?agent_id=610d3f3370540700019b0833","114 E 90th St, Unit 2C")</f>
        <v>114 E 90th St, Unit 2C</v>
      </c>
      <c r="C3012" s="25" t="s">
        <v>370</v>
      </c>
      <c r="D3012" s="26" t="s">
        <v>23</v>
      </c>
      <c r="E3012" s="27" t="str">
        <f>HYPERLINK("https://www.compass.com/building/114-e-90th-st-manhattan-ny-10128/281929124774193861/","114 E 90th St")</f>
        <v>114 E 90th St</v>
      </c>
      <c r="F3012" s="25" t="s">
        <v>44</v>
      </c>
      <c r="G3012" s="28">
        <v>1149000.0</v>
      </c>
      <c r="H3012" s="29"/>
      <c r="I3012" s="28">
        <v>1945.0</v>
      </c>
      <c r="J3012" s="29"/>
      <c r="K3012" s="25" t="s">
        <v>25</v>
      </c>
      <c r="L3012" s="26">
        <v>5.0</v>
      </c>
      <c r="M3012" s="26">
        <v>2.0</v>
      </c>
      <c r="N3012" s="26">
        <v>0.0</v>
      </c>
      <c r="O3012" s="26">
        <v>0.0</v>
      </c>
      <c r="P3012" s="30"/>
      <c r="Q3012" s="35">
        <v>0.0</v>
      </c>
      <c r="R3012" s="32">
        <v>44581.0</v>
      </c>
      <c r="S3012" s="32">
        <v>41538.0</v>
      </c>
      <c r="T3012" s="29"/>
      <c r="U3012" s="33"/>
      <c r="V3012" s="1"/>
    </row>
    <row r="3013" ht="24.0" customHeight="1">
      <c r="A3013" s="1"/>
      <c r="B3013" s="24" t="str">
        <f>HYPERLINK("https://www.compass.com/listing/45-east-89th-street-unit-20g-manhattan-ny-10128/192565879710543505/view?agent_id=610d3f3370540700019b0833","45 E 89th St, Unit 20G")</f>
        <v>45 E 89th St, Unit 20G</v>
      </c>
      <c r="C3013" s="25" t="s">
        <v>364</v>
      </c>
      <c r="D3013" s="26" t="s">
        <v>23</v>
      </c>
      <c r="E3013" s="27" t="str">
        <f>HYPERLINK("https://www.compass.com/building/45-e-89th-st-manhattan-ny-10128/282046623117237845/","45 E 89th St")</f>
        <v>45 E 89th St</v>
      </c>
      <c r="F3013" s="25" t="s">
        <v>44</v>
      </c>
      <c r="G3013" s="28">
        <v>1950000.0</v>
      </c>
      <c r="H3013" s="29"/>
      <c r="I3013" s="28">
        <v>1855.0</v>
      </c>
      <c r="J3013" s="28">
        <v>12.0</v>
      </c>
      <c r="K3013" s="25" t="s">
        <v>49</v>
      </c>
      <c r="L3013" s="26">
        <v>5.0</v>
      </c>
      <c r="M3013" s="26">
        <v>2.0</v>
      </c>
      <c r="N3013" s="26">
        <v>0.0</v>
      </c>
      <c r="O3013" s="26">
        <v>0.0</v>
      </c>
      <c r="P3013" s="30"/>
      <c r="Q3013" s="35">
        <v>0.0</v>
      </c>
      <c r="R3013" s="32">
        <v>44581.0</v>
      </c>
      <c r="S3013" s="32">
        <v>41336.0</v>
      </c>
      <c r="T3013" s="29"/>
      <c r="U3013" s="33"/>
      <c r="V3013" s="1"/>
    </row>
    <row r="3014" ht="24.0" customHeight="1">
      <c r="A3014" s="1"/>
      <c r="B3014" s="24" t="str">
        <f>HYPERLINK("https://www.compass.com/listing/1095-park-avenue-unit-16b-manhattan-ny-10128/29421654027274193/view?agent_id=610d3f3370540700019b0833","1095 Park Ave, Unit 16B")</f>
        <v>1095 Park Ave, Unit 16B</v>
      </c>
      <c r="C3014" s="25" t="s">
        <v>364</v>
      </c>
      <c r="D3014" s="26" t="s">
        <v>23</v>
      </c>
      <c r="E3014" s="27" t="str">
        <f>HYPERLINK("https://www.compass.com/building/1095-park-ave-manhattan-ny-10128/282045772772434789/","1095 Park Ave")</f>
        <v>1095 Park Ave</v>
      </c>
      <c r="F3014" s="25" t="s">
        <v>44</v>
      </c>
      <c r="G3014" s="28">
        <v>5250000.0</v>
      </c>
      <c r="H3014" s="29"/>
      <c r="I3014" s="28">
        <v>4528.0</v>
      </c>
      <c r="J3014" s="29"/>
      <c r="K3014" s="25" t="s">
        <v>25</v>
      </c>
      <c r="L3014" s="26">
        <v>6.0</v>
      </c>
      <c r="M3014" s="26">
        <v>2.0</v>
      </c>
      <c r="N3014" s="26">
        <v>0.0</v>
      </c>
      <c r="O3014" s="26">
        <v>0.0</v>
      </c>
      <c r="P3014" s="30"/>
      <c r="Q3014" s="35">
        <v>192.0</v>
      </c>
      <c r="R3014" s="32">
        <v>44581.0</v>
      </c>
      <c r="S3014" s="32">
        <v>42159.0</v>
      </c>
      <c r="T3014" s="29"/>
      <c r="U3014" s="33"/>
      <c r="V3014" s="1"/>
    </row>
    <row r="3015" ht="24.0" customHeight="1">
      <c r="A3015" s="1"/>
      <c r="B3015" s="24" t="str">
        <f>HYPERLINK("https://www.compass.com/listing/309-east-87th-street-unit-4r-manhattan-ny-10128/29424339438914257/view?agent_id=610d3f3370540700019b0833","309 E 87th St, Unit 4R")</f>
        <v>309 E 87th St, Unit 4R</v>
      </c>
      <c r="C3015" s="25" t="s">
        <v>364</v>
      </c>
      <c r="D3015" s="26" t="s">
        <v>23</v>
      </c>
      <c r="E3015" s="27" t="str">
        <f>HYPERLINK("https://www.compass.com/building/309-e-87th-st-manhattan-ny-10128/282059538545278277/","309 E 87th St")</f>
        <v>309 E 87th St</v>
      </c>
      <c r="F3015" s="25" t="s">
        <v>44</v>
      </c>
      <c r="G3015" s="28">
        <v>740000.0</v>
      </c>
      <c r="H3015" s="28">
        <v>822.0</v>
      </c>
      <c r="I3015" s="28">
        <v>1583.0</v>
      </c>
      <c r="J3015" s="29"/>
      <c r="K3015" s="25" t="s">
        <v>25</v>
      </c>
      <c r="L3015" s="26">
        <v>4.0</v>
      </c>
      <c r="M3015" s="26">
        <v>2.0</v>
      </c>
      <c r="N3015" s="26">
        <v>0.0</v>
      </c>
      <c r="O3015" s="26">
        <v>0.0</v>
      </c>
      <c r="P3015" s="26">
        <v>900.0</v>
      </c>
      <c r="Q3015" s="35">
        <v>197.0</v>
      </c>
      <c r="R3015" s="32">
        <v>44581.0</v>
      </c>
      <c r="S3015" s="32">
        <v>41185.0</v>
      </c>
      <c r="T3015" s="29"/>
      <c r="U3015" s="33"/>
      <c r="V3015" s="1"/>
    </row>
    <row r="3016" ht="24.0" customHeight="1">
      <c r="A3016" s="1"/>
      <c r="B3016" s="24" t="str">
        <f>HYPERLINK("https://www.compass.com/listing/603-west-148th-street-unit-6d-manhattan-ny-10031/79533528408252033/view?agent_id=610d3f3370540700019b0833","603 W 148th St, Unit 6D")</f>
        <v>603 W 148th St, Unit 6D</v>
      </c>
      <c r="C3016" s="25" t="s">
        <v>364</v>
      </c>
      <c r="D3016" s="26" t="s">
        <v>23</v>
      </c>
      <c r="E3016" s="27" t="str">
        <f>HYPERLINK("https://www.compass.com/building/riverbridge-court-manhattan-ny/282001852697011877/","RiverBridge Court")</f>
        <v>RiverBridge Court</v>
      </c>
      <c r="F3016" s="25" t="s">
        <v>71</v>
      </c>
      <c r="G3016" s="28">
        <v>550000.0</v>
      </c>
      <c r="H3016" s="28">
        <v>503.0</v>
      </c>
      <c r="I3016" s="28">
        <v>1021.0</v>
      </c>
      <c r="J3016" s="28">
        <v>252.0</v>
      </c>
      <c r="K3016" s="25" t="s">
        <v>28</v>
      </c>
      <c r="L3016" s="26">
        <v>6.0</v>
      </c>
      <c r="M3016" s="26">
        <v>2.0</v>
      </c>
      <c r="N3016" s="26">
        <v>0.0</v>
      </c>
      <c r="O3016" s="26">
        <v>0.0</v>
      </c>
      <c r="P3016" s="34">
        <v>1094.0</v>
      </c>
      <c r="Q3016" s="35">
        <v>313.0</v>
      </c>
      <c r="R3016" s="32">
        <v>44581.0</v>
      </c>
      <c r="S3016" s="32">
        <v>41185.0</v>
      </c>
      <c r="T3016" s="29"/>
      <c r="U3016" s="33"/>
      <c r="V3016" s="1"/>
    </row>
    <row r="3017" ht="24.0" customHeight="1">
      <c r="A3017" s="1"/>
      <c r="B3017" s="24" t="str">
        <f>HYPERLINK("https://www.compass.com/listing/135-division-street-unit-3a-manhattan-ny-10002/1060994775751324329/view?agent_id=610d3f3370540700019b0833","135 Division St, Unit 3A")</f>
        <v>135 Division St, Unit 3A</v>
      </c>
      <c r="C3017" s="25" t="s">
        <v>364</v>
      </c>
      <c r="D3017" s="26" t="s">
        <v>23</v>
      </c>
      <c r="E3017" s="27" t="str">
        <f>HYPERLINK("https://www.compass.com/building/135-division-st-manhattan-ny-10002/281885069566544901/","135 Division St")</f>
        <v>135 Division St</v>
      </c>
      <c r="F3017" s="25" t="s">
        <v>170</v>
      </c>
      <c r="G3017" s="28">
        <v>950000.0</v>
      </c>
      <c r="H3017" s="29"/>
      <c r="I3017" s="28">
        <v>1699.0</v>
      </c>
      <c r="J3017" s="28">
        <v>12674.0</v>
      </c>
      <c r="K3017" s="25" t="s">
        <v>28</v>
      </c>
      <c r="L3017" s="26">
        <v>5.0</v>
      </c>
      <c r="M3017" s="26">
        <v>2.0</v>
      </c>
      <c r="N3017" s="26">
        <v>1.0</v>
      </c>
      <c r="O3017" s="26">
        <v>0.0</v>
      </c>
      <c r="P3017" s="30"/>
      <c r="Q3017" s="35">
        <v>2.0</v>
      </c>
      <c r="R3017" s="32">
        <v>44718.0</v>
      </c>
      <c r="S3017" s="32">
        <v>44715.0</v>
      </c>
      <c r="T3017" s="29"/>
      <c r="U3017" s="33"/>
      <c r="V3017" s="1"/>
    </row>
    <row r="3018" ht="24.0" customHeight="1">
      <c r="A3018" s="1"/>
      <c r="B3018" s="24" t="str">
        <f>HYPERLINK("https://www.compass.com/listing/155-east-93rd-street-unit-8e-manhattan-ny-10128/29422090931157121/view?agent_id=610d3f3370540700019b0833","155 E 93rd St, Unit 8E")</f>
        <v>155 E 93rd St, Unit 8E</v>
      </c>
      <c r="C3018" s="25" t="s">
        <v>370</v>
      </c>
      <c r="D3018" s="26" t="s">
        <v>23</v>
      </c>
      <c r="E3018" s="27" t="str">
        <f>HYPERLINK("https://www.compass.com/building/155-e-93rd-st-manhattan-ny-10128/292930323698710821/","155 E 93rd St")</f>
        <v>155 E 93rd St</v>
      </c>
      <c r="F3018" s="25" t="s">
        <v>44</v>
      </c>
      <c r="G3018" s="28">
        <v>845000.0</v>
      </c>
      <c r="H3018" s="28">
        <v>845.0</v>
      </c>
      <c r="I3018" s="28">
        <v>1257.0</v>
      </c>
      <c r="J3018" s="29"/>
      <c r="K3018" s="25" t="s">
        <v>25</v>
      </c>
      <c r="L3018" s="26">
        <v>4.0</v>
      </c>
      <c r="M3018" s="26">
        <v>2.0</v>
      </c>
      <c r="N3018" s="26">
        <v>0.0</v>
      </c>
      <c r="O3018" s="26">
        <v>0.0</v>
      </c>
      <c r="P3018" s="34">
        <v>1000.0</v>
      </c>
      <c r="Q3018" s="35">
        <v>0.0</v>
      </c>
      <c r="R3018" s="32">
        <v>44581.0</v>
      </c>
      <c r="S3018" s="32">
        <v>41538.0</v>
      </c>
      <c r="T3018" s="29"/>
      <c r="U3018" s="33"/>
      <c r="V3018" s="1"/>
    </row>
    <row r="3019" ht="24.0" customHeight="1">
      <c r="A3019" s="1"/>
      <c r="B3019" s="24" t="str">
        <f>HYPERLINK("https://www.compass.com/listing/1435-lexington-avenue-unit-1a-manhattan-ny-10128/1431312177892193289/view?agent_id=610d3f3370540700019b0833","1435 Lexington Ave, Unit 1A")</f>
        <v>1435 Lexington Ave, Unit 1A</v>
      </c>
      <c r="C3019" s="25" t="s">
        <v>364</v>
      </c>
      <c r="D3019" s="26" t="s">
        <v>23</v>
      </c>
      <c r="E3019" s="27" t="str">
        <f>HYPERLINK("https://www.compass.com/building/1435-lexington-ave-manhattan-ny-10128/282047474552563717/","1435 Lexington Ave")</f>
        <v>1435 Lexington Ave</v>
      </c>
      <c r="F3019" s="25" t="s">
        <v>44</v>
      </c>
      <c r="G3019" s="28">
        <v>695000.0</v>
      </c>
      <c r="H3019" s="28">
        <v>535.0</v>
      </c>
      <c r="I3019" s="28">
        <v>3266.0</v>
      </c>
      <c r="J3019" s="28">
        <v>0.0</v>
      </c>
      <c r="K3019" s="25" t="s">
        <v>25</v>
      </c>
      <c r="L3019" s="26">
        <v>5.0</v>
      </c>
      <c r="M3019" s="26">
        <v>2.0</v>
      </c>
      <c r="N3019" s="26">
        <v>1.0</v>
      </c>
      <c r="O3019" s="30"/>
      <c r="P3019" s="34">
        <v>1300.0</v>
      </c>
      <c r="Q3019" s="35">
        <v>103.0</v>
      </c>
      <c r="R3019" s="32">
        <v>45330.0</v>
      </c>
      <c r="S3019" s="32">
        <v>45226.0</v>
      </c>
      <c r="T3019" s="29"/>
      <c r="U3019" s="33"/>
      <c r="V3019" s="1"/>
    </row>
    <row r="3020" ht="24.0" customHeight="1">
      <c r="A3020" s="1"/>
      <c r="B3020" s="24" t="str">
        <f>HYPERLINK("https://www.compass.com/listing/218-east-29th-street-unit-8-manhattan-ny-10016/69301126138207729/view?agent_id=610d3f3370540700019b0833","218 E 29th St, Unit 8")</f>
        <v>218 E 29th St, Unit 8</v>
      </c>
      <c r="C3020" s="25" t="s">
        <v>364</v>
      </c>
      <c r="D3020" s="26" t="s">
        <v>23</v>
      </c>
      <c r="E3020" s="27" t="str">
        <f>HYPERLINK("https://www.compass.com/building/218-e-29th-st-manhattan-ny-10016/281938405795877989/","218 E 29th St")</f>
        <v>218 E 29th St</v>
      </c>
      <c r="F3020" s="25" t="s">
        <v>107</v>
      </c>
      <c r="G3020" s="28">
        <v>998000.0</v>
      </c>
      <c r="H3020" s="29"/>
      <c r="I3020" s="28">
        <v>1988.0</v>
      </c>
      <c r="J3020" s="28">
        <v>0.0</v>
      </c>
      <c r="K3020" s="25" t="s">
        <v>25</v>
      </c>
      <c r="L3020" s="26">
        <v>4.0</v>
      </c>
      <c r="M3020" s="26">
        <v>2.0</v>
      </c>
      <c r="N3020" s="30"/>
      <c r="O3020" s="30"/>
      <c r="P3020" s="30"/>
      <c r="Q3020" s="35">
        <v>302.0</v>
      </c>
      <c r="R3020" s="32">
        <v>43649.0</v>
      </c>
      <c r="S3020" s="32">
        <v>43347.0</v>
      </c>
      <c r="T3020" s="29"/>
      <c r="U3020" s="33"/>
      <c r="V3020" s="1"/>
    </row>
    <row r="3021" ht="24.0" customHeight="1">
      <c r="A3021" s="1"/>
      <c r="B3021" s="24" t="str">
        <f>HYPERLINK("https://www.compass.com/listing/303-east-33rd-street-unit-11e-manhattan-ny-10016/212939562819907329/view?agent_id=610d3f3370540700019b0833","303 E 33rd St, Unit 11E")</f>
        <v>303 E 33rd St, Unit 11E</v>
      </c>
      <c r="C3021" s="25" t="s">
        <v>364</v>
      </c>
      <c r="D3021" s="26" t="s">
        <v>23</v>
      </c>
      <c r="E3021" s="27" t="str">
        <f>HYPERLINK("https://www.compass.com/building/303-east-33rd-street-condominium-manhattan-ny/281939507832478213/","303 East 33rd Street Condominium")</f>
        <v>303 East 33rd Street Condominium</v>
      </c>
      <c r="F3021" s="25" t="s">
        <v>107</v>
      </c>
      <c r="G3021" s="28">
        <v>3125000.0</v>
      </c>
      <c r="H3021" s="28">
        <v>2163.0</v>
      </c>
      <c r="I3021" s="28">
        <v>2122.0</v>
      </c>
      <c r="J3021" s="28">
        <v>10320.0</v>
      </c>
      <c r="K3021" s="25" t="s">
        <v>28</v>
      </c>
      <c r="L3021" s="26">
        <v>4.0</v>
      </c>
      <c r="M3021" s="26">
        <v>2.0</v>
      </c>
      <c r="N3021" s="26">
        <v>0.0</v>
      </c>
      <c r="O3021" s="26">
        <v>0.0</v>
      </c>
      <c r="P3021" s="34">
        <v>1445.0</v>
      </c>
      <c r="Q3021" s="35">
        <v>1965.0</v>
      </c>
      <c r="R3021" s="32">
        <v>44581.0</v>
      </c>
      <c r="S3021" s="32">
        <v>42615.0</v>
      </c>
      <c r="T3021" s="29"/>
      <c r="U3021" s="33"/>
      <c r="V3021" s="1"/>
    </row>
    <row r="3022" ht="24.0" customHeight="1">
      <c r="A3022" s="1"/>
      <c r="B3022" s="24" t="str">
        <f>HYPERLINK("https://www.compass.com/listing/105-lexington-avenue-unit-3b-manhattan-ny-10016/1809608164521845681/view?agent_id=610d3f3370540700019b0833","105 Lexington Ave, Unit 3B")</f>
        <v>105 Lexington Ave, Unit 3B</v>
      </c>
      <c r="C3022" s="25" t="s">
        <v>370</v>
      </c>
      <c r="D3022" s="26" t="s">
        <v>23</v>
      </c>
      <c r="E3022" s="27" t="str">
        <f>HYPERLINK("https://www.compass.com/building/105-lexington-ave-manhattan-ny-10016/281922408384860949/","105 Lexington Ave")</f>
        <v>105 Lexington Ave</v>
      </c>
      <c r="F3022" s="25" t="s">
        <v>107</v>
      </c>
      <c r="G3022" s="28">
        <v>1150000.0</v>
      </c>
      <c r="H3022" s="28">
        <v>969.0</v>
      </c>
      <c r="I3022" s="28">
        <v>612.0</v>
      </c>
      <c r="J3022" s="28">
        <v>1128.0</v>
      </c>
      <c r="K3022" s="25" t="s">
        <v>49</v>
      </c>
      <c r="L3022" s="26">
        <v>3.0</v>
      </c>
      <c r="M3022" s="26">
        <v>2.0</v>
      </c>
      <c r="N3022" s="26">
        <v>0.0</v>
      </c>
      <c r="O3022" s="26">
        <v>0.0</v>
      </c>
      <c r="P3022" s="34">
        <v>1187.0</v>
      </c>
      <c r="Q3022" s="35">
        <v>124.0</v>
      </c>
      <c r="R3022" s="32">
        <v>45636.0</v>
      </c>
      <c r="S3022" s="32">
        <v>42893.0</v>
      </c>
      <c r="T3022" s="29"/>
      <c r="U3022" s="33"/>
      <c r="V3022" s="1"/>
    </row>
    <row r="3023" ht="24.0" customHeight="1">
      <c r="A3023" s="1"/>
      <c r="B3023" s="24" t="str">
        <f>HYPERLINK("https://www.compass.com/listing/181-clermont-avenue-unit-214-brooklyn-ny-11205/70911240171534689/view?agent_id=610d3f3370540700019b0833","181 Clermont Ave, Unit 214")</f>
        <v>181 Clermont Ave, Unit 214</v>
      </c>
      <c r="C3023" s="25" t="s">
        <v>370</v>
      </c>
      <c r="D3023" s="26" t="s">
        <v>23</v>
      </c>
      <c r="E3023" s="27" t="str">
        <f>HYPERLINK("https://www.compass.com/building/clermont-greene-brooklyn-ny/282508724730417173/","Clermont Greene")</f>
        <v>Clermont Greene</v>
      </c>
      <c r="F3023" s="25" t="s">
        <v>59</v>
      </c>
      <c r="G3023" s="28">
        <v>695000.0</v>
      </c>
      <c r="H3023" s="28">
        <v>617.0</v>
      </c>
      <c r="I3023" s="28">
        <v>564.0</v>
      </c>
      <c r="J3023" s="28">
        <v>660.0</v>
      </c>
      <c r="K3023" s="25" t="s">
        <v>28</v>
      </c>
      <c r="L3023" s="26">
        <v>4.0</v>
      </c>
      <c r="M3023" s="26">
        <v>2.0</v>
      </c>
      <c r="N3023" s="26">
        <v>0.0</v>
      </c>
      <c r="O3023" s="26">
        <v>0.0</v>
      </c>
      <c r="P3023" s="34">
        <v>1126.0</v>
      </c>
      <c r="Q3023" s="35">
        <v>0.0</v>
      </c>
      <c r="R3023" s="32">
        <v>44581.0</v>
      </c>
      <c r="S3023" s="32">
        <v>41538.0</v>
      </c>
      <c r="T3023" s="29"/>
      <c r="U3023" s="33"/>
      <c r="V3023" s="1"/>
    </row>
    <row r="3024" ht="24.0" customHeight="1">
      <c r="A3024" s="1"/>
      <c r="B3024" s="24" t="str">
        <f>HYPERLINK("https://www.compass.com/listing/1001-president-street-unit-h3-brooklyn-ny-11225/287496737822611505/view?agent_id=610d3f3370540700019b0833","1001 President St, Unit H3")</f>
        <v>1001 President St, Unit H3</v>
      </c>
      <c r="C3024" s="25" t="s">
        <v>370</v>
      </c>
      <c r="D3024" s="26" t="s">
        <v>23</v>
      </c>
      <c r="E3024" s="27" t="str">
        <f>HYPERLINK("https://www.compass.com/building/1001-president-st-brooklyn-ny-11225/307440230726235781/","1001 President St")</f>
        <v>1001 President St</v>
      </c>
      <c r="F3024" s="25" t="s">
        <v>113</v>
      </c>
      <c r="G3024" s="28">
        <v>449000.0</v>
      </c>
      <c r="H3024" s="29"/>
      <c r="I3024" s="28">
        <v>650.0</v>
      </c>
      <c r="J3024" s="28">
        <v>0.0</v>
      </c>
      <c r="K3024" s="25" t="s">
        <v>25</v>
      </c>
      <c r="L3024" s="26">
        <v>4.0</v>
      </c>
      <c r="M3024" s="26">
        <v>2.0</v>
      </c>
      <c r="N3024" s="26">
        <v>1.0</v>
      </c>
      <c r="O3024" s="26">
        <v>0.0</v>
      </c>
      <c r="P3024" s="30"/>
      <c r="Q3024" s="35">
        <v>252.0</v>
      </c>
      <c r="R3024" s="32">
        <v>43915.0</v>
      </c>
      <c r="S3024" s="32">
        <v>43657.0</v>
      </c>
      <c r="T3024" s="29"/>
      <c r="U3024" s="33"/>
      <c r="V3024" s="1"/>
    </row>
    <row r="3025" ht="24.0" customHeight="1">
      <c r="A3025" s="1"/>
      <c r="B3025" s="24" t="str">
        <f>HYPERLINK("https://www.compass.com/listing/165-meserole-street-brooklyn-ny-11206/882514626127924761/view?agent_id=610d3f3370540700019b0833","165 Meserole St")</f>
        <v>165 Meserole St</v>
      </c>
      <c r="C3025" s="25" t="s">
        <v>364</v>
      </c>
      <c r="D3025" s="26" t="s">
        <v>23</v>
      </c>
      <c r="E3025" s="27" t="str">
        <f>HYPERLINK("https://www.compass.com/building/165-meserole-st-brooklyn-ny-11206/282379179054373589/","165 Meserole St")</f>
        <v>165 Meserole St</v>
      </c>
      <c r="F3025" s="25" t="s">
        <v>46</v>
      </c>
      <c r="G3025" s="28">
        <v>2700.0</v>
      </c>
      <c r="H3025" s="29"/>
      <c r="I3025" s="28">
        <v>0.0</v>
      </c>
      <c r="J3025" s="28">
        <v>0.0</v>
      </c>
      <c r="K3025" s="25" t="s">
        <v>156</v>
      </c>
      <c r="L3025" s="26">
        <v>5.0</v>
      </c>
      <c r="M3025" s="26">
        <v>2.0</v>
      </c>
      <c r="N3025" s="26">
        <v>1.0</v>
      </c>
      <c r="O3025" s="30"/>
      <c r="P3025" s="30"/>
      <c r="Q3025" s="35">
        <v>0.0</v>
      </c>
      <c r="R3025" s="32">
        <v>44469.0</v>
      </c>
      <c r="S3025" s="32">
        <v>44469.0</v>
      </c>
      <c r="T3025" s="29"/>
      <c r="U3025" s="33"/>
      <c r="V3025" s="1"/>
    </row>
    <row r="3026" ht="24.0" customHeight="1">
      <c r="A3026" s="1"/>
      <c r="B3026" s="24" t="str">
        <f>HYPERLINK("https://www.compass.com/listing/99-moore-street-brooklyn-ny-11206/500859723089100089/view?agent_id=610d3f3370540700019b0833","99 Moore St")</f>
        <v>99 Moore St</v>
      </c>
      <c r="C3026" s="25" t="s">
        <v>370</v>
      </c>
      <c r="D3026" s="26" t="s">
        <v>23</v>
      </c>
      <c r="E3026" s="27" t="str">
        <f>HYPERLINK("https://www.compass.com/building/99-moore-st-brooklyn-ny-11206/282379740302583861/","99 Moore St")</f>
        <v>99 Moore St</v>
      </c>
      <c r="F3026" s="25" t="s">
        <v>46</v>
      </c>
      <c r="G3026" s="29"/>
      <c r="H3026" s="29"/>
      <c r="I3026" s="28">
        <v>0.0</v>
      </c>
      <c r="J3026" s="28">
        <v>0.0</v>
      </c>
      <c r="K3026" s="25" t="s">
        <v>97</v>
      </c>
      <c r="L3026" s="26">
        <v>3.0</v>
      </c>
      <c r="M3026" s="26">
        <v>2.0</v>
      </c>
      <c r="N3026" s="26">
        <v>1.0</v>
      </c>
      <c r="O3026" s="30"/>
      <c r="P3026" s="34">
        <v>14224.0</v>
      </c>
      <c r="Q3026" s="35">
        <v>55.0</v>
      </c>
      <c r="R3026" s="32">
        <v>45636.0</v>
      </c>
      <c r="S3026" s="32">
        <v>42831.0</v>
      </c>
      <c r="T3026" s="29"/>
      <c r="U3026" s="33"/>
      <c r="V3026" s="1"/>
    </row>
    <row r="3027" ht="24.0" customHeight="1">
      <c r="A3027" s="1"/>
      <c r="B3027" s="24" t="str">
        <f>HYPERLINK("https://www.compass.com/listing/301-east-45th-street-unit-5e-manhattan-ny-10017/1722509079497495993/view?agent_id=610d3f3370540700019b0833","301 E 45th St, Unit 5E")</f>
        <v>301 E 45th St, Unit 5E</v>
      </c>
      <c r="C3027" s="25" t="s">
        <v>365</v>
      </c>
      <c r="D3027" s="26" t="s">
        <v>23</v>
      </c>
      <c r="E3027" s="27" t="str">
        <f>HYPERLINK("https://www.compass.com/building/the-delegate-manhattan-ny/281942134112706965/","The Delegate")</f>
        <v>The Delegate</v>
      </c>
      <c r="F3027" s="25" t="s">
        <v>66</v>
      </c>
      <c r="G3027" s="28">
        <v>850000.0</v>
      </c>
      <c r="H3027" s="28">
        <v>1120.0</v>
      </c>
      <c r="I3027" s="28">
        <v>2163.0</v>
      </c>
      <c r="J3027" s="28">
        <v>10944.0</v>
      </c>
      <c r="K3027" s="25" t="s">
        <v>28</v>
      </c>
      <c r="L3027" s="26">
        <v>4.0</v>
      </c>
      <c r="M3027" s="26">
        <v>2.0</v>
      </c>
      <c r="N3027" s="26">
        <v>1.0</v>
      </c>
      <c r="O3027" s="26">
        <v>0.0</v>
      </c>
      <c r="P3027" s="26">
        <v>759.0</v>
      </c>
      <c r="Q3027" s="35">
        <v>36.0</v>
      </c>
      <c r="R3027" s="32">
        <v>45788.0</v>
      </c>
      <c r="S3027" s="32">
        <v>45661.0</v>
      </c>
      <c r="T3027" s="29"/>
      <c r="U3027" s="33"/>
      <c r="V3027" s="1"/>
    </row>
    <row r="3028" ht="24.0" customHeight="1">
      <c r="A3028" s="1"/>
      <c r="B3028" s="24" t="str">
        <f>HYPERLINK("https://www.compass.com/listing/50-east-89th-street-unit-23b-manhattan-ny-10128/29420106035523841/view?agent_id=610d3f3370540700019b0833","50 E 89th St, Unit 23B")</f>
        <v>50 E 89th St, Unit 23B</v>
      </c>
      <c r="C3028" s="25" t="s">
        <v>364</v>
      </c>
      <c r="D3028" s="26" t="s">
        <v>23</v>
      </c>
      <c r="E3028" s="27" t="str">
        <f>HYPERLINK("https://www.compass.com/building/park-regis-manhattan-ny/282059293967023237/","Park Regis")</f>
        <v>Park Regis</v>
      </c>
      <c r="F3028" s="25" t="s">
        <v>44</v>
      </c>
      <c r="G3028" s="28">
        <v>1599000.0</v>
      </c>
      <c r="H3028" s="28">
        <v>1454.0</v>
      </c>
      <c r="I3028" s="28">
        <v>2362.0</v>
      </c>
      <c r="J3028" s="29"/>
      <c r="K3028" s="25" t="s">
        <v>25</v>
      </c>
      <c r="L3028" s="26">
        <v>4.0</v>
      </c>
      <c r="M3028" s="26">
        <v>2.0</v>
      </c>
      <c r="N3028" s="26">
        <v>0.0</v>
      </c>
      <c r="O3028" s="26">
        <v>0.0</v>
      </c>
      <c r="P3028" s="34">
        <v>1100.0</v>
      </c>
      <c r="Q3028" s="35">
        <v>289.0</v>
      </c>
      <c r="R3028" s="32">
        <v>45636.0</v>
      </c>
      <c r="S3028" s="32">
        <v>42414.0</v>
      </c>
      <c r="T3028" s="29"/>
      <c r="U3028" s="33"/>
      <c r="V3028" s="1"/>
    </row>
    <row r="3029" ht="24.0" customHeight="1">
      <c r="A3029" s="1"/>
      <c r="B3029" s="24" t="str">
        <f>HYPERLINK("https://www.compass.com/listing/301-east-87th-street-unit-14d-manhattan-ny-10128/921878278646460633/view?agent_id=610d3f3370540700019b0833","301 E 87th St, Unit 14D")</f>
        <v>301 E 87th St, Unit 14D</v>
      </c>
      <c r="C3029" s="25" t="s">
        <v>370</v>
      </c>
      <c r="D3029" s="26" t="s">
        <v>23</v>
      </c>
      <c r="E3029" s="27" t="str">
        <f>HYPERLINK("https://www.compass.com/building/301-e-87th-st-manhattan-ny-10128/282059312656842389/","301 E 87th St")</f>
        <v>301 E 87th St</v>
      </c>
      <c r="F3029" s="25" t="s">
        <v>44</v>
      </c>
      <c r="G3029" s="28">
        <v>720000.0</v>
      </c>
      <c r="H3029" s="28">
        <v>800.0</v>
      </c>
      <c r="I3029" s="28">
        <v>1694.0</v>
      </c>
      <c r="J3029" s="29"/>
      <c r="K3029" s="25" t="s">
        <v>25</v>
      </c>
      <c r="L3029" s="26">
        <v>5.0</v>
      </c>
      <c r="M3029" s="26">
        <v>2.0</v>
      </c>
      <c r="N3029" s="26">
        <v>0.0</v>
      </c>
      <c r="O3029" s="26">
        <v>0.0</v>
      </c>
      <c r="P3029" s="26">
        <v>900.0</v>
      </c>
      <c r="Q3029" s="35">
        <v>0.0</v>
      </c>
      <c r="R3029" s="32">
        <v>44581.0</v>
      </c>
      <c r="S3029" s="32">
        <v>41538.0</v>
      </c>
      <c r="T3029" s="29"/>
      <c r="U3029" s="33"/>
      <c r="V3029" s="1"/>
    </row>
    <row r="3030" ht="24.0" customHeight="1">
      <c r="A3030" s="1"/>
      <c r="B3030" s="24" t="str">
        <f>HYPERLINK("https://www.compass.com/listing/130-lenox-avenue-unit-522-manhattan-ny-10026/1480022709160063009/view?agent_id=610d3f3370540700019b0833","130 Lenox Ave, Unit 522")</f>
        <v>130 Lenox Ave, Unit 522</v>
      </c>
      <c r="C3030" s="25" t="s">
        <v>365</v>
      </c>
      <c r="D3030" s="26" t="s">
        <v>23</v>
      </c>
      <c r="E3030" s="27" t="str">
        <f>HYPERLINK("https://www.compass.com/building/the-renaissance-manhattan-ny/281974458774807237/","The Renaissance")</f>
        <v>The Renaissance</v>
      </c>
      <c r="F3030" s="25" t="s">
        <v>45</v>
      </c>
      <c r="G3030" s="28">
        <v>475000.0</v>
      </c>
      <c r="H3030" s="29"/>
      <c r="I3030" s="28">
        <v>1393.0</v>
      </c>
      <c r="J3030" s="28">
        <v>0.0</v>
      </c>
      <c r="K3030" s="25" t="s">
        <v>25</v>
      </c>
      <c r="L3030" s="26">
        <v>5.0</v>
      </c>
      <c r="M3030" s="26">
        <v>2.0</v>
      </c>
      <c r="N3030" s="26">
        <v>1.0</v>
      </c>
      <c r="O3030" s="26">
        <v>0.0</v>
      </c>
      <c r="P3030" s="30"/>
      <c r="Q3030" s="35">
        <v>0.0</v>
      </c>
      <c r="R3030" s="32">
        <v>45822.0</v>
      </c>
      <c r="S3030" s="32">
        <v>45821.0</v>
      </c>
      <c r="T3030" s="29"/>
      <c r="U3030" s="33"/>
      <c r="V3030" s="1"/>
    </row>
    <row r="3031" ht="24.0" customHeight="1">
      <c r="A3031" s="1"/>
      <c r="B3031" s="24" t="str">
        <f>HYPERLINK("https://www.compass.com/listing/30-ocean-parkway-unit-3j-brooklyn-ny-11218/29499890992269121/view?agent_id=610d3f3370540700019b0833","30 Ocean Pkwy, Unit 3J")</f>
        <v>30 Ocean Pkwy, Unit 3J</v>
      </c>
      <c r="C3031" s="25" t="s">
        <v>370</v>
      </c>
      <c r="D3031" s="26" t="s">
        <v>23</v>
      </c>
      <c r="E3031" s="27" t="str">
        <f>HYPERLINK("https://www.compass.com/building/30-ocean-pkwy-brooklyn-ny-11218/293416551208561381/","30 Ocean Pkwy")</f>
        <v>30 Ocean Pkwy</v>
      </c>
      <c r="F3031" s="25" t="s">
        <v>106</v>
      </c>
      <c r="G3031" s="28">
        <v>499000.0</v>
      </c>
      <c r="H3031" s="29"/>
      <c r="I3031" s="28">
        <v>927.0</v>
      </c>
      <c r="J3031" s="29"/>
      <c r="K3031" s="25" t="s">
        <v>25</v>
      </c>
      <c r="L3031" s="26">
        <v>4.0</v>
      </c>
      <c r="M3031" s="26">
        <v>2.0</v>
      </c>
      <c r="N3031" s="26">
        <v>0.0</v>
      </c>
      <c r="O3031" s="26">
        <v>0.0</v>
      </c>
      <c r="P3031" s="30"/>
      <c r="Q3031" s="35">
        <v>0.0</v>
      </c>
      <c r="R3031" s="32">
        <v>44581.0</v>
      </c>
      <c r="S3031" s="32">
        <v>41538.0</v>
      </c>
      <c r="T3031" s="29"/>
      <c r="U3031" s="33"/>
      <c r="V3031" s="1"/>
    </row>
    <row r="3032" ht="24.0" customHeight="1">
      <c r="A3032" s="1"/>
      <c r="B3032" s="24" t="str">
        <f>HYPERLINK("https://www.compass.com/listing/301-east-45th-street-unit-8b-manhattan-ny-10017/475295907362550649/view?agent_id=610d3f3370540700019b0833","301 E 45th St, Unit 8B")</f>
        <v>301 E 45th St, Unit 8B</v>
      </c>
      <c r="C3032" s="25" t="s">
        <v>365</v>
      </c>
      <c r="D3032" s="26" t="s">
        <v>23</v>
      </c>
      <c r="E3032" s="27" t="str">
        <f>HYPERLINK("https://www.compass.com/building/the-delegate-manhattan-ny/281942134112706965/","The Delegate")</f>
        <v>The Delegate</v>
      </c>
      <c r="F3032" s="25" t="s">
        <v>66</v>
      </c>
      <c r="G3032" s="28">
        <v>995000.0</v>
      </c>
      <c r="H3032" s="28">
        <v>1301.0</v>
      </c>
      <c r="I3032" s="28">
        <v>1853.0</v>
      </c>
      <c r="J3032" s="28">
        <v>11520.0</v>
      </c>
      <c r="K3032" s="25" t="s">
        <v>28</v>
      </c>
      <c r="L3032" s="26">
        <v>4.0</v>
      </c>
      <c r="M3032" s="26">
        <v>2.0</v>
      </c>
      <c r="N3032" s="26">
        <v>1.0</v>
      </c>
      <c r="O3032" s="30"/>
      <c r="P3032" s="26">
        <v>765.0</v>
      </c>
      <c r="Q3032" s="35">
        <v>228.0</v>
      </c>
      <c r="R3032" s="32">
        <v>44235.0</v>
      </c>
      <c r="S3032" s="32">
        <v>43957.0</v>
      </c>
      <c r="T3032" s="29"/>
      <c r="U3032" s="33"/>
      <c r="V3032" s="1"/>
    </row>
    <row r="3033" ht="24.0" customHeight="1">
      <c r="A3033" s="1"/>
      <c r="B3033" s="24" t="str">
        <f>HYPERLINK("https://www.compass.com/listing/234-east-35th-street-unit-3-manhattan-ny-10016/312952969410577057/view?agent_id=610d3f3370540700019b0833","234 E 35th St, Unit 3")</f>
        <v>234 E 35th St, Unit 3</v>
      </c>
      <c r="C3033" s="25" t="s">
        <v>364</v>
      </c>
      <c r="D3033" s="26" t="s">
        <v>23</v>
      </c>
      <c r="E3033" s="27" t="str">
        <f>HYPERLINK("https://www.compass.com/building/234-e-35th-st-manhattan-ny-10016/281938813700333157/","234 E 35th St")</f>
        <v>234 E 35th St</v>
      </c>
      <c r="F3033" s="25" t="s">
        <v>72</v>
      </c>
      <c r="G3033" s="28">
        <v>575000.0</v>
      </c>
      <c r="H3033" s="29"/>
      <c r="I3033" s="28">
        <v>1472.0</v>
      </c>
      <c r="J3033" s="28">
        <v>0.0</v>
      </c>
      <c r="K3033" s="25" t="s">
        <v>25</v>
      </c>
      <c r="L3033" s="26">
        <v>4.0</v>
      </c>
      <c r="M3033" s="26">
        <v>2.0</v>
      </c>
      <c r="N3033" s="26">
        <v>1.0</v>
      </c>
      <c r="O3033" s="26">
        <v>0.0</v>
      </c>
      <c r="P3033" s="30"/>
      <c r="Q3033" s="35">
        <v>130.0</v>
      </c>
      <c r="R3033" s="32">
        <v>43815.0</v>
      </c>
      <c r="S3033" s="32">
        <v>43685.0</v>
      </c>
      <c r="T3033" s="29"/>
      <c r="U3033" s="33"/>
      <c r="V3033" s="1"/>
    </row>
    <row r="3034" ht="24.0" customHeight="1">
      <c r="A3034" s="1"/>
      <c r="B3034" s="24" t="str">
        <f>HYPERLINK("https://www.compass.com/listing/2446-dean-street-brooklyn-ny-11233/29494948852191825/view?agent_id=610d3f3370540700019b0833","2446 Dean St")</f>
        <v>2446 Dean St</v>
      </c>
      <c r="C3034" s="25" t="s">
        <v>364</v>
      </c>
      <c r="D3034" s="26" t="s">
        <v>23</v>
      </c>
      <c r="E3034" s="27" t="str">
        <f>HYPERLINK("https://www.compass.com/building/2446-dean-st-brooklyn-ny-11233/293527711320737285/","2446 Dean St")</f>
        <v>2446 Dean St</v>
      </c>
      <c r="F3034" s="25" t="s">
        <v>113</v>
      </c>
      <c r="G3034" s="28">
        <v>675000.0</v>
      </c>
      <c r="H3034" s="28">
        <v>424.0</v>
      </c>
      <c r="I3034" s="28">
        <v>0.0</v>
      </c>
      <c r="J3034" s="29"/>
      <c r="K3034" s="25" t="s">
        <v>384</v>
      </c>
      <c r="L3034" s="26">
        <v>4.0</v>
      </c>
      <c r="M3034" s="26">
        <v>2.0</v>
      </c>
      <c r="N3034" s="26">
        <v>0.0</v>
      </c>
      <c r="O3034" s="26">
        <v>0.0</v>
      </c>
      <c r="P3034" s="34">
        <v>1591.0</v>
      </c>
      <c r="Q3034" s="35">
        <v>72.0</v>
      </c>
      <c r="R3034" s="32">
        <v>44581.0</v>
      </c>
      <c r="S3034" s="32">
        <v>43280.0</v>
      </c>
      <c r="T3034" s="29"/>
      <c r="U3034" s="33"/>
      <c r="V3034" s="1"/>
    </row>
    <row r="3035" ht="24.0" customHeight="1">
      <c r="A3035" s="1"/>
      <c r="B3035" s="24" t="str">
        <f>HYPERLINK("https://www.compass.com/listing/1-northside-piers-unit-11e-brooklyn-ny-11249/4852270077321422433/view?agent_id=610d3f3370540700019b0833","1 Northside Piers, Unit 11E")</f>
        <v>1 Northside Piers, Unit 11E</v>
      </c>
      <c r="C3035" s="25" t="s">
        <v>370</v>
      </c>
      <c r="D3035" s="26" t="s">
        <v>23</v>
      </c>
      <c r="E3035" s="27" t="str">
        <f>HYPERLINK("https://www.compass.com/building/one-northside-piers-brooklyn-ny/293422548736084069/","One Northside Piers")</f>
        <v>One Northside Piers</v>
      </c>
      <c r="F3035" s="25" t="s">
        <v>46</v>
      </c>
      <c r="G3035" s="28">
        <v>1595000.0</v>
      </c>
      <c r="H3035" s="28">
        <v>1385.0</v>
      </c>
      <c r="I3035" s="28">
        <v>1210.0</v>
      </c>
      <c r="J3035" s="28">
        <v>96.0</v>
      </c>
      <c r="K3035" s="25" t="s">
        <v>28</v>
      </c>
      <c r="L3035" s="26">
        <v>4.0</v>
      </c>
      <c r="M3035" s="26">
        <v>2.0</v>
      </c>
      <c r="N3035" s="26">
        <v>0.0</v>
      </c>
      <c r="O3035" s="26">
        <v>0.0</v>
      </c>
      <c r="P3035" s="34">
        <v>1152.0</v>
      </c>
      <c r="Q3035" s="35">
        <v>23.0</v>
      </c>
      <c r="R3035" s="32">
        <v>45636.0</v>
      </c>
      <c r="S3035" s="32">
        <v>42151.0</v>
      </c>
      <c r="T3035" s="29"/>
      <c r="U3035" s="33"/>
      <c r="V3035" s="1"/>
    </row>
    <row r="3036" ht="24.0" customHeight="1">
      <c r="A3036" s="1"/>
      <c r="B3036" s="24" t="str">
        <f>HYPERLINK("https://www.compass.com/listing/246-east-51st-street-unit-20-manhattan-ny-10022/1809842587796414657/view?agent_id=610d3f3370540700019b0833","246 E 51st St, Unit 20")</f>
        <v>246 E 51st St, Unit 20</v>
      </c>
      <c r="C3036" s="25" t="s">
        <v>364</v>
      </c>
      <c r="D3036" s="26" t="s">
        <v>23</v>
      </c>
      <c r="E3036" s="27" t="str">
        <f>HYPERLINK("https://www.compass.com/building/246-e-51st-st-manhattan-ny-10022/281953443390752885/","246 E 51st St")</f>
        <v>246 E 51st St</v>
      </c>
      <c r="F3036" s="25" t="s">
        <v>66</v>
      </c>
      <c r="G3036" s="28">
        <v>579000.0</v>
      </c>
      <c r="H3036" s="29"/>
      <c r="I3036" s="28">
        <v>2100.0</v>
      </c>
      <c r="J3036" s="28">
        <v>0.0</v>
      </c>
      <c r="K3036" s="25" t="s">
        <v>25</v>
      </c>
      <c r="L3036" s="26">
        <v>3.0</v>
      </c>
      <c r="M3036" s="26">
        <v>2.0</v>
      </c>
      <c r="N3036" s="26">
        <v>1.0</v>
      </c>
      <c r="O3036" s="30"/>
      <c r="P3036" s="30"/>
      <c r="Q3036" s="35">
        <v>28.0</v>
      </c>
      <c r="R3036" s="32">
        <v>45777.0</v>
      </c>
      <c r="S3036" s="32">
        <v>45748.0</v>
      </c>
      <c r="T3036" s="29"/>
      <c r="U3036" s="33"/>
      <c r="V3036" s="1"/>
    </row>
    <row r="3037" ht="24.0" customHeight="1">
      <c r="A3037" s="1"/>
      <c r="B3037" s="24" t="str">
        <f>HYPERLINK("https://www.compass.com/listing/185-prospect-park-southwest-unit-304-brooklyn-ny-11218/167938312328233025/view?agent_id=610d3f3370540700019b0833","185 Prospect Park SW, Unit 304")</f>
        <v>185 Prospect Park SW, Unit 304</v>
      </c>
      <c r="C3037" s="25" t="s">
        <v>364</v>
      </c>
      <c r="D3037" s="26" t="s">
        <v>23</v>
      </c>
      <c r="E3037" s="27" t="str">
        <f>HYPERLINK("https://www.compass.com/building/185-prospect-park-sw-brooklyn-ny-11218/294843413115230709/","185 Prospect Park Sw")</f>
        <v>185 Prospect Park Sw</v>
      </c>
      <c r="F3037" s="25" t="s">
        <v>106</v>
      </c>
      <c r="G3037" s="29"/>
      <c r="H3037" s="28">
        <v>590.0</v>
      </c>
      <c r="I3037" s="28">
        <v>737.0</v>
      </c>
      <c r="J3037" s="29"/>
      <c r="K3037" s="25" t="s">
        <v>25</v>
      </c>
      <c r="L3037" s="26">
        <v>5.0</v>
      </c>
      <c r="M3037" s="26">
        <v>2.0</v>
      </c>
      <c r="N3037" s="26">
        <v>0.0</v>
      </c>
      <c r="O3037" s="26">
        <v>0.0</v>
      </c>
      <c r="P3037" s="34">
        <v>1100.0</v>
      </c>
      <c r="Q3037" s="35">
        <v>3277.0</v>
      </c>
      <c r="R3037" s="32">
        <v>44581.0</v>
      </c>
      <c r="S3037" s="32">
        <v>41185.0</v>
      </c>
      <c r="T3037" s="29"/>
      <c r="U3037" s="32">
        <v>44462.0</v>
      </c>
      <c r="V3037" s="1"/>
    </row>
    <row r="3038" ht="24.0" customHeight="1">
      <c r="A3038" s="1"/>
      <c r="B3038" s="24" t="str">
        <f>HYPERLINK("https://www.compass.com/listing/100-riverside-boulevard-unit-21a-manhattan-ny-10069/921593534887991961/view?agent_id=610d3f3370540700019b0833","100 Riverside Blvd, Unit 21A")</f>
        <v>100 Riverside Blvd, Unit 21A</v>
      </c>
      <c r="C3038" s="25" t="s">
        <v>370</v>
      </c>
      <c r="D3038" s="26" t="s">
        <v>23</v>
      </c>
      <c r="E3038" s="27" t="str">
        <f>HYPERLINK("https://www.compass.com/building/the-avery-manhattan-ny/282041150146105509/","The Avery")</f>
        <v>The Avery</v>
      </c>
      <c r="F3038" s="25" t="s">
        <v>29</v>
      </c>
      <c r="G3038" s="28">
        <v>2350000.0</v>
      </c>
      <c r="H3038" s="28">
        <v>2033.0</v>
      </c>
      <c r="I3038" s="28">
        <v>2766.0</v>
      </c>
      <c r="J3038" s="28">
        <v>15588.0</v>
      </c>
      <c r="K3038" s="25" t="s">
        <v>28</v>
      </c>
      <c r="L3038" s="26">
        <v>5.0</v>
      </c>
      <c r="M3038" s="26">
        <v>2.0</v>
      </c>
      <c r="N3038" s="26">
        <v>0.0</v>
      </c>
      <c r="O3038" s="26">
        <v>0.0</v>
      </c>
      <c r="P3038" s="34">
        <v>1156.0</v>
      </c>
      <c r="Q3038" s="35">
        <v>176.0</v>
      </c>
      <c r="R3038" s="32">
        <v>45636.0</v>
      </c>
      <c r="S3038" s="32">
        <v>42830.0</v>
      </c>
      <c r="T3038" s="29"/>
      <c r="U3038" s="33"/>
      <c r="V3038" s="1"/>
    </row>
    <row r="3039" ht="24.0" customHeight="1">
      <c r="A3039" s="1"/>
      <c r="B3039" s="24" t="str">
        <f>HYPERLINK("https://www.compass.com/listing/68-sullivan-street-brooklyn-ny-11231/1841316746102054617/view?agent_id=610d3f3370540700019b0833","68 Sullivan St")</f>
        <v>68 Sullivan St</v>
      </c>
      <c r="C3039" s="25" t="s">
        <v>364</v>
      </c>
      <c r="D3039" s="26" t="s">
        <v>23</v>
      </c>
      <c r="E3039" s="27" t="str">
        <f>HYPERLINK("https://www.compass.com/building/68-sullivan-st-brooklyn-ny-11231/282451935666124853/","68 Sullivan St")</f>
        <v>68 Sullivan St</v>
      </c>
      <c r="F3039" s="25" t="s">
        <v>385</v>
      </c>
      <c r="G3039" s="28">
        <v>1625000.0</v>
      </c>
      <c r="H3039" s="29"/>
      <c r="I3039" s="28">
        <v>238.0</v>
      </c>
      <c r="J3039" s="28">
        <v>2861.0</v>
      </c>
      <c r="K3039" s="25" t="s">
        <v>386</v>
      </c>
      <c r="L3039" s="26">
        <v>3.0</v>
      </c>
      <c r="M3039" s="26">
        <v>2.0</v>
      </c>
      <c r="N3039" s="26">
        <v>1.0</v>
      </c>
      <c r="O3039" s="26">
        <v>0.0</v>
      </c>
      <c r="P3039" s="26">
        <v>0.0</v>
      </c>
      <c r="Q3039" s="35">
        <v>63.0</v>
      </c>
      <c r="R3039" s="32">
        <v>45856.0</v>
      </c>
      <c r="S3039" s="32">
        <v>45792.0</v>
      </c>
      <c r="T3039" s="29"/>
      <c r="U3039" s="33"/>
      <c r="V3039" s="1"/>
    </row>
    <row r="3040" ht="24.0" customHeight="1">
      <c r="A3040" s="1"/>
      <c r="B3040" s="24" t="str">
        <f>HYPERLINK("https://www.compass.com/listing/118-union-street-unit-9a-brooklyn-ny-11231/1754433135779726721/view?agent_id=610d3f3370540700019b0833","118 Union St, Unit 9A")</f>
        <v>118 Union St, Unit 9A</v>
      </c>
      <c r="C3040" s="25" t="s">
        <v>370</v>
      </c>
      <c r="D3040" s="26" t="s">
        <v>23</v>
      </c>
      <c r="E3040" s="27" t="str">
        <f>HYPERLINK("https://www.compass.com/building/fifth-columbia-terrace-brooklyn-ny/293416757878696997/","Fifth Columbia Terrace")</f>
        <v>Fifth Columbia Terrace</v>
      </c>
      <c r="F3040" s="25" t="s">
        <v>122</v>
      </c>
      <c r="G3040" s="28">
        <v>1100000.0</v>
      </c>
      <c r="H3040" s="28">
        <v>1294.0</v>
      </c>
      <c r="I3040" s="28">
        <v>719.0</v>
      </c>
      <c r="J3040" s="28">
        <v>3396.0</v>
      </c>
      <c r="K3040" s="25" t="s">
        <v>28</v>
      </c>
      <c r="L3040" s="26">
        <v>3.0</v>
      </c>
      <c r="M3040" s="26">
        <v>2.0</v>
      </c>
      <c r="N3040" s="26">
        <v>1.0</v>
      </c>
      <c r="O3040" s="30"/>
      <c r="P3040" s="26">
        <v>850.0</v>
      </c>
      <c r="Q3040" s="35">
        <v>26.0</v>
      </c>
      <c r="R3040" s="32">
        <v>45761.0</v>
      </c>
      <c r="S3040" s="32">
        <v>45734.0</v>
      </c>
      <c r="T3040" s="29"/>
      <c r="U3040" s="33"/>
      <c r="V3040" s="1"/>
    </row>
    <row r="3041" ht="24.0" customHeight="1">
      <c r="A3041" s="1"/>
      <c r="B3041" s="24" t="str">
        <f>HYPERLINK("https://www.compass.com/listing/212-east-48th-street-unit-7c-manhattan-ny-10017/1019648311977877833/view?agent_id=610d3f3370540700019b0833","212 E 48th St, Unit 7C")</f>
        <v>212 E 48th St, Unit 7C</v>
      </c>
      <c r="C3041" s="25" t="s">
        <v>364</v>
      </c>
      <c r="D3041" s="26" t="s">
        <v>23</v>
      </c>
      <c r="E3041" s="27" t="str">
        <f>HYPERLINK("https://www.compass.com/building/212-e-48th-st-manhattan-ny-10017/281923027606738101/","212 E 48th St")</f>
        <v>212 E 48th St</v>
      </c>
      <c r="F3041" s="25" t="s">
        <v>66</v>
      </c>
      <c r="G3041" s="28">
        <v>800000.0</v>
      </c>
      <c r="H3041" s="29"/>
      <c r="I3041" s="28">
        <v>3104.0</v>
      </c>
      <c r="J3041" s="28">
        <v>0.0</v>
      </c>
      <c r="K3041" s="25" t="s">
        <v>25</v>
      </c>
      <c r="L3041" s="26">
        <v>3.0</v>
      </c>
      <c r="M3041" s="26">
        <v>2.0</v>
      </c>
      <c r="N3041" s="26">
        <v>1.0</v>
      </c>
      <c r="O3041" s="26">
        <v>0.0</v>
      </c>
      <c r="P3041" s="30"/>
      <c r="Q3041" s="35">
        <v>56.0</v>
      </c>
      <c r="R3041" s="32">
        <v>44715.0</v>
      </c>
      <c r="S3041" s="32">
        <v>44658.0</v>
      </c>
      <c r="T3041" s="29"/>
      <c r="U3041" s="33"/>
      <c r="V3041" s="1"/>
    </row>
    <row r="3042" ht="24.0" customHeight="1">
      <c r="A3042" s="1"/>
      <c r="B3042" s="24" t="str">
        <f>HYPERLINK("https://www.compass.com/listing/459-west-35th-street-unit-5e-manhattan-ny-10001/1825498704224033601/view?agent_id=610d3f3370540700019b0833","459 W 35th St, Unit 5E")</f>
        <v>459 W 35th St, Unit 5E</v>
      </c>
      <c r="C3042" s="25" t="s">
        <v>365</v>
      </c>
      <c r="D3042" s="26" t="s">
        <v>23</v>
      </c>
      <c r="E3042" s="26" t="s">
        <v>387</v>
      </c>
      <c r="F3042" s="25" t="s">
        <v>206</v>
      </c>
      <c r="G3042" s="28">
        <v>330750.0</v>
      </c>
      <c r="H3042" s="29"/>
      <c r="I3042" s="28">
        <v>827.0</v>
      </c>
      <c r="J3042" s="28">
        <v>0.0</v>
      </c>
      <c r="K3042" s="25" t="s">
        <v>25</v>
      </c>
      <c r="L3042" s="26">
        <v>6.0</v>
      </c>
      <c r="M3042" s="26">
        <v>2.0</v>
      </c>
      <c r="N3042" s="26">
        <v>1.0</v>
      </c>
      <c r="O3042" s="26">
        <v>0.0</v>
      </c>
      <c r="P3042" s="30"/>
      <c r="Q3042" s="35">
        <v>16.0</v>
      </c>
      <c r="R3042" s="32">
        <v>45786.0</v>
      </c>
      <c r="S3042" s="32">
        <v>45770.0</v>
      </c>
      <c r="T3042" s="29"/>
      <c r="U3042" s="33"/>
      <c r="V3042" s="1"/>
    </row>
    <row r="3043" ht="24.0" customHeight="1">
      <c r="A3043" s="1"/>
      <c r="B3043" s="24" t="str">
        <f>HYPERLINK("https://www.compass.com/listing/333-east-46th-street-unit-1j-manhattan-ny-10017/1010065965861686977/view?agent_id=610d3f3370540700019b0833","333 E 46th St, Unit 1J")</f>
        <v>333 E 46th St, Unit 1J</v>
      </c>
      <c r="C3043" s="25" t="s">
        <v>365</v>
      </c>
      <c r="D3043" s="26" t="s">
        <v>23</v>
      </c>
      <c r="E3043" s="27" t="str">
        <f>HYPERLINK("https://www.compass.com/building/333-e-46th-st-manhattan-ny-10017/281942481342357557/","333 E 46th St")</f>
        <v>333 E 46th St</v>
      </c>
      <c r="F3043" s="25" t="s">
        <v>66</v>
      </c>
      <c r="G3043" s="28">
        <v>699000.0</v>
      </c>
      <c r="H3043" s="29"/>
      <c r="I3043" s="28">
        <v>1513.0</v>
      </c>
      <c r="J3043" s="28">
        <v>0.0</v>
      </c>
      <c r="K3043" s="25" t="s">
        <v>209</v>
      </c>
      <c r="L3043" s="26">
        <v>4.0</v>
      </c>
      <c r="M3043" s="26">
        <v>2.0</v>
      </c>
      <c r="N3043" s="26">
        <v>1.0</v>
      </c>
      <c r="O3043" s="30"/>
      <c r="P3043" s="30"/>
      <c r="Q3043" s="35">
        <v>200.0</v>
      </c>
      <c r="R3043" s="32">
        <v>44865.0</v>
      </c>
      <c r="S3043" s="32">
        <v>44645.0</v>
      </c>
      <c r="T3043" s="29"/>
      <c r="U3043" s="33"/>
      <c r="V3043" s="1"/>
    </row>
    <row r="3044" ht="24.0" customHeight="1">
      <c r="A3044" s="1"/>
      <c r="B3044" s="24" t="str">
        <f>HYPERLINK("https://www.compass.com/listing/55-carroll-street-unit-39a-brooklyn-ny-11231/551234834079782713/view?agent_id=610d3f3370540700019b0833","55 Carroll St, Unit 39A")</f>
        <v>55 Carroll St, Unit 39A</v>
      </c>
      <c r="C3044" s="25" t="s">
        <v>364</v>
      </c>
      <c r="D3044" s="26" t="s">
        <v>23</v>
      </c>
      <c r="E3044" s="27" t="str">
        <f>HYPERLINK("https://www.compass.com/building/55-carroll-st-brooklyn-ny-11231/293424161672466661/","55 Carroll St")</f>
        <v>55 Carroll St</v>
      </c>
      <c r="F3044" s="25" t="s">
        <v>122</v>
      </c>
      <c r="G3044" s="28">
        <v>899000.0</v>
      </c>
      <c r="H3044" s="29"/>
      <c r="I3044" s="28">
        <v>582.0</v>
      </c>
      <c r="J3044" s="28">
        <v>2996.0</v>
      </c>
      <c r="K3044" s="25" t="s">
        <v>28</v>
      </c>
      <c r="L3044" s="26">
        <v>3.0</v>
      </c>
      <c r="M3044" s="26">
        <v>2.0</v>
      </c>
      <c r="N3044" s="26">
        <v>1.0</v>
      </c>
      <c r="O3044" s="30"/>
      <c r="P3044" s="30"/>
      <c r="Q3044" s="35">
        <v>71.0</v>
      </c>
      <c r="R3044" s="32">
        <v>44091.0</v>
      </c>
      <c r="S3044" s="32">
        <v>44020.0</v>
      </c>
      <c r="T3044" s="29"/>
      <c r="U3044" s="33"/>
      <c r="V3044" s="1"/>
    </row>
    <row r="3045" ht="24.0" customHeight="1">
      <c r="A3045" s="1"/>
      <c r="B3045" s="24" t="str">
        <f>HYPERLINK("https://www.compass.com/listing/333-east-46th-street-unit-1j-manhattan-ny-10017/1408901356551372641/view?agent_id=610d3f3370540700019b0833","333 E 46th St, Unit 1J")</f>
        <v>333 E 46th St, Unit 1J</v>
      </c>
      <c r="C3045" s="25" t="s">
        <v>370</v>
      </c>
      <c r="D3045" s="26" t="s">
        <v>23</v>
      </c>
      <c r="E3045" s="27" t="str">
        <f>HYPERLINK("https://www.compass.com/building/333-e-46th-st-manhattan-ny-10017/281942481342357557/","333 E 46th St")</f>
        <v>333 E 46th St</v>
      </c>
      <c r="F3045" s="25" t="s">
        <v>66</v>
      </c>
      <c r="G3045" s="28">
        <v>450000.0</v>
      </c>
      <c r="H3045" s="29"/>
      <c r="I3045" s="28">
        <v>1632.0</v>
      </c>
      <c r="J3045" s="28">
        <v>19584.0</v>
      </c>
      <c r="K3045" s="25" t="s">
        <v>209</v>
      </c>
      <c r="L3045" s="26">
        <v>3.0</v>
      </c>
      <c r="M3045" s="26">
        <v>2.0</v>
      </c>
      <c r="N3045" s="26">
        <v>1.0</v>
      </c>
      <c r="O3045" s="30"/>
      <c r="P3045" s="30"/>
      <c r="Q3045" s="35">
        <v>233.0</v>
      </c>
      <c r="R3045" s="32">
        <v>45444.0</v>
      </c>
      <c r="S3045" s="32">
        <v>45195.0</v>
      </c>
      <c r="T3045" s="29"/>
      <c r="U3045" s="33"/>
      <c r="V3045" s="1"/>
    </row>
    <row r="3046" ht="24.0" customHeight="1">
      <c r="A3046" s="1"/>
      <c r="B3046" s="24" t="str">
        <f>HYPERLINK("https://www.compass.com/listing/201-east-36th-street-unit-2f-manhattan-ny-10016/29381691797717793/view?agent_id=610d3f3370540700019b0833","201 E 36th St, Unit 2F")</f>
        <v>201 E 36th St, Unit 2F</v>
      </c>
      <c r="C3046" s="25" t="s">
        <v>364</v>
      </c>
      <c r="D3046" s="26" t="s">
        <v>23</v>
      </c>
      <c r="E3046" s="27" t="str">
        <f>HYPERLINK("https://www.compass.com/building/murray-hill-terrace-manhattan-ny/281938150312432917/","Murray Hill Terrace")</f>
        <v>Murray Hill Terrace</v>
      </c>
      <c r="F3046" s="25" t="s">
        <v>72</v>
      </c>
      <c r="G3046" s="28">
        <v>835000.0</v>
      </c>
      <c r="H3046" s="28">
        <v>1044.0</v>
      </c>
      <c r="I3046" s="28">
        <v>1864.0</v>
      </c>
      <c r="J3046" s="28">
        <v>10128.0</v>
      </c>
      <c r="K3046" s="25" t="s">
        <v>28</v>
      </c>
      <c r="L3046" s="26">
        <v>3.0</v>
      </c>
      <c r="M3046" s="26">
        <v>2.0</v>
      </c>
      <c r="N3046" s="26">
        <v>1.0</v>
      </c>
      <c r="O3046" s="26">
        <v>0.0</v>
      </c>
      <c r="P3046" s="26">
        <v>800.0</v>
      </c>
      <c r="Q3046" s="35">
        <v>170.0</v>
      </c>
      <c r="R3046" s="32">
        <v>45636.0</v>
      </c>
      <c r="S3046" s="32">
        <v>41749.0</v>
      </c>
      <c r="T3046" s="29"/>
      <c r="U3046" s="33"/>
      <c r="V3046" s="1"/>
    </row>
    <row r="3047" ht="24.0" customHeight="1">
      <c r="A3047" s="1"/>
      <c r="B3047" s="24" t="str">
        <f>HYPERLINK("https://www.compass.com/listing/321-east-43rd-street-unit-605-manhattan-ny-10017/568136824256732753/view?agent_id=610d3f3370540700019b0833","321 E 43rd St, Unit 605")</f>
        <v>321 E 43rd St, Unit 605</v>
      </c>
      <c r="C3047" s="25" t="s">
        <v>365</v>
      </c>
      <c r="D3047" s="26" t="s">
        <v>23</v>
      </c>
      <c r="E3047" s="27" t="str">
        <f>HYPERLINK("https://www.compass.com/building/the-cloister-manhattan-ny/292843255249304229/","The Cloister")</f>
        <v>The Cloister</v>
      </c>
      <c r="F3047" s="25" t="s">
        <v>66</v>
      </c>
      <c r="G3047" s="28">
        <v>875000.0</v>
      </c>
      <c r="H3047" s="29"/>
      <c r="I3047" s="28">
        <v>1804.0</v>
      </c>
      <c r="J3047" s="28">
        <v>0.0</v>
      </c>
      <c r="K3047" s="25" t="s">
        <v>25</v>
      </c>
      <c r="L3047" s="26">
        <v>4.0</v>
      </c>
      <c r="M3047" s="26">
        <v>2.0</v>
      </c>
      <c r="N3047" s="26">
        <v>1.0</v>
      </c>
      <c r="O3047" s="26">
        <v>0.0</v>
      </c>
      <c r="P3047" s="30"/>
      <c r="Q3047" s="35">
        <v>168.0</v>
      </c>
      <c r="R3047" s="32">
        <v>44204.0</v>
      </c>
      <c r="S3047" s="32">
        <v>44035.0</v>
      </c>
      <c r="T3047" s="29"/>
      <c r="U3047" s="33"/>
      <c r="V3047" s="1"/>
    </row>
    <row r="3048" ht="24.0" customHeight="1">
      <c r="A3048" s="1"/>
      <c r="B3048" s="24" t="str">
        <f>HYPERLINK("https://www.compass.com/listing/220-riverside-boulevard-unit-4m-manhattan-ny-10069/70929741623883313/view?agent_id=610d3f3370540700019b0833","220 Riverside Blvd, Unit 4M")</f>
        <v>220 Riverside Blvd, Unit 4M</v>
      </c>
      <c r="C3048" s="25" t="s">
        <v>364</v>
      </c>
      <c r="D3048" s="26" t="s">
        <v>23</v>
      </c>
      <c r="E3048" s="27" t="str">
        <f t="shared" ref="E3048:E3049" si="81">HYPERLINK("https://www.compass.com/building/trump-place-manhattan-ny/282041349820143637/","Trump Place")</f>
        <v>Trump Place</v>
      </c>
      <c r="F3048" s="25" t="s">
        <v>29</v>
      </c>
      <c r="G3048" s="28">
        <v>2475000.0</v>
      </c>
      <c r="H3048" s="28">
        <v>1700.0</v>
      </c>
      <c r="I3048" s="28">
        <v>3450.0</v>
      </c>
      <c r="J3048" s="28">
        <v>22644.0</v>
      </c>
      <c r="K3048" s="25" t="s">
        <v>28</v>
      </c>
      <c r="L3048" s="26">
        <v>4.0</v>
      </c>
      <c r="M3048" s="26">
        <v>2.0</v>
      </c>
      <c r="N3048" s="26">
        <v>0.0</v>
      </c>
      <c r="O3048" s="26">
        <v>0.0</v>
      </c>
      <c r="P3048" s="34">
        <v>1456.0</v>
      </c>
      <c r="Q3048" s="35">
        <v>34.0</v>
      </c>
      <c r="R3048" s="32">
        <v>45636.0</v>
      </c>
      <c r="S3048" s="32">
        <v>43032.0</v>
      </c>
      <c r="T3048" s="29"/>
      <c r="U3048" s="33"/>
      <c r="V3048" s="1"/>
    </row>
    <row r="3049" ht="24.0" customHeight="1">
      <c r="A3049" s="1"/>
      <c r="B3049" s="24" t="str">
        <f>HYPERLINK("https://www.compass.com/listing/220-riverside-boulevard-unit-4m-manhattan-ny-10069/920829356581570569/view?agent_id=610d3f3370540700019b0833","220 Riverside Blvd, Unit 4M")</f>
        <v>220 Riverside Blvd, Unit 4M</v>
      </c>
      <c r="C3049" s="25" t="s">
        <v>364</v>
      </c>
      <c r="D3049" s="26" t="s">
        <v>23</v>
      </c>
      <c r="E3049" s="27" t="str">
        <f t="shared" si="81"/>
        <v>Trump Place</v>
      </c>
      <c r="F3049" s="25" t="s">
        <v>29</v>
      </c>
      <c r="G3049" s="28">
        <v>2249500.0</v>
      </c>
      <c r="H3049" s="28">
        <v>1545.0</v>
      </c>
      <c r="I3049" s="28">
        <v>3484.0</v>
      </c>
      <c r="J3049" s="28">
        <v>22344.0</v>
      </c>
      <c r="K3049" s="25" t="s">
        <v>28</v>
      </c>
      <c r="L3049" s="26">
        <v>5.0</v>
      </c>
      <c r="M3049" s="26">
        <v>2.0</v>
      </c>
      <c r="N3049" s="26">
        <v>0.0</v>
      </c>
      <c r="O3049" s="26">
        <v>0.0</v>
      </c>
      <c r="P3049" s="34">
        <v>1456.0</v>
      </c>
      <c r="Q3049" s="35">
        <v>136.0</v>
      </c>
      <c r="R3049" s="32">
        <v>45636.0</v>
      </c>
      <c r="S3049" s="32">
        <v>43164.0</v>
      </c>
      <c r="T3049" s="29"/>
      <c r="U3049" s="33"/>
      <c r="V3049" s="1"/>
    </row>
    <row r="3050" ht="24.0" customHeight="1">
      <c r="A3050" s="1"/>
      <c r="B3050" s="24" t="str">
        <f>HYPERLINK("https://www.compass.com/listing/118-union-street-unit-9a-brooklyn-ny-11231/1687816800652896009/view?agent_id=610d3f3370540700019b0833","118 Union St, Unit 9A")</f>
        <v>118 Union St, Unit 9A</v>
      </c>
      <c r="C3050" s="25" t="s">
        <v>365</v>
      </c>
      <c r="D3050" s="26" t="s">
        <v>23</v>
      </c>
      <c r="E3050" s="27" t="str">
        <f>HYPERLINK("https://www.compass.com/building/fifth-columbia-terrace-brooklyn-ny/293416757878696997/","Fifth Columbia Terrace")</f>
        <v>Fifth Columbia Terrace</v>
      </c>
      <c r="F3050" s="25" t="s">
        <v>122</v>
      </c>
      <c r="G3050" s="28">
        <v>1100000.0</v>
      </c>
      <c r="H3050" s="28">
        <v>1299.0</v>
      </c>
      <c r="I3050" s="28">
        <v>719.0</v>
      </c>
      <c r="J3050" s="28">
        <v>3396.0</v>
      </c>
      <c r="K3050" s="25" t="s">
        <v>28</v>
      </c>
      <c r="L3050" s="26">
        <v>3.0</v>
      </c>
      <c r="M3050" s="26">
        <v>2.0</v>
      </c>
      <c r="N3050" s="26">
        <v>1.0</v>
      </c>
      <c r="O3050" s="30"/>
      <c r="P3050" s="26">
        <v>847.0</v>
      </c>
      <c r="Q3050" s="35">
        <v>48.0</v>
      </c>
      <c r="R3050" s="32">
        <v>45672.0</v>
      </c>
      <c r="S3050" s="32">
        <v>45580.0</v>
      </c>
      <c r="T3050" s="29"/>
      <c r="U3050" s="33"/>
      <c r="V3050" s="1"/>
    </row>
    <row r="3051" ht="24.0" customHeight="1">
      <c r="A3051" s="1"/>
      <c r="B3051" s="24" t="str">
        <f>HYPERLINK("https://www.compass.com/listing/241-west-36th-street-unit-12r-manhattan-ny-10018/921939299049315433/view?agent_id=610d3f3370540700019b0833","241 W 36th St, Unit 12R")</f>
        <v>241 W 36th St, Unit 12R</v>
      </c>
      <c r="C3051" s="25" t="s">
        <v>364</v>
      </c>
      <c r="D3051" s="26" t="s">
        <v>23</v>
      </c>
      <c r="E3051" s="27" t="str">
        <f t="shared" ref="E3051:E3052" si="82">HYPERLINK("https://www.compass.com/building/241-w-36th-st-manhattan-ny-10018/281942912130933157/","241 W 36th St")</f>
        <v>241 W 36th St</v>
      </c>
      <c r="F3051" s="25" t="s">
        <v>388</v>
      </c>
      <c r="G3051" s="28">
        <v>1595000.0</v>
      </c>
      <c r="H3051" s="28">
        <v>1100.0</v>
      </c>
      <c r="I3051" s="28">
        <v>2316.0</v>
      </c>
      <c r="J3051" s="29"/>
      <c r="K3051" s="25" t="s">
        <v>49</v>
      </c>
      <c r="L3051" s="26">
        <v>4.0</v>
      </c>
      <c r="M3051" s="26">
        <v>2.0</v>
      </c>
      <c r="N3051" s="26">
        <v>0.0</v>
      </c>
      <c r="O3051" s="26">
        <v>0.0</v>
      </c>
      <c r="P3051" s="34">
        <v>1450.0</v>
      </c>
      <c r="Q3051" s="31"/>
      <c r="R3051" s="32">
        <v>44581.0</v>
      </c>
      <c r="S3051" s="33"/>
      <c r="T3051" s="29"/>
      <c r="U3051" s="33"/>
      <c r="V3051" s="1"/>
    </row>
    <row r="3052" ht="24.0" customHeight="1">
      <c r="A3052" s="1"/>
      <c r="B3052" s="24" t="str">
        <f>HYPERLINK("https://www.compass.com/listing/241-west-36th-street-unit-12r-manhattan-ny-10018/803305910289890849/view?agent_id=610d3f3370540700019b0833","241 W 36th St, Unit 12R")</f>
        <v>241 W 36th St, Unit 12R</v>
      </c>
      <c r="C3052" s="25" t="s">
        <v>364</v>
      </c>
      <c r="D3052" s="26" t="s">
        <v>23</v>
      </c>
      <c r="E3052" s="27" t="str">
        <f t="shared" si="82"/>
        <v>241 W 36th St</v>
      </c>
      <c r="F3052" s="25" t="s">
        <v>388</v>
      </c>
      <c r="G3052" s="28">
        <v>1595000.0</v>
      </c>
      <c r="H3052" s="28">
        <v>1100.0</v>
      </c>
      <c r="I3052" s="28">
        <v>2316.0</v>
      </c>
      <c r="J3052" s="29"/>
      <c r="K3052" s="25" t="s">
        <v>110</v>
      </c>
      <c r="L3052" s="26">
        <v>4.0</v>
      </c>
      <c r="M3052" s="26">
        <v>2.0</v>
      </c>
      <c r="N3052" s="26">
        <v>0.0</v>
      </c>
      <c r="O3052" s="26">
        <v>0.0</v>
      </c>
      <c r="P3052" s="34">
        <v>1450.0</v>
      </c>
      <c r="Q3052" s="35">
        <v>58.0</v>
      </c>
      <c r="R3052" s="32">
        <v>45636.0</v>
      </c>
      <c r="S3052" s="32">
        <v>42563.0</v>
      </c>
      <c r="T3052" s="29"/>
      <c r="U3052" s="33"/>
      <c r="V3052" s="1"/>
    </row>
    <row r="3053" ht="24.0" customHeight="1">
      <c r="A3053" s="1"/>
      <c r="B3053" s="24" t="str">
        <f>HYPERLINK("https://www.compass.com/listing/100-riverside-boulevard-unit-24a-manhattan-ny-10069/920104823181137993/view?agent_id=610d3f3370540700019b0833","100 Riverside Blvd, Unit 24A")</f>
        <v>100 Riverside Blvd, Unit 24A</v>
      </c>
      <c r="C3053" s="25" t="s">
        <v>364</v>
      </c>
      <c r="D3053" s="26" t="s">
        <v>23</v>
      </c>
      <c r="E3053" s="27" t="str">
        <f>HYPERLINK("https://www.compass.com/building/the-avery-manhattan-ny/282041150146105509/","The Avery")</f>
        <v>The Avery</v>
      </c>
      <c r="F3053" s="25" t="s">
        <v>29</v>
      </c>
      <c r="G3053" s="28">
        <v>1925000.0</v>
      </c>
      <c r="H3053" s="28">
        <v>1665.0</v>
      </c>
      <c r="I3053" s="28">
        <v>2369.0</v>
      </c>
      <c r="J3053" s="28">
        <v>13344.0</v>
      </c>
      <c r="K3053" s="25" t="s">
        <v>28</v>
      </c>
      <c r="L3053" s="26">
        <v>4.0</v>
      </c>
      <c r="M3053" s="26">
        <v>2.0</v>
      </c>
      <c r="N3053" s="26">
        <v>0.0</v>
      </c>
      <c r="O3053" s="26">
        <v>0.0</v>
      </c>
      <c r="P3053" s="34">
        <v>1156.0</v>
      </c>
      <c r="Q3053" s="35">
        <v>454.0</v>
      </c>
      <c r="R3053" s="32">
        <v>45636.0</v>
      </c>
      <c r="S3053" s="32">
        <v>42846.0</v>
      </c>
      <c r="T3053" s="29"/>
      <c r="U3053" s="33"/>
      <c r="V3053" s="1"/>
    </row>
    <row r="3054" ht="24.0" customHeight="1">
      <c r="A3054" s="1"/>
      <c r="B3054" s="24" t="str">
        <f>HYPERLINK("https://www.compass.com/listing/246-sumpter-street-unit-1b-brooklyn-ny-11233/29474599389490353/view?agent_id=610d3f3370540700019b0833","246 Sumpter St, Unit 1B")</f>
        <v>246 Sumpter St, Unit 1B</v>
      </c>
      <c r="C3054" s="25" t="s">
        <v>364</v>
      </c>
      <c r="D3054" s="26" t="s">
        <v>23</v>
      </c>
      <c r="E3054" s="27" t="str">
        <f t="shared" ref="E3054:E3056" si="83">HYPERLINK("https://www.compass.com/building/246-sumpter-st-brooklyn-ny-11233/293422480066938533/","246 Sumpter St")</f>
        <v>246 Sumpter St</v>
      </c>
      <c r="F3054" s="25" t="s">
        <v>51</v>
      </c>
      <c r="G3054" s="28">
        <v>425000.0</v>
      </c>
      <c r="H3054" s="28">
        <v>429.0</v>
      </c>
      <c r="I3054" s="28">
        <v>986.0</v>
      </c>
      <c r="J3054" s="28">
        <v>4992.0</v>
      </c>
      <c r="K3054" s="25" t="s">
        <v>28</v>
      </c>
      <c r="L3054" s="26">
        <v>4.0</v>
      </c>
      <c r="M3054" s="26">
        <v>2.0</v>
      </c>
      <c r="N3054" s="26">
        <v>0.0</v>
      </c>
      <c r="O3054" s="26">
        <v>0.0</v>
      </c>
      <c r="P3054" s="26">
        <v>990.0</v>
      </c>
      <c r="Q3054" s="35">
        <v>59.0</v>
      </c>
      <c r="R3054" s="32">
        <v>44581.0</v>
      </c>
      <c r="S3054" s="32">
        <v>42856.0</v>
      </c>
      <c r="T3054" s="29"/>
      <c r="U3054" s="33"/>
      <c r="V3054" s="1"/>
    </row>
    <row r="3055" ht="24.0" customHeight="1">
      <c r="A3055" s="1"/>
      <c r="B3055" s="24" t="str">
        <f>HYPERLINK("https://www.compass.com/listing/246-sumpter-street-unit-1b-brooklyn-ny-11233/920433738622263185/view?agent_id=610d3f3370540700019b0833","246 Sumpter St, Unit 1B")</f>
        <v>246 Sumpter St, Unit 1B</v>
      </c>
      <c r="C3055" s="25" t="s">
        <v>364</v>
      </c>
      <c r="D3055" s="26" t="s">
        <v>23</v>
      </c>
      <c r="E3055" s="27" t="str">
        <f t="shared" si="83"/>
        <v>246 Sumpter St</v>
      </c>
      <c r="F3055" s="25" t="s">
        <v>51</v>
      </c>
      <c r="G3055" s="28">
        <v>489000.0</v>
      </c>
      <c r="H3055" s="28">
        <v>494.0</v>
      </c>
      <c r="I3055" s="28">
        <v>986.0</v>
      </c>
      <c r="J3055" s="28">
        <v>4992.0</v>
      </c>
      <c r="K3055" s="25" t="s">
        <v>28</v>
      </c>
      <c r="L3055" s="26">
        <v>4.0</v>
      </c>
      <c r="M3055" s="26">
        <v>2.0</v>
      </c>
      <c r="N3055" s="26">
        <v>0.0</v>
      </c>
      <c r="O3055" s="26">
        <v>0.0</v>
      </c>
      <c r="P3055" s="26">
        <v>990.0</v>
      </c>
      <c r="Q3055" s="35">
        <v>38.0</v>
      </c>
      <c r="R3055" s="32">
        <v>45636.0</v>
      </c>
      <c r="S3055" s="32">
        <v>43256.0</v>
      </c>
      <c r="T3055" s="29"/>
      <c r="U3055" s="33"/>
      <c r="V3055" s="1"/>
    </row>
    <row r="3056" ht="24.0" customHeight="1">
      <c r="A3056" s="1"/>
      <c r="B3056" s="24" t="str">
        <f>HYPERLINK("https://www.compass.com/listing/246-sumpter-street-unit-1b-brooklyn-ny-11233/920689186616110521/view?agent_id=610d3f3370540700019b0833","246 Sumpter St, Unit 1B")</f>
        <v>246 Sumpter St, Unit 1B</v>
      </c>
      <c r="C3056" s="25" t="s">
        <v>364</v>
      </c>
      <c r="D3056" s="26" t="s">
        <v>23</v>
      </c>
      <c r="E3056" s="27" t="str">
        <f t="shared" si="83"/>
        <v>246 Sumpter St</v>
      </c>
      <c r="F3056" s="25" t="s">
        <v>51</v>
      </c>
      <c r="G3056" s="28">
        <v>489000.0</v>
      </c>
      <c r="H3056" s="28">
        <v>494.0</v>
      </c>
      <c r="I3056" s="28">
        <v>986.0</v>
      </c>
      <c r="J3056" s="28">
        <v>4992.0</v>
      </c>
      <c r="K3056" s="25" t="s">
        <v>28</v>
      </c>
      <c r="L3056" s="26">
        <v>4.0</v>
      </c>
      <c r="M3056" s="26">
        <v>2.0</v>
      </c>
      <c r="N3056" s="26">
        <v>0.0</v>
      </c>
      <c r="O3056" s="26">
        <v>0.0</v>
      </c>
      <c r="P3056" s="26">
        <v>990.0</v>
      </c>
      <c r="Q3056" s="35">
        <v>69.0</v>
      </c>
      <c r="R3056" s="32">
        <v>45636.0</v>
      </c>
      <c r="S3056" s="32">
        <v>43185.0</v>
      </c>
      <c r="T3056" s="29"/>
      <c r="U3056" s="33"/>
      <c r="V3056" s="1"/>
    </row>
    <row r="3057" ht="24.0" customHeight="1">
      <c r="A3057" s="1"/>
      <c r="B3057" s="24" t="str">
        <f>HYPERLINK("https://www.compass.com/listing/156-sackett-street-unit-4b-brooklyn-ny-11231/357787573426487841/view?agent_id=610d3f3370540700019b0833","156 Sackett St, Unit 4B")</f>
        <v>156 Sackett St, Unit 4B</v>
      </c>
      <c r="C3057" s="25" t="s">
        <v>364</v>
      </c>
      <c r="D3057" s="26" t="s">
        <v>23</v>
      </c>
      <c r="E3057" s="27" t="str">
        <f>HYPERLINK("https://www.compass.com/building/156-sackett-st-brooklyn-ny-11231/282508413169129813/","156 Sackett St")</f>
        <v>156 Sackett St</v>
      </c>
      <c r="F3057" s="25" t="s">
        <v>122</v>
      </c>
      <c r="G3057" s="28">
        <v>965000.0</v>
      </c>
      <c r="H3057" s="28">
        <v>1064.0</v>
      </c>
      <c r="I3057" s="28">
        <v>1045.0</v>
      </c>
      <c r="J3057" s="28">
        <v>5868.0</v>
      </c>
      <c r="K3057" s="25" t="s">
        <v>28</v>
      </c>
      <c r="L3057" s="26">
        <v>4.0</v>
      </c>
      <c r="M3057" s="26">
        <v>2.0</v>
      </c>
      <c r="N3057" s="26">
        <v>1.0</v>
      </c>
      <c r="O3057" s="26">
        <v>0.0</v>
      </c>
      <c r="P3057" s="26">
        <v>907.0</v>
      </c>
      <c r="Q3057" s="35">
        <v>31.0</v>
      </c>
      <c r="R3057" s="32">
        <v>43776.0</v>
      </c>
      <c r="S3057" s="32">
        <v>43745.0</v>
      </c>
      <c r="T3057" s="29"/>
      <c r="U3057" s="33"/>
      <c r="V3057" s="1"/>
    </row>
    <row r="3058" ht="24.0" customHeight="1">
      <c r="A3058" s="1"/>
      <c r="B3058" s="24" t="str">
        <f>HYPERLINK("https://www.compass.com/listing/200-riverside-boulevard-unit-4h-manhattan-ny-10069/29396295517057425/view?agent_id=610d3f3370540700019b0833","200 Riverside Blvd, Unit 4H")</f>
        <v>200 Riverside Blvd, Unit 4H</v>
      </c>
      <c r="C3058" s="25" t="s">
        <v>370</v>
      </c>
      <c r="D3058" s="26" t="s">
        <v>23</v>
      </c>
      <c r="E3058" s="27" t="str">
        <f>HYPERLINK("https://www.compass.com/building/200-riverside-blvd-manhattan-ny-10069/282041299563991237/","200 Riverside Blvd")</f>
        <v>200 Riverside Blvd</v>
      </c>
      <c r="F3058" s="25" t="s">
        <v>29</v>
      </c>
      <c r="G3058" s="28">
        <v>1575000.0</v>
      </c>
      <c r="H3058" s="28">
        <v>1209.0</v>
      </c>
      <c r="I3058" s="28">
        <v>1735.0</v>
      </c>
      <c r="J3058" s="28">
        <v>7392.0</v>
      </c>
      <c r="K3058" s="25" t="s">
        <v>28</v>
      </c>
      <c r="L3058" s="26">
        <v>4.0</v>
      </c>
      <c r="M3058" s="26">
        <v>2.0</v>
      </c>
      <c r="N3058" s="26">
        <v>0.0</v>
      </c>
      <c r="O3058" s="26">
        <v>0.0</v>
      </c>
      <c r="P3058" s="34">
        <v>1303.0</v>
      </c>
      <c r="Q3058" s="35">
        <v>0.0</v>
      </c>
      <c r="R3058" s="32">
        <v>44581.0</v>
      </c>
      <c r="S3058" s="32">
        <v>41538.0</v>
      </c>
      <c r="T3058" s="29"/>
      <c r="U3058" s="33"/>
      <c r="V3058" s="1"/>
    </row>
    <row r="3059" ht="24.0" customHeight="1">
      <c r="A3059" s="1"/>
      <c r="B3059" s="24" t="str">
        <f>HYPERLINK("https://www.compass.com/listing/29-tiffany-place-unit-2a-brooklyn-ny-11231/4852326484016106641/view?agent_id=610d3f3370540700019b0833","29 Tiffany Pl, Unit 2A")</f>
        <v>29 Tiffany Pl, Unit 2A</v>
      </c>
      <c r="C3059" s="25" t="s">
        <v>364</v>
      </c>
      <c r="D3059" s="26" t="s">
        <v>23</v>
      </c>
      <c r="E3059" s="27" t="str">
        <f>HYPERLINK("https://www.compass.com/building/29-tiffany-pl-brooklyn-ny-11231/282508385159565125/","29 Tiffany Pl")</f>
        <v>29 Tiffany Pl</v>
      </c>
      <c r="F3059" s="25" t="s">
        <v>122</v>
      </c>
      <c r="G3059" s="28">
        <v>815000.0</v>
      </c>
      <c r="H3059" s="28">
        <v>959.0</v>
      </c>
      <c r="I3059" s="28">
        <v>711.0</v>
      </c>
      <c r="J3059" s="28">
        <v>3024.0</v>
      </c>
      <c r="K3059" s="25" t="s">
        <v>28</v>
      </c>
      <c r="L3059" s="26">
        <v>4.0</v>
      </c>
      <c r="M3059" s="26">
        <v>2.0</v>
      </c>
      <c r="N3059" s="26">
        <v>1.0</v>
      </c>
      <c r="O3059" s="26">
        <v>0.0</v>
      </c>
      <c r="P3059" s="26">
        <v>850.0</v>
      </c>
      <c r="Q3059" s="35">
        <v>2.0</v>
      </c>
      <c r="R3059" s="32">
        <v>45636.0</v>
      </c>
      <c r="S3059" s="32">
        <v>42324.0</v>
      </c>
      <c r="T3059" s="29"/>
      <c r="U3059" s="33"/>
      <c r="V3059" s="1"/>
    </row>
    <row r="3060" ht="24.0" customHeight="1">
      <c r="A3060" s="1"/>
      <c r="B3060" s="24" t="str">
        <f>HYPERLINK("https://www.compass.com/listing/45-tudor-city-place-unit-1104-manhattan-ny-10017/192565629545428705/view?agent_id=610d3f3370540700019b0833","45 Tudor City Pl, Unit 1104")</f>
        <v>45 Tudor City Pl, Unit 1104</v>
      </c>
      <c r="C3060" s="25" t="s">
        <v>364</v>
      </c>
      <c r="D3060" s="26" t="s">
        <v>23</v>
      </c>
      <c r="E3060" s="27" t="str">
        <f>HYPERLINK("https://www.compass.com/building/prospect-tower-manhattan-ny/281942593464492677/","Prospect Tower")</f>
        <v>Prospect Tower</v>
      </c>
      <c r="F3060" s="25" t="s">
        <v>66</v>
      </c>
      <c r="G3060" s="28">
        <v>725000.0</v>
      </c>
      <c r="H3060" s="29"/>
      <c r="I3060" s="28">
        <v>1669.0</v>
      </c>
      <c r="J3060" s="29"/>
      <c r="K3060" s="25" t="s">
        <v>25</v>
      </c>
      <c r="L3060" s="26">
        <v>4.0</v>
      </c>
      <c r="M3060" s="26">
        <v>2.0</v>
      </c>
      <c r="N3060" s="26">
        <v>0.0</v>
      </c>
      <c r="O3060" s="26">
        <v>0.0</v>
      </c>
      <c r="P3060" s="30"/>
      <c r="Q3060" s="35">
        <v>678.0</v>
      </c>
      <c r="R3060" s="32">
        <v>44581.0</v>
      </c>
      <c r="S3060" s="32">
        <v>41249.0</v>
      </c>
      <c r="T3060" s="29"/>
      <c r="U3060" s="33"/>
      <c r="V3060" s="1"/>
    </row>
    <row r="3061" ht="24.0" customHeight="1">
      <c r="A3061" s="1"/>
      <c r="B3061" s="24" t="str">
        <f>HYPERLINK("https://www.compass.com/listing/246-sumpter-street-unit-1b-brooklyn-ny-11233/29474599389490369/view?agent_id=610d3f3370540700019b0833","246 Sumpter St, Unit 1B")</f>
        <v>246 Sumpter St, Unit 1B</v>
      </c>
      <c r="C3061" s="25" t="s">
        <v>364</v>
      </c>
      <c r="D3061" s="26" t="s">
        <v>23</v>
      </c>
      <c r="E3061" s="27" t="str">
        <f>HYPERLINK("https://www.compass.com/building/246-sumpter-st-brooklyn-ny-11233/293422480066938533/","246 Sumpter St")</f>
        <v>246 Sumpter St</v>
      </c>
      <c r="F3061" s="25" t="s">
        <v>51</v>
      </c>
      <c r="G3061" s="28">
        <v>399000.0</v>
      </c>
      <c r="H3061" s="28">
        <v>403.0</v>
      </c>
      <c r="I3061" s="28">
        <v>986.0</v>
      </c>
      <c r="J3061" s="28">
        <v>4992.0</v>
      </c>
      <c r="K3061" s="25" t="s">
        <v>28</v>
      </c>
      <c r="L3061" s="26">
        <v>4.0</v>
      </c>
      <c r="M3061" s="26">
        <v>2.0</v>
      </c>
      <c r="N3061" s="26">
        <v>0.0</v>
      </c>
      <c r="O3061" s="26">
        <v>0.0</v>
      </c>
      <c r="P3061" s="26">
        <v>990.0</v>
      </c>
      <c r="Q3061" s="35">
        <v>19.0</v>
      </c>
      <c r="R3061" s="32">
        <v>44581.0</v>
      </c>
      <c r="S3061" s="32">
        <v>42921.0</v>
      </c>
      <c r="T3061" s="29"/>
      <c r="U3061" s="33"/>
      <c r="V3061" s="1"/>
    </row>
    <row r="3062" ht="24.0" customHeight="1">
      <c r="A3062" s="1"/>
      <c r="B3062" s="24" t="str">
        <f>HYPERLINK("https://www.compass.com/listing/234-east-35th-street-unit-3-manhattan-ny-10016/1602213758983529145/view?agent_id=610d3f3370540700019b0833","234 E 35th St, Unit 3")</f>
        <v>234 E 35th St, Unit 3</v>
      </c>
      <c r="C3062" s="25" t="s">
        <v>365</v>
      </c>
      <c r="D3062" s="26" t="s">
        <v>23</v>
      </c>
      <c r="E3062" s="27" t="str">
        <f t="shared" ref="E3062:E3063" si="84">HYPERLINK("https://www.compass.com/building/234-e-35th-st-manhattan-ny-10016/281938813700333157/","234 E 35th St")</f>
        <v>234 E 35th St</v>
      </c>
      <c r="F3062" s="25" t="s">
        <v>72</v>
      </c>
      <c r="G3062" s="28">
        <v>600000.0</v>
      </c>
      <c r="H3062" s="29"/>
      <c r="I3062" s="28">
        <v>1751.0</v>
      </c>
      <c r="J3062" s="28">
        <v>0.0</v>
      </c>
      <c r="K3062" s="25" t="s">
        <v>25</v>
      </c>
      <c r="L3062" s="26">
        <v>5.0</v>
      </c>
      <c r="M3062" s="26">
        <v>2.0</v>
      </c>
      <c r="N3062" s="26">
        <v>1.0</v>
      </c>
      <c r="O3062" s="30"/>
      <c r="P3062" s="30"/>
      <c r="Q3062" s="35">
        <v>203.0</v>
      </c>
      <c r="R3062" s="32">
        <v>45667.0</v>
      </c>
      <c r="S3062" s="32">
        <v>45462.0</v>
      </c>
      <c r="T3062" s="29"/>
      <c r="U3062" s="33"/>
      <c r="V3062" s="1"/>
    </row>
    <row r="3063" ht="24.0" customHeight="1">
      <c r="A3063" s="1"/>
      <c r="B3063" s="24" t="str">
        <f>HYPERLINK("https://www.compass.com/listing/234-east-35th-street-unit-3r-manhattan-ny-10016/1753027090113254649/view?agent_id=610d3f3370540700019b0833","234 E 35th St, Unit 3R")</f>
        <v>234 E 35th St, Unit 3R</v>
      </c>
      <c r="C3063" s="25" t="s">
        <v>365</v>
      </c>
      <c r="D3063" s="26" t="s">
        <v>23</v>
      </c>
      <c r="E3063" s="27" t="str">
        <f t="shared" si="84"/>
        <v>234 E 35th St</v>
      </c>
      <c r="F3063" s="25" t="s">
        <v>72</v>
      </c>
      <c r="G3063" s="28">
        <v>550000.0</v>
      </c>
      <c r="H3063" s="29"/>
      <c r="I3063" s="28">
        <v>1751.0</v>
      </c>
      <c r="J3063" s="28">
        <v>0.0</v>
      </c>
      <c r="K3063" s="25" t="s">
        <v>25</v>
      </c>
      <c r="L3063" s="26">
        <v>5.0</v>
      </c>
      <c r="M3063" s="26">
        <v>2.0</v>
      </c>
      <c r="N3063" s="26">
        <v>1.0</v>
      </c>
      <c r="O3063" s="30"/>
      <c r="P3063" s="30"/>
      <c r="Q3063" s="35">
        <v>104.0</v>
      </c>
      <c r="R3063" s="32">
        <v>45775.0</v>
      </c>
      <c r="S3063" s="32">
        <v>45670.0</v>
      </c>
      <c r="T3063" s="29"/>
      <c r="U3063" s="33"/>
      <c r="V3063" s="1"/>
    </row>
    <row r="3064" ht="24.0" customHeight="1">
      <c r="A3064" s="1"/>
      <c r="B3064" s="24" t="str">
        <f>HYPERLINK("https://www.compass.com/listing/60-riverside-boulevard-unit-2402-manhattan-ny-10069/192569023307784353/view?agent_id=610d3f3370540700019b0833","60 Riverside Blvd, Unit 2402")</f>
        <v>60 Riverside Blvd, Unit 2402</v>
      </c>
      <c r="C3064" s="25" t="s">
        <v>370</v>
      </c>
      <c r="D3064" s="26" t="s">
        <v>23</v>
      </c>
      <c r="E3064" s="27" t="str">
        <f>HYPERLINK("https://www.compass.com/building/the-aldyn-manhattan-ny/282041489406578421/","The Aldyn")</f>
        <v>The Aldyn</v>
      </c>
      <c r="F3064" s="25" t="s">
        <v>29</v>
      </c>
      <c r="G3064" s="28">
        <v>3599000.0</v>
      </c>
      <c r="H3064" s="28">
        <v>2519.0</v>
      </c>
      <c r="I3064" s="28">
        <v>1659.0</v>
      </c>
      <c r="J3064" s="28">
        <v>3540.0</v>
      </c>
      <c r="K3064" s="25" t="s">
        <v>28</v>
      </c>
      <c r="L3064" s="26">
        <v>4.0</v>
      </c>
      <c r="M3064" s="26">
        <v>2.0</v>
      </c>
      <c r="N3064" s="26">
        <v>0.0</v>
      </c>
      <c r="O3064" s="26">
        <v>0.0</v>
      </c>
      <c r="P3064" s="34">
        <v>1429.0</v>
      </c>
      <c r="Q3064" s="35">
        <v>64.0</v>
      </c>
      <c r="R3064" s="32">
        <v>44581.0</v>
      </c>
      <c r="S3064" s="32">
        <v>41808.0</v>
      </c>
      <c r="T3064" s="29"/>
      <c r="U3064" s="33"/>
      <c r="V3064" s="1"/>
    </row>
    <row r="3065" ht="24.0" customHeight="1">
      <c r="A3065" s="1"/>
      <c r="B3065" s="24" t="str">
        <f>HYPERLINK("https://www.compass.com/listing/301-east-48th-street-unit-8g-manhattan-ny-10017/1384072603252489705/view?agent_id=610d3f3370540700019b0833","301 E 48th St, Unit 8G")</f>
        <v>301 E 48th St, Unit 8G</v>
      </c>
      <c r="C3065" s="25" t="s">
        <v>364</v>
      </c>
      <c r="D3065" s="26" t="s">
        <v>23</v>
      </c>
      <c r="E3065" s="27" t="str">
        <f>HYPERLINK("https://www.compass.com/building/marlo-towers-manhattan-ny/281942137543647125/","Marlo Towers")</f>
        <v>Marlo Towers</v>
      </c>
      <c r="F3065" s="25" t="s">
        <v>66</v>
      </c>
      <c r="G3065" s="28">
        <v>950000.0</v>
      </c>
      <c r="H3065" s="28">
        <v>973.0</v>
      </c>
      <c r="I3065" s="28">
        <v>1951.0</v>
      </c>
      <c r="J3065" s="28">
        <v>23412.0</v>
      </c>
      <c r="K3065" s="25" t="s">
        <v>25</v>
      </c>
      <c r="L3065" s="26">
        <v>6.0</v>
      </c>
      <c r="M3065" s="26">
        <v>2.0</v>
      </c>
      <c r="N3065" s="26">
        <v>1.0</v>
      </c>
      <c r="O3065" s="26">
        <v>0.0</v>
      </c>
      <c r="P3065" s="26">
        <v>976.0</v>
      </c>
      <c r="Q3065" s="35">
        <v>145.0</v>
      </c>
      <c r="R3065" s="32">
        <v>45311.0</v>
      </c>
      <c r="S3065" s="32">
        <v>45161.0</v>
      </c>
      <c r="T3065" s="29"/>
      <c r="U3065" s="33"/>
      <c r="V3065" s="1"/>
    </row>
    <row r="3066" ht="24.0" customHeight="1">
      <c r="A3066" s="1"/>
      <c r="B3066" s="24" t="str">
        <f>HYPERLINK("https://www.compass.com/listing/60-riverside-boulevard-unit-2402-manhattan-ny-10069/29397296990913745/view?agent_id=610d3f3370540700019b0833","60 Riverside Blvd, Unit 2402")</f>
        <v>60 Riverside Blvd, Unit 2402</v>
      </c>
      <c r="C3066" s="25" t="s">
        <v>364</v>
      </c>
      <c r="D3066" s="26" t="s">
        <v>23</v>
      </c>
      <c r="E3066" s="27" t="str">
        <f>HYPERLINK("https://www.compass.com/building/the-aldyn-manhattan-ny/282041489406578421/","The Aldyn")</f>
        <v>The Aldyn</v>
      </c>
      <c r="F3066" s="25" t="s">
        <v>29</v>
      </c>
      <c r="G3066" s="28">
        <v>3450000.0</v>
      </c>
      <c r="H3066" s="28">
        <v>2414.0</v>
      </c>
      <c r="I3066" s="28">
        <v>1542.0</v>
      </c>
      <c r="J3066" s="28">
        <v>3540.0</v>
      </c>
      <c r="K3066" s="25" t="s">
        <v>28</v>
      </c>
      <c r="L3066" s="26">
        <v>4.0</v>
      </c>
      <c r="M3066" s="26">
        <v>2.0</v>
      </c>
      <c r="N3066" s="26">
        <v>0.0</v>
      </c>
      <c r="O3066" s="26">
        <v>0.0</v>
      </c>
      <c r="P3066" s="34">
        <v>1429.0</v>
      </c>
      <c r="Q3066" s="35">
        <v>80.0</v>
      </c>
      <c r="R3066" s="32">
        <v>45636.0</v>
      </c>
      <c r="S3066" s="32">
        <v>42097.0</v>
      </c>
      <c r="T3066" s="29"/>
      <c r="U3066" s="33"/>
      <c r="V3066" s="1"/>
    </row>
    <row r="3067" ht="24.0" customHeight="1">
      <c r="A3067" s="1"/>
      <c r="B3067" s="24" t="str">
        <f>HYPERLINK("https://www.compass.com/listing/51-woodhull-street-unit-1b-brooklyn-ny-11231/192565871212877777/view?agent_id=610d3f3370540700019b0833","51 Woodhull St, Unit 1B")</f>
        <v>51 Woodhull St, Unit 1B</v>
      </c>
      <c r="C3067" s="25" t="s">
        <v>364</v>
      </c>
      <c r="D3067" s="26" t="s">
        <v>23</v>
      </c>
      <c r="E3067" s="27" t="str">
        <f>HYPERLINK("https://www.compass.com/building/51-woodhull-st-brooklyn-ny-11231/282507285723433909/","51 Woodhull St")</f>
        <v>51 Woodhull St</v>
      </c>
      <c r="F3067" s="25" t="s">
        <v>122</v>
      </c>
      <c r="G3067" s="28">
        <v>1150000.0</v>
      </c>
      <c r="H3067" s="29"/>
      <c r="I3067" s="28">
        <v>639.0</v>
      </c>
      <c r="J3067" s="28">
        <v>4200.0</v>
      </c>
      <c r="K3067" s="25" t="s">
        <v>28</v>
      </c>
      <c r="L3067" s="26">
        <v>4.0</v>
      </c>
      <c r="M3067" s="26">
        <v>2.0</v>
      </c>
      <c r="N3067" s="26">
        <v>0.0</v>
      </c>
      <c r="O3067" s="26">
        <v>0.0</v>
      </c>
      <c r="P3067" s="30"/>
      <c r="Q3067" s="35">
        <v>0.0</v>
      </c>
      <c r="R3067" s="32">
        <v>44581.0</v>
      </c>
      <c r="S3067" s="32">
        <v>41357.0</v>
      </c>
      <c r="T3067" s="29"/>
      <c r="U3067" s="33"/>
      <c r="V3067" s="1"/>
    </row>
    <row r="3068" ht="24.0" customHeight="1">
      <c r="A3068" s="1"/>
      <c r="B3068" s="24" t="str">
        <f>HYPERLINK("https://www.compass.com/listing/10-mitchell-place-unit-5b-manhattan-ny-10017/1263187506956956705/view?agent_id=610d3f3370540700019b0833","10 Mitchell Pl, Unit 5B")</f>
        <v>10 Mitchell Pl, Unit 5B</v>
      </c>
      <c r="C3068" s="25" t="s">
        <v>364</v>
      </c>
      <c r="D3068" s="26" t="s">
        <v>23</v>
      </c>
      <c r="E3068" s="27" t="str">
        <f>HYPERLINK("https://www.compass.com/building/stewart-hall-manhattan-ny/281941441859607973/","Stewart Hall")</f>
        <v>Stewart Hall</v>
      </c>
      <c r="F3068" s="25" t="s">
        <v>66</v>
      </c>
      <c r="G3068" s="28">
        <v>950000.0</v>
      </c>
      <c r="H3068" s="29"/>
      <c r="I3068" s="28">
        <v>2182.0</v>
      </c>
      <c r="J3068" s="28">
        <v>0.0</v>
      </c>
      <c r="K3068" s="25" t="s">
        <v>25</v>
      </c>
      <c r="L3068" s="26">
        <v>3.0</v>
      </c>
      <c r="M3068" s="26">
        <v>2.0</v>
      </c>
      <c r="N3068" s="26">
        <v>1.0</v>
      </c>
      <c r="O3068" s="26">
        <v>0.0</v>
      </c>
      <c r="P3068" s="30"/>
      <c r="Q3068" s="35">
        <v>187.0</v>
      </c>
      <c r="R3068" s="32">
        <v>45181.0</v>
      </c>
      <c r="S3068" s="32">
        <v>44994.0</v>
      </c>
      <c r="T3068" s="29"/>
      <c r="U3068" s="33"/>
      <c r="V3068" s="1"/>
    </row>
    <row r="3069" ht="24.0" customHeight="1">
      <c r="A3069" s="1"/>
      <c r="B3069" s="24" t="str">
        <f>HYPERLINK("https://www.compass.com/listing/155-east-38th-street-unit-18e-manhattan-ny-10016/1551716149215268009/view?agent_id=610d3f3370540700019b0833","155 E 38th St, Unit 18E")</f>
        <v>155 E 38th St, Unit 18E</v>
      </c>
      <c r="C3069" s="25" t="s">
        <v>364</v>
      </c>
      <c r="D3069" s="26" t="s">
        <v>23</v>
      </c>
      <c r="E3069" s="27" t="str">
        <f>HYPERLINK("https://www.compass.com/building/155-e-38th-st-manhattan-ny-10016/281937774804783573/","155 E 38th St")</f>
        <v>155 E 38th St</v>
      </c>
      <c r="F3069" s="25" t="s">
        <v>72</v>
      </c>
      <c r="G3069" s="28">
        <v>1300000.0</v>
      </c>
      <c r="H3069" s="28">
        <v>1235.0</v>
      </c>
      <c r="I3069" s="28">
        <v>2438.0</v>
      </c>
      <c r="J3069" s="28">
        <v>14853.0</v>
      </c>
      <c r="K3069" s="25" t="s">
        <v>28</v>
      </c>
      <c r="L3069" s="26">
        <v>4.0</v>
      </c>
      <c r="M3069" s="26">
        <v>2.0</v>
      </c>
      <c r="N3069" s="26">
        <v>1.0</v>
      </c>
      <c r="O3069" s="30"/>
      <c r="P3069" s="34">
        <v>1053.0</v>
      </c>
      <c r="Q3069" s="35">
        <v>89.0</v>
      </c>
      <c r="R3069" s="32">
        <v>45546.0</v>
      </c>
      <c r="S3069" s="32">
        <v>45392.0</v>
      </c>
      <c r="T3069" s="29"/>
      <c r="U3069" s="33"/>
      <c r="V3069" s="1"/>
    </row>
    <row r="3070" ht="24.0" customHeight="1">
      <c r="A3070" s="1"/>
      <c r="B3070" s="24" t="str">
        <f>HYPERLINK("https://www.compass.com/listing/235-east-49th-street-unit-1b-manhattan-ny-10017/278113272924745521/view?agent_id=610d3f3370540700019b0833","235 E 49th St, Unit 1B")</f>
        <v>235 E 49th St, Unit 1B</v>
      </c>
      <c r="C3070" s="25" t="s">
        <v>364</v>
      </c>
      <c r="D3070" s="26" t="s">
        <v>23</v>
      </c>
      <c r="E3070" s="27" t="str">
        <f>HYPERLINK("https://www.compass.com/building/235-e-49th-st-manhattan-ny-10017/307432582337550005/","235 E 49th St")</f>
        <v>235 E 49th St</v>
      </c>
      <c r="F3070" s="25" t="s">
        <v>66</v>
      </c>
      <c r="G3070" s="28">
        <v>850000.0</v>
      </c>
      <c r="H3070" s="29"/>
      <c r="I3070" s="28">
        <v>2267.0</v>
      </c>
      <c r="J3070" s="28">
        <v>27204.0</v>
      </c>
      <c r="K3070" s="25" t="s">
        <v>25</v>
      </c>
      <c r="L3070" s="26">
        <v>1.0</v>
      </c>
      <c r="M3070" s="26">
        <v>2.0</v>
      </c>
      <c r="N3070" s="26">
        <v>1.0</v>
      </c>
      <c r="O3070" s="30"/>
      <c r="P3070" s="30"/>
      <c r="Q3070" s="35">
        <v>252.0</v>
      </c>
      <c r="R3070" s="32">
        <v>43894.0</v>
      </c>
      <c r="S3070" s="32">
        <v>43642.0</v>
      </c>
      <c r="T3070" s="29"/>
      <c r="U3070" s="33"/>
      <c r="V3070" s="1"/>
    </row>
    <row r="3071" ht="24.0" customHeight="1">
      <c r="A3071" s="1"/>
      <c r="B3071" s="24" t="str">
        <f>HYPERLINK("https://www.compass.com/listing/120-riverside-boulevard-unit-ph4c-manhattan-ny-10069/29396724325877537/view?agent_id=610d3f3370540700019b0833","120 Riverside Blvd, Unit PH4C")</f>
        <v>120 Riverside Blvd, Unit PH4C</v>
      </c>
      <c r="C3071" s="25" t="s">
        <v>370</v>
      </c>
      <c r="D3071" s="26" t="s">
        <v>23</v>
      </c>
      <c r="E3071" s="27" t="str">
        <f>HYPERLINK("https://www.compass.com/building/120-riverside-boulevard-manhattan-ny/282041214813886453/","120 Riverside Boulevard")</f>
        <v>120 Riverside Boulevard</v>
      </c>
      <c r="F3071" s="25" t="s">
        <v>29</v>
      </c>
      <c r="G3071" s="28">
        <v>2395000.0</v>
      </c>
      <c r="H3071" s="28">
        <v>1913.0</v>
      </c>
      <c r="I3071" s="28">
        <v>2770.0</v>
      </c>
      <c r="J3071" s="28">
        <v>14388.0</v>
      </c>
      <c r="K3071" s="25" t="s">
        <v>28</v>
      </c>
      <c r="L3071" s="26">
        <v>4.0</v>
      </c>
      <c r="M3071" s="26">
        <v>2.0</v>
      </c>
      <c r="N3071" s="26">
        <v>0.0</v>
      </c>
      <c r="O3071" s="26">
        <v>0.0</v>
      </c>
      <c r="P3071" s="34">
        <v>1252.0</v>
      </c>
      <c r="Q3071" s="35">
        <v>117.0</v>
      </c>
      <c r="R3071" s="32">
        <v>45636.0</v>
      </c>
      <c r="S3071" s="32">
        <v>42488.0</v>
      </c>
      <c r="T3071" s="29"/>
      <c r="U3071" s="33"/>
      <c r="V3071" s="1"/>
    </row>
    <row r="3072" ht="24.0" customHeight="1">
      <c r="A3072" s="1"/>
      <c r="B3072" s="24" t="str">
        <f>HYPERLINK("https://www.compass.com/listing/2-east-55th-street-unit-1030-manhattan-ny-10022/1838980769926436921/view?agent_id=610d3f3370540700019b0833","2 E 55th St, Unit 1030")</f>
        <v>2 E 55th St, Unit 1030</v>
      </c>
      <c r="C3072" s="25" t="s">
        <v>364</v>
      </c>
      <c r="D3072" s="26" t="s">
        <v>23</v>
      </c>
      <c r="E3072" s="27" t="str">
        <f t="shared" ref="E3072:E3074" si="85">HYPERLINK("https://www.compass.com/building/the-st-regis-hotel-manhattan-ny/281952835258615365/","The St. Regis Hotel")</f>
        <v>The St. Regis Hotel</v>
      </c>
      <c r="F3072" s="25" t="s">
        <v>66</v>
      </c>
      <c r="G3072" s="28">
        <v>349000.0</v>
      </c>
      <c r="H3072" s="28">
        <v>276.0</v>
      </c>
      <c r="I3072" s="28">
        <v>2090.0</v>
      </c>
      <c r="J3072" s="28">
        <v>5508.0</v>
      </c>
      <c r="K3072" s="25" t="s">
        <v>28</v>
      </c>
      <c r="L3072" s="26">
        <v>4.0</v>
      </c>
      <c r="M3072" s="26">
        <v>2.0</v>
      </c>
      <c r="N3072" s="26">
        <v>0.0</v>
      </c>
      <c r="O3072" s="26">
        <v>0.0</v>
      </c>
      <c r="P3072" s="34">
        <v>1263.0</v>
      </c>
      <c r="Q3072" s="35">
        <v>1693.0</v>
      </c>
      <c r="R3072" s="32">
        <v>44581.0</v>
      </c>
      <c r="S3072" s="32">
        <v>41243.0</v>
      </c>
      <c r="T3072" s="29"/>
      <c r="U3072" s="33"/>
      <c r="V3072" s="1"/>
    </row>
    <row r="3073" ht="24.0" customHeight="1">
      <c r="A3073" s="1"/>
      <c r="B3073" s="24" t="str">
        <f>HYPERLINK("https://www.compass.com/listing/2-east-55th-street-unit-1136-30-manhattan-ny-10022/803391142212881113/view?agent_id=610d3f3370540700019b0833","2 E 55th St, Unit 1136/30")</f>
        <v>2 E 55th St, Unit 1136/30</v>
      </c>
      <c r="C3073" s="25" t="s">
        <v>364</v>
      </c>
      <c r="D3073" s="26" t="s">
        <v>23</v>
      </c>
      <c r="E3073" s="27" t="str">
        <f t="shared" si="85"/>
        <v>The St. Regis Hotel</v>
      </c>
      <c r="F3073" s="25" t="s">
        <v>66</v>
      </c>
      <c r="G3073" s="28">
        <v>349000.0</v>
      </c>
      <c r="H3073" s="29"/>
      <c r="I3073" s="28">
        <v>1985.0</v>
      </c>
      <c r="J3073" s="28">
        <v>3900.0</v>
      </c>
      <c r="K3073" s="25" t="s">
        <v>28</v>
      </c>
      <c r="L3073" s="26">
        <v>4.0</v>
      </c>
      <c r="M3073" s="26">
        <v>2.0</v>
      </c>
      <c r="N3073" s="26">
        <v>0.0</v>
      </c>
      <c r="O3073" s="26">
        <v>0.0</v>
      </c>
      <c r="P3073" s="30"/>
      <c r="Q3073" s="35">
        <v>798.0</v>
      </c>
      <c r="R3073" s="32">
        <v>44581.0</v>
      </c>
      <c r="S3073" s="32">
        <v>42080.0</v>
      </c>
      <c r="T3073" s="29"/>
      <c r="U3073" s="33"/>
      <c r="V3073" s="1"/>
    </row>
    <row r="3074" ht="24.0" customHeight="1">
      <c r="A3074" s="1"/>
      <c r="B3074" s="24" t="str">
        <f>HYPERLINK("https://www.compass.com/listing/2-east-55th-street-unit-1030-manhattan-ny-10022/826837328729665257/view?agent_id=610d3f3370540700019b0833","2 E 55th St, Unit 1030")</f>
        <v>2 E 55th St, Unit 1030</v>
      </c>
      <c r="C3074" s="25" t="s">
        <v>364</v>
      </c>
      <c r="D3074" s="26" t="s">
        <v>23</v>
      </c>
      <c r="E3074" s="27" t="str">
        <f t="shared" si="85"/>
        <v>The St. Regis Hotel</v>
      </c>
      <c r="F3074" s="25" t="s">
        <v>66</v>
      </c>
      <c r="G3074" s="28">
        <v>299000.0</v>
      </c>
      <c r="H3074" s="28">
        <v>205.0</v>
      </c>
      <c r="I3074" s="28">
        <v>2090.0</v>
      </c>
      <c r="J3074" s="28">
        <v>5508.0</v>
      </c>
      <c r="K3074" s="25" t="s">
        <v>28</v>
      </c>
      <c r="L3074" s="26">
        <v>4.0</v>
      </c>
      <c r="M3074" s="26">
        <v>2.0</v>
      </c>
      <c r="N3074" s="26">
        <v>0.0</v>
      </c>
      <c r="O3074" s="26">
        <v>0.0</v>
      </c>
      <c r="P3074" s="34">
        <v>1455.0</v>
      </c>
      <c r="Q3074" s="35">
        <v>359.0</v>
      </c>
      <c r="R3074" s="32">
        <v>44581.0</v>
      </c>
      <c r="S3074" s="32">
        <v>41282.0</v>
      </c>
      <c r="T3074" s="29"/>
      <c r="U3074" s="33"/>
      <c r="V3074" s="1"/>
    </row>
    <row r="3075" ht="24.0" customHeight="1">
      <c r="A3075" s="1"/>
      <c r="B3075" s="24" t="str">
        <f>HYPERLINK("https://www.compass.com/listing/16-east-98th-street-unit-7a-manhattan-ny-10029/29427257558725185/view?agent_id=610d3f3370540700019b0833","16 E 98th St, Unit 7A")</f>
        <v>16 E 98th St, Unit 7A</v>
      </c>
      <c r="C3075" s="25" t="s">
        <v>370</v>
      </c>
      <c r="D3075" s="26" t="s">
        <v>23</v>
      </c>
      <c r="E3075" s="27" t="str">
        <f>HYPERLINK("https://www.compass.com/building/16-e-98th-st-manhattan-ny-10029/281989087215332613/","16 E 98th St")</f>
        <v>16 E 98th St</v>
      </c>
      <c r="F3075" s="25" t="s">
        <v>44</v>
      </c>
      <c r="G3075" s="28">
        <v>760000.0</v>
      </c>
      <c r="H3075" s="29"/>
      <c r="I3075" s="28">
        <v>1666.0</v>
      </c>
      <c r="J3075" s="29"/>
      <c r="K3075" s="25" t="s">
        <v>25</v>
      </c>
      <c r="L3075" s="26">
        <v>4.0</v>
      </c>
      <c r="M3075" s="26">
        <v>2.0</v>
      </c>
      <c r="N3075" s="26">
        <v>0.0</v>
      </c>
      <c r="O3075" s="26">
        <v>0.0</v>
      </c>
      <c r="P3075" s="30"/>
      <c r="Q3075" s="35">
        <v>0.0</v>
      </c>
      <c r="R3075" s="32">
        <v>44581.0</v>
      </c>
      <c r="S3075" s="32">
        <v>41508.0</v>
      </c>
      <c r="T3075" s="29"/>
      <c r="U3075" s="33"/>
      <c r="V3075" s="1"/>
    </row>
    <row r="3076" ht="24.0" customHeight="1">
      <c r="A3076" s="1"/>
      <c r="B3076" s="24" t="str">
        <f>HYPERLINK("https://www.compass.com/listing/400-5th-avenue-unit-34c-manhattan-ny-10018/50861351702232049/view?agent_id=610d3f3370540700019b0833","400 5th Ave, Unit 34C")</f>
        <v>400 5th Ave, Unit 34C</v>
      </c>
      <c r="C3076" s="25" t="s">
        <v>370</v>
      </c>
      <c r="D3076" s="26" t="s">
        <v>23</v>
      </c>
      <c r="E3076" s="27" t="str">
        <f>HYPERLINK("https://www.compass.com/building/the-residences-at-400-fifth-avenue-manhattan-ny/281943164351210741/","The Residences at 400 Fifth Avenue")</f>
        <v>The Residences at 400 Fifth Avenue</v>
      </c>
      <c r="F3076" s="25" t="s">
        <v>389</v>
      </c>
      <c r="G3076" s="28">
        <v>2788000.0</v>
      </c>
      <c r="H3076" s="28">
        <v>2387.0</v>
      </c>
      <c r="I3076" s="28">
        <v>2746.0</v>
      </c>
      <c r="J3076" s="28">
        <v>11352.0</v>
      </c>
      <c r="K3076" s="25" t="s">
        <v>28</v>
      </c>
      <c r="L3076" s="26">
        <v>5.0</v>
      </c>
      <c r="M3076" s="26">
        <v>2.0</v>
      </c>
      <c r="N3076" s="26">
        <v>0.0</v>
      </c>
      <c r="O3076" s="26">
        <v>0.0</v>
      </c>
      <c r="P3076" s="34">
        <v>1168.0</v>
      </c>
      <c r="Q3076" s="35">
        <v>186.0</v>
      </c>
      <c r="R3076" s="32">
        <v>45636.0</v>
      </c>
      <c r="S3076" s="32">
        <v>42279.0</v>
      </c>
      <c r="T3076" s="29"/>
      <c r="U3076" s="33"/>
      <c r="V3076" s="1"/>
    </row>
    <row r="3077" ht="24.0" customHeight="1">
      <c r="A3077" s="1"/>
      <c r="B3077" s="24" t="str">
        <f>HYPERLINK("https://www.compass.com/listing/2-east-55th-street-unit-1035-manhattan-ny-10022/1838986871313751737/view?agent_id=610d3f3370540700019b0833","2 E 55th St, Unit 1035")</f>
        <v>2 E 55th St, Unit 1035</v>
      </c>
      <c r="C3077" s="25" t="s">
        <v>364</v>
      </c>
      <c r="D3077" s="26" t="s">
        <v>23</v>
      </c>
      <c r="E3077" s="27" t="str">
        <f>HYPERLINK("https://www.compass.com/building/the-st-regis-hotel-manhattan-ny/281952835258615365/","The St. Regis Hotel")</f>
        <v>The St. Regis Hotel</v>
      </c>
      <c r="F3077" s="25" t="s">
        <v>66</v>
      </c>
      <c r="G3077" s="28">
        <v>299000.0</v>
      </c>
      <c r="H3077" s="28">
        <v>237.0</v>
      </c>
      <c r="I3077" s="28">
        <v>2484.0</v>
      </c>
      <c r="J3077" s="28">
        <v>4416.0</v>
      </c>
      <c r="K3077" s="25" t="s">
        <v>28</v>
      </c>
      <c r="L3077" s="26">
        <v>4.0</v>
      </c>
      <c r="M3077" s="26">
        <v>2.0</v>
      </c>
      <c r="N3077" s="26">
        <v>0.0</v>
      </c>
      <c r="O3077" s="26">
        <v>0.0</v>
      </c>
      <c r="P3077" s="34">
        <v>1262.0</v>
      </c>
      <c r="Q3077" s="35">
        <v>178.0</v>
      </c>
      <c r="R3077" s="32">
        <v>44581.0</v>
      </c>
      <c r="S3077" s="32">
        <v>42993.0</v>
      </c>
      <c r="T3077" s="29"/>
      <c r="U3077" s="33"/>
      <c r="V3077" s="1"/>
    </row>
    <row r="3078" ht="24.0" customHeight="1">
      <c r="A3078" s="1"/>
      <c r="B3078" s="24" t="str">
        <f>HYPERLINK("https://www.compass.com/listing/146-east-49th-street-unit-3b-manhattan-ny-10017/1329720112217195145/view?agent_id=610d3f3370540700019b0833","146 E 49th St, Unit 3B")</f>
        <v>146 E 49th St, Unit 3B</v>
      </c>
      <c r="C3078" s="25" t="s">
        <v>364</v>
      </c>
      <c r="D3078" s="26" t="s">
        <v>23</v>
      </c>
      <c r="E3078" s="27" t="str">
        <f>HYPERLINK("https://www.compass.com/building/146-e-49th-st-manhattan-ny-10017/281941587318070757/","146 E 49th St")</f>
        <v>146 E 49th St</v>
      </c>
      <c r="F3078" s="25" t="s">
        <v>66</v>
      </c>
      <c r="G3078" s="28">
        <v>850000.0</v>
      </c>
      <c r="H3078" s="29"/>
      <c r="I3078" s="28">
        <v>2233.0</v>
      </c>
      <c r="J3078" s="28">
        <v>0.0</v>
      </c>
      <c r="K3078" s="25" t="s">
        <v>25</v>
      </c>
      <c r="L3078" s="26">
        <v>4.0</v>
      </c>
      <c r="M3078" s="26">
        <v>2.0</v>
      </c>
      <c r="N3078" s="26">
        <v>1.0</v>
      </c>
      <c r="O3078" s="26">
        <v>0.0</v>
      </c>
      <c r="P3078" s="30"/>
      <c r="Q3078" s="35">
        <v>33.0</v>
      </c>
      <c r="R3078" s="32">
        <v>45119.0</v>
      </c>
      <c r="S3078" s="32">
        <v>45086.0</v>
      </c>
      <c r="T3078" s="29"/>
      <c r="U3078" s="33"/>
      <c r="V3078" s="1"/>
    </row>
    <row r="3079" ht="24.0" customHeight="1">
      <c r="A3079" s="1"/>
      <c r="B3079" s="24" t="str">
        <f>HYPERLINK("https://www.compass.com/listing/324-east-50th-street-unit-6b-manhattan-ny-10017/542534139873187457/view?agent_id=610d3f3370540700019b0833","324 E 50th St, Unit 6B")</f>
        <v>324 E 50th St, Unit 6B</v>
      </c>
      <c r="C3079" s="25" t="s">
        <v>364</v>
      </c>
      <c r="D3079" s="26" t="s">
        <v>23</v>
      </c>
      <c r="E3079" s="27" t="str">
        <f>HYPERLINK("https://www.compass.com/building/324-e-50th-st-manhattan-ny-10017/567561965369147789/","324 E 50th St")</f>
        <v>324 E 50th St</v>
      </c>
      <c r="F3079" s="25" t="s">
        <v>66</v>
      </c>
      <c r="G3079" s="28">
        <v>525000.0</v>
      </c>
      <c r="H3079" s="29"/>
      <c r="I3079" s="28">
        <v>804.0</v>
      </c>
      <c r="J3079" s="29"/>
      <c r="K3079" s="25" t="s">
        <v>25</v>
      </c>
      <c r="L3079" s="26">
        <v>4.0</v>
      </c>
      <c r="M3079" s="26">
        <v>2.0</v>
      </c>
      <c r="N3079" s="26">
        <v>1.0</v>
      </c>
      <c r="O3079" s="26">
        <v>0.0</v>
      </c>
      <c r="P3079" s="30"/>
      <c r="Q3079" s="35">
        <v>0.0</v>
      </c>
      <c r="R3079" s="32">
        <v>44581.0</v>
      </c>
      <c r="S3079" s="32">
        <v>43998.0</v>
      </c>
      <c r="T3079" s="29"/>
      <c r="U3079" s="33"/>
      <c r="V3079" s="1"/>
    </row>
    <row r="3080" ht="24.0" customHeight="1">
      <c r="A3080" s="1"/>
      <c r="B3080" s="24" t="str">
        <f>HYPERLINK("https://www.compass.com/listing/3-west-122nd-street-unit-4a-manhattan-ny-10027/4852278504374410609/view?agent_id=610d3f3370540700019b0833","3 W 122nd St, Unit 4A")</f>
        <v>3 W 122nd St, Unit 4A</v>
      </c>
      <c r="C3080" s="25" t="s">
        <v>364</v>
      </c>
      <c r="D3080" s="26" t="s">
        <v>23</v>
      </c>
      <c r="E3080" s="27" t="str">
        <f>HYPERLINK("https://www.compass.com/building/the-palm-tree-condominiums-manhattan-ny/281981424750397589/","The Palm Tree Condominiums")</f>
        <v>The Palm Tree Condominiums</v>
      </c>
      <c r="F3080" s="25" t="s">
        <v>45</v>
      </c>
      <c r="G3080" s="28">
        <v>749000.0</v>
      </c>
      <c r="H3080" s="28">
        <v>936.0</v>
      </c>
      <c r="I3080" s="28">
        <v>1035.0</v>
      </c>
      <c r="J3080" s="28">
        <v>3000.0</v>
      </c>
      <c r="K3080" s="25" t="s">
        <v>28</v>
      </c>
      <c r="L3080" s="26">
        <v>4.0</v>
      </c>
      <c r="M3080" s="26">
        <v>2.0</v>
      </c>
      <c r="N3080" s="26">
        <v>1.0</v>
      </c>
      <c r="O3080" s="26">
        <v>0.0</v>
      </c>
      <c r="P3080" s="26">
        <v>800.0</v>
      </c>
      <c r="Q3080" s="35">
        <v>69.0</v>
      </c>
      <c r="R3080" s="32">
        <v>44581.0</v>
      </c>
      <c r="S3080" s="32">
        <v>42664.0</v>
      </c>
      <c r="T3080" s="29"/>
      <c r="U3080" s="33"/>
      <c r="V3080" s="1"/>
    </row>
    <row r="3081" ht="24.0" customHeight="1">
      <c r="A3081" s="1"/>
      <c r="B3081" s="24" t="str">
        <f>HYPERLINK("https://www.compass.com/listing/309-east-49th-street-unit-8e-manhattan-ny-10017/1838917159229774209/view?agent_id=610d3f3370540700019b0833","309 E 49th St, Unit 8E")</f>
        <v>309 E 49th St, Unit 8E</v>
      </c>
      <c r="C3081" s="25" t="s">
        <v>364</v>
      </c>
      <c r="D3081" s="26" t="s">
        <v>23</v>
      </c>
      <c r="E3081" s="27" t="str">
        <f>HYPERLINK("https://www.compass.com/building/309-e-49th-st-manhattan-ny-10017/307434401717527669/","309 E 49th St")</f>
        <v>309 E 49th St</v>
      </c>
      <c r="F3081" s="25" t="s">
        <v>66</v>
      </c>
      <c r="G3081" s="28">
        <v>1550000.0</v>
      </c>
      <c r="H3081" s="28">
        <v>1343.0</v>
      </c>
      <c r="I3081" s="28">
        <v>2848.0</v>
      </c>
      <c r="J3081" s="28">
        <v>15996.0</v>
      </c>
      <c r="K3081" s="25" t="s">
        <v>28</v>
      </c>
      <c r="L3081" s="26">
        <v>5.0</v>
      </c>
      <c r="M3081" s="26">
        <v>2.0</v>
      </c>
      <c r="N3081" s="26">
        <v>0.0</v>
      </c>
      <c r="O3081" s="26">
        <v>0.0</v>
      </c>
      <c r="P3081" s="34">
        <v>1154.0</v>
      </c>
      <c r="Q3081" s="35">
        <v>123.0</v>
      </c>
      <c r="R3081" s="32">
        <v>45636.0</v>
      </c>
      <c r="S3081" s="32">
        <v>43049.0</v>
      </c>
      <c r="T3081" s="29"/>
      <c r="U3081" s="33"/>
      <c r="V3081" s="1"/>
    </row>
    <row r="3082" ht="24.0" customHeight="1">
      <c r="A3082" s="1"/>
      <c r="B3082" s="24" t="str">
        <f>HYPERLINK("https://www.compass.com/listing/244-madison-avenue-unit-10a-manhattan-ny-10016/266392336274073553/view?agent_id=610d3f3370540700019b0833","244 Madison Ave, Unit 10A")</f>
        <v>244 Madison Ave, Unit 10A</v>
      </c>
      <c r="C3082" s="25" t="s">
        <v>364</v>
      </c>
      <c r="D3082" s="26" t="s">
        <v>23</v>
      </c>
      <c r="E3082" s="27" t="str">
        <f>HYPERLINK("https://www.compass.com/building/murray-hill-plaza-manhattan-ny/292839552987493381/","Murray Hill Plaza")</f>
        <v>Murray Hill Plaza</v>
      </c>
      <c r="F3082" s="25" t="s">
        <v>72</v>
      </c>
      <c r="G3082" s="28">
        <v>795000.0</v>
      </c>
      <c r="H3082" s="29"/>
      <c r="I3082" s="28">
        <v>1928.0</v>
      </c>
      <c r="J3082" s="28">
        <v>0.0</v>
      </c>
      <c r="K3082" s="25" t="s">
        <v>25</v>
      </c>
      <c r="L3082" s="26">
        <v>4.0</v>
      </c>
      <c r="M3082" s="26">
        <v>2.0</v>
      </c>
      <c r="N3082" s="26">
        <v>1.0</v>
      </c>
      <c r="O3082" s="26">
        <v>0.0</v>
      </c>
      <c r="P3082" s="30"/>
      <c r="Q3082" s="35">
        <v>17.0</v>
      </c>
      <c r="R3082" s="32">
        <v>43672.0</v>
      </c>
      <c r="S3082" s="32">
        <v>43655.0</v>
      </c>
      <c r="T3082" s="29"/>
      <c r="U3082" s="33"/>
      <c r="V3082" s="1"/>
    </row>
    <row r="3083" ht="24.0" customHeight="1">
      <c r="A3083" s="1"/>
      <c r="B3083" s="24" t="str">
        <f>HYPERLINK("https://www.compass.com/listing/55-park-avenue-unit-9e-manhattan-ny-10016/923623408390492385/view?agent_id=610d3f3370540700019b0833","55 Park Ave, Unit 9E")</f>
        <v>55 Park Ave, Unit 9E</v>
      </c>
      <c r="C3083" s="25" t="s">
        <v>364</v>
      </c>
      <c r="D3083" s="26" t="s">
        <v>23</v>
      </c>
      <c r="E3083" s="27" t="str">
        <f>HYPERLINK("https://www.compass.com/building/55-park-ave-manhattan-ny-10016/281922918319952533/","55 Park Ave")</f>
        <v>55 Park Ave</v>
      </c>
      <c r="F3083" s="25" t="s">
        <v>72</v>
      </c>
      <c r="G3083" s="28">
        <v>995000.0</v>
      </c>
      <c r="H3083" s="29"/>
      <c r="I3083" s="28">
        <v>3150.0</v>
      </c>
      <c r="J3083" s="29"/>
      <c r="K3083" s="25" t="s">
        <v>25</v>
      </c>
      <c r="L3083" s="26">
        <v>5.0</v>
      </c>
      <c r="M3083" s="26">
        <v>2.0</v>
      </c>
      <c r="N3083" s="26">
        <v>1.0</v>
      </c>
      <c r="O3083" s="26">
        <v>0.0</v>
      </c>
      <c r="P3083" s="30"/>
      <c r="Q3083" s="35">
        <v>95.0</v>
      </c>
      <c r="R3083" s="32">
        <v>45636.0</v>
      </c>
      <c r="S3083" s="32">
        <v>43558.0</v>
      </c>
      <c r="T3083" s="29"/>
      <c r="U3083" s="33"/>
      <c r="V3083" s="1"/>
    </row>
    <row r="3084" ht="24.0" customHeight="1">
      <c r="A3084" s="1"/>
      <c r="B3084" s="24" t="str">
        <f>HYPERLINK("https://www.compass.com/listing/242-east-38th-street-unit-6c-manhattan-ny-10016/778990131552537241/view?agent_id=610d3f3370540700019b0833","242 E 38th St, Unit 6C")</f>
        <v>242 E 38th St, Unit 6C</v>
      </c>
      <c r="C3084" s="25" t="s">
        <v>365</v>
      </c>
      <c r="D3084" s="26" t="s">
        <v>23</v>
      </c>
      <c r="E3084" s="27" t="str">
        <f>HYPERLINK("https://www.compass.com/building/242-e-38th-st-manhattan-ny-10016/292842145587460069/","242 E 38th St")</f>
        <v>242 E 38th St</v>
      </c>
      <c r="F3084" s="25" t="s">
        <v>72</v>
      </c>
      <c r="G3084" s="28">
        <v>750000.0</v>
      </c>
      <c r="H3084" s="29"/>
      <c r="I3084" s="28">
        <v>1649.0</v>
      </c>
      <c r="J3084" s="28">
        <v>0.0</v>
      </c>
      <c r="K3084" s="25" t="s">
        <v>25</v>
      </c>
      <c r="L3084" s="26">
        <v>4.0</v>
      </c>
      <c r="M3084" s="26">
        <v>2.0</v>
      </c>
      <c r="N3084" s="26">
        <v>1.0</v>
      </c>
      <c r="O3084" s="30"/>
      <c r="P3084" s="30"/>
      <c r="Q3084" s="35">
        <v>149.0</v>
      </c>
      <c r="R3084" s="32">
        <v>44476.0</v>
      </c>
      <c r="S3084" s="32">
        <v>44326.0</v>
      </c>
      <c r="T3084" s="29"/>
      <c r="U3084" s="33"/>
      <c r="V3084" s="1"/>
    </row>
    <row r="3085" ht="24.0" customHeight="1">
      <c r="A3085" s="1"/>
      <c r="B3085" s="24" t="str">
        <f>HYPERLINK("https://www.compass.com/listing/244-madison-avenue-unit-5h-manhattan-ny-10016/1612521152916822257/view?agent_id=610d3f3370540700019b0833","244 Madison Ave, Unit 5H")</f>
        <v>244 Madison Ave, Unit 5H</v>
      </c>
      <c r="C3085" s="25" t="s">
        <v>364</v>
      </c>
      <c r="D3085" s="26" t="s">
        <v>23</v>
      </c>
      <c r="E3085" s="27" t="str">
        <f>HYPERLINK("https://www.compass.com/building/murray-hill-plaza-manhattan-ny/292839552987493381/","Murray Hill Plaza")</f>
        <v>Murray Hill Plaza</v>
      </c>
      <c r="F3085" s="25" t="s">
        <v>72</v>
      </c>
      <c r="G3085" s="28">
        <v>849000.0</v>
      </c>
      <c r="H3085" s="28">
        <v>849.0</v>
      </c>
      <c r="I3085" s="28">
        <v>2917.0</v>
      </c>
      <c r="J3085" s="28">
        <v>0.0</v>
      </c>
      <c r="K3085" s="25" t="s">
        <v>25</v>
      </c>
      <c r="L3085" s="26">
        <v>3.0</v>
      </c>
      <c r="M3085" s="26">
        <v>2.0</v>
      </c>
      <c r="N3085" s="26">
        <v>1.0</v>
      </c>
      <c r="O3085" s="30"/>
      <c r="P3085" s="34">
        <v>1000.0</v>
      </c>
      <c r="Q3085" s="35">
        <v>106.0</v>
      </c>
      <c r="R3085" s="32">
        <v>45583.0</v>
      </c>
      <c r="S3085" s="32">
        <v>45476.0</v>
      </c>
      <c r="T3085" s="29"/>
      <c r="U3085" s="33"/>
      <c r="V3085" s="1"/>
    </row>
    <row r="3086" ht="24.0" customHeight="1">
      <c r="A3086" s="1"/>
      <c r="B3086" s="24" t="str">
        <f>HYPERLINK("https://www.compass.com/listing/252-west-123rd-street-unit-2-manhattan-ny-10027/29432550820777201/view?agent_id=610d3f3370540700019b0833","252 W 123rd St, Unit 2")</f>
        <v>252 W 123rd St, Unit 2</v>
      </c>
      <c r="C3086" s="25" t="s">
        <v>364</v>
      </c>
      <c r="D3086" s="26" t="s">
        <v>23</v>
      </c>
      <c r="E3086" s="27" t="str">
        <f>HYPERLINK("https://www.compass.com/building/dover-condominiums-manhattan-ny/281980971857839205/","Dover Condominiums")</f>
        <v>Dover Condominiums</v>
      </c>
      <c r="F3086" s="25" t="s">
        <v>45</v>
      </c>
      <c r="G3086" s="28">
        <v>1000.0</v>
      </c>
      <c r="H3086" s="28">
        <v>1.0</v>
      </c>
      <c r="I3086" s="28">
        <v>621.0</v>
      </c>
      <c r="J3086" s="28">
        <v>507.0</v>
      </c>
      <c r="K3086" s="25" t="s">
        <v>28</v>
      </c>
      <c r="L3086" s="26">
        <v>6.0</v>
      </c>
      <c r="M3086" s="26">
        <v>2.0</v>
      </c>
      <c r="N3086" s="30"/>
      <c r="O3086" s="30"/>
      <c r="P3086" s="34">
        <v>1023.0</v>
      </c>
      <c r="Q3086" s="31"/>
      <c r="R3086" s="32">
        <v>43566.0</v>
      </c>
      <c r="S3086" s="33"/>
      <c r="T3086" s="29"/>
      <c r="U3086" s="33"/>
      <c r="V3086" s="1"/>
    </row>
    <row r="3087" ht="24.0" customHeight="1">
      <c r="A3087" s="1"/>
      <c r="B3087" s="24" t="str">
        <f>HYPERLINK("https://www.compass.com/listing/3-west-122nd-street-unit-2d-manhattan-ny-10027/1722496432706085961/view?agent_id=610d3f3370540700019b0833","3 W 122nd St, Unit 2D")</f>
        <v>3 W 122nd St, Unit 2D</v>
      </c>
      <c r="C3087" s="25" t="s">
        <v>364</v>
      </c>
      <c r="D3087" s="26" t="s">
        <v>23</v>
      </c>
      <c r="E3087" s="27" t="str">
        <f>HYPERLINK("https://www.compass.com/building/the-palm-tree-condominiums-manhattan-ny/281981424750397589/","The Palm Tree Condominiums")</f>
        <v>The Palm Tree Condominiums</v>
      </c>
      <c r="F3087" s="25" t="s">
        <v>45</v>
      </c>
      <c r="G3087" s="28">
        <v>650000.0</v>
      </c>
      <c r="H3087" s="28">
        <v>784.0</v>
      </c>
      <c r="I3087" s="28">
        <v>1429.0</v>
      </c>
      <c r="J3087" s="28">
        <v>3372.0</v>
      </c>
      <c r="K3087" s="25" t="s">
        <v>28</v>
      </c>
      <c r="L3087" s="26">
        <v>3.0</v>
      </c>
      <c r="M3087" s="26">
        <v>2.0</v>
      </c>
      <c r="N3087" s="26">
        <v>1.0</v>
      </c>
      <c r="O3087" s="30"/>
      <c r="P3087" s="26">
        <v>829.0</v>
      </c>
      <c r="Q3087" s="35">
        <v>124.0</v>
      </c>
      <c r="R3087" s="32">
        <v>45756.0</v>
      </c>
      <c r="S3087" s="32">
        <v>45631.0</v>
      </c>
      <c r="T3087" s="29"/>
      <c r="U3087" s="33"/>
      <c r="V3087" s="1"/>
    </row>
    <row r="3088" ht="24.0" customHeight="1">
      <c r="A3088" s="1"/>
      <c r="B3088" s="24" t="str">
        <f>HYPERLINK("https://www.compass.com/listing/303-east-37th-street-unit-1j-manhattan-ny-10016/34515567113177825/view?agent_id=610d3f3370540700019b0833","303 E 37th St, Unit 1J")</f>
        <v>303 E 37th St, Unit 1J</v>
      </c>
      <c r="C3088" s="25" t="s">
        <v>364</v>
      </c>
      <c r="D3088" s="26" t="s">
        <v>23</v>
      </c>
      <c r="E3088" s="27" t="str">
        <f>HYPERLINK("https://www.compass.com/building/303-e-37th-st-manhattan-ny-10016/292842092823116037/","303 E 37th St")</f>
        <v>303 E 37th St</v>
      </c>
      <c r="F3088" s="25" t="s">
        <v>72</v>
      </c>
      <c r="G3088" s="28">
        <v>725000.0</v>
      </c>
      <c r="H3088" s="28">
        <v>993.0</v>
      </c>
      <c r="I3088" s="28">
        <v>1499.0</v>
      </c>
      <c r="J3088" s="29"/>
      <c r="K3088" s="25" t="s">
        <v>25</v>
      </c>
      <c r="L3088" s="26">
        <v>4.0</v>
      </c>
      <c r="M3088" s="26">
        <v>2.0</v>
      </c>
      <c r="N3088" s="26">
        <v>1.0</v>
      </c>
      <c r="O3088" s="26">
        <v>0.0</v>
      </c>
      <c r="P3088" s="26">
        <v>730.0</v>
      </c>
      <c r="Q3088" s="35">
        <v>121.0</v>
      </c>
      <c r="R3088" s="32">
        <v>45636.0</v>
      </c>
      <c r="S3088" s="32">
        <v>43299.0</v>
      </c>
      <c r="T3088" s="29"/>
      <c r="U3088" s="33"/>
      <c r="V3088" s="1"/>
    </row>
    <row r="3089" ht="24.0" customHeight="1">
      <c r="A3089" s="1"/>
      <c r="B3089" s="24" t="str">
        <f>HYPERLINK("https://www.compass.com/listing/246-east-51st-street-unit-20-manhattan-ny-10022/989125188194339713/view?agent_id=610d3f3370540700019b0833","246 E 51st St, Unit 20")</f>
        <v>246 E 51st St, Unit 20</v>
      </c>
      <c r="C3089" s="25" t="s">
        <v>364</v>
      </c>
      <c r="D3089" s="26" t="s">
        <v>23</v>
      </c>
      <c r="E3089" s="27" t="str">
        <f>HYPERLINK("https://www.compass.com/building/246-e-51st-st-manhattan-ny-10022/281953443390752885/","246 E 51st St")</f>
        <v>246 E 51st St</v>
      </c>
      <c r="F3089" s="25" t="s">
        <v>66</v>
      </c>
      <c r="G3089" s="28">
        <v>599000.0</v>
      </c>
      <c r="H3089" s="29"/>
      <c r="I3089" s="28">
        <v>1513.0</v>
      </c>
      <c r="J3089" s="28">
        <v>0.0</v>
      </c>
      <c r="K3089" s="25" t="s">
        <v>25</v>
      </c>
      <c r="L3089" s="26">
        <v>5.0</v>
      </c>
      <c r="M3089" s="26">
        <v>2.0</v>
      </c>
      <c r="N3089" s="26">
        <v>1.0</v>
      </c>
      <c r="O3089" s="30"/>
      <c r="P3089" s="30"/>
      <c r="Q3089" s="35">
        <v>87.0</v>
      </c>
      <c r="R3089" s="32">
        <v>44704.0</v>
      </c>
      <c r="S3089" s="32">
        <v>44616.0</v>
      </c>
      <c r="T3089" s="29"/>
      <c r="U3089" s="33"/>
      <c r="V3089" s="1"/>
    </row>
    <row r="3090" ht="24.0" customHeight="1">
      <c r="A3090" s="1"/>
      <c r="B3090" s="24" t="str">
        <f>HYPERLINK("https://www.compass.com/listing/333-east-43rd-street-unit-708-manhattan-ny-10017/1136968631558991993/view?agent_id=610d3f3370540700019b0833","333 E 43rd St, Unit 708")</f>
        <v>333 E 43rd St, Unit 708</v>
      </c>
      <c r="C3090" s="25" t="s">
        <v>364</v>
      </c>
      <c r="D3090" s="26" t="s">
        <v>23</v>
      </c>
      <c r="E3090" s="27" t="str">
        <f>HYPERLINK("https://www.compass.com/building/the-manor-manhattan-ny/281942402455890133/","The Manor")</f>
        <v>The Manor</v>
      </c>
      <c r="F3090" s="25" t="s">
        <v>66</v>
      </c>
      <c r="G3090" s="28">
        <v>799000.0</v>
      </c>
      <c r="H3090" s="28">
        <v>1065.0</v>
      </c>
      <c r="I3090" s="28">
        <v>1852.0</v>
      </c>
      <c r="J3090" s="29"/>
      <c r="K3090" s="25" t="s">
        <v>25</v>
      </c>
      <c r="L3090" s="26">
        <v>5.0</v>
      </c>
      <c r="M3090" s="26">
        <v>2.0</v>
      </c>
      <c r="N3090" s="26">
        <v>1.0</v>
      </c>
      <c r="O3090" s="26">
        <v>0.0</v>
      </c>
      <c r="P3090" s="26">
        <v>750.0</v>
      </c>
      <c r="Q3090" s="35">
        <v>46.0</v>
      </c>
      <c r="R3090" s="32">
        <v>45636.0</v>
      </c>
      <c r="S3090" s="32">
        <v>44820.0</v>
      </c>
      <c r="T3090" s="29"/>
      <c r="U3090" s="33"/>
      <c r="V3090" s="1"/>
    </row>
    <row r="3091" ht="24.0" customHeight="1">
      <c r="A3091" s="1"/>
      <c r="B3091" s="24" t="str">
        <f>HYPERLINK("https://www.compass.com/listing/2-east-55th-street-unit-1035-6-manhattan-ny-10022/1838887035956464041/view?agent_id=610d3f3370540700019b0833","2 E 55th St, Unit 1035/6")</f>
        <v>2 E 55th St, Unit 1035/6</v>
      </c>
      <c r="C3091" s="25" t="s">
        <v>364</v>
      </c>
      <c r="D3091" s="26" t="s">
        <v>23</v>
      </c>
      <c r="E3091" s="27" t="str">
        <f>HYPERLINK("https://www.compass.com/building/the-st-regis-hotel-manhattan-ny/281952835258615365/","The St. Regis Hotel")</f>
        <v>The St. Regis Hotel</v>
      </c>
      <c r="F3091" s="25" t="s">
        <v>66</v>
      </c>
      <c r="G3091" s="28">
        <v>599000.0</v>
      </c>
      <c r="H3091" s="28">
        <v>474.0</v>
      </c>
      <c r="I3091" s="28">
        <v>2541.0</v>
      </c>
      <c r="J3091" s="28">
        <v>5100.0</v>
      </c>
      <c r="K3091" s="25" t="s">
        <v>28</v>
      </c>
      <c r="L3091" s="26">
        <v>4.0</v>
      </c>
      <c r="M3091" s="26">
        <v>2.0</v>
      </c>
      <c r="N3091" s="26">
        <v>0.0</v>
      </c>
      <c r="O3091" s="26">
        <v>0.0</v>
      </c>
      <c r="P3091" s="34">
        <v>1263.0</v>
      </c>
      <c r="Q3091" s="35">
        <v>1931.0</v>
      </c>
      <c r="R3091" s="32">
        <v>44581.0</v>
      </c>
      <c r="S3091" s="32">
        <v>41241.0</v>
      </c>
      <c r="T3091" s="29"/>
      <c r="U3091" s="33"/>
      <c r="V3091" s="1"/>
    </row>
    <row r="3092" ht="24.0" customHeight="1">
      <c r="A3092" s="1"/>
      <c r="B3092" s="24" t="str">
        <f>HYPERLINK("https://www.compass.com/listing/220-madison-avenue-unit-3j-manhattan-ny-10016/554195399446446753/view?agent_id=610d3f3370540700019b0833","220 Madison Ave, Unit 3J")</f>
        <v>220 Madison Ave, Unit 3J</v>
      </c>
      <c r="C3092" s="25" t="s">
        <v>364</v>
      </c>
      <c r="D3092" s="26" t="s">
        <v>23</v>
      </c>
      <c r="E3092" s="27" t="str">
        <f>HYPERLINK("https://www.compass.com/building/the-john-murray-house-manhattan-ny/281922631026907733/","The John Murray House")</f>
        <v>The John Murray House</v>
      </c>
      <c r="F3092" s="25" t="s">
        <v>72</v>
      </c>
      <c r="G3092" s="28">
        <v>899000.0</v>
      </c>
      <c r="H3092" s="28">
        <v>917.0</v>
      </c>
      <c r="I3092" s="28">
        <v>1874.0</v>
      </c>
      <c r="J3092" s="28">
        <v>0.0</v>
      </c>
      <c r="K3092" s="25" t="s">
        <v>25</v>
      </c>
      <c r="L3092" s="26">
        <v>4.0</v>
      </c>
      <c r="M3092" s="26">
        <v>2.0</v>
      </c>
      <c r="N3092" s="26">
        <v>1.0</v>
      </c>
      <c r="O3092" s="30"/>
      <c r="P3092" s="26">
        <v>980.0</v>
      </c>
      <c r="Q3092" s="35">
        <v>182.0</v>
      </c>
      <c r="R3092" s="32">
        <v>44199.0</v>
      </c>
      <c r="S3092" s="32">
        <v>44016.0</v>
      </c>
      <c r="T3092" s="29"/>
      <c r="U3092" s="33"/>
      <c r="V3092" s="1"/>
    </row>
    <row r="3093" ht="24.0" customHeight="1">
      <c r="A3093" s="1"/>
      <c r="B3093" s="24" t="str">
        <f>HYPERLINK("https://www.compass.com/listing/55-park-avenue-unit-8e-manhattan-ny-10016/1251478014950471545/view?agent_id=610d3f3370540700019b0833","55 Park Ave, Unit 8E")</f>
        <v>55 Park Ave, Unit 8E</v>
      </c>
      <c r="C3093" s="25" t="s">
        <v>364</v>
      </c>
      <c r="D3093" s="26" t="s">
        <v>23</v>
      </c>
      <c r="E3093" s="27" t="str">
        <f>HYPERLINK("https://www.compass.com/building/55-park-ave-manhattan-ny-10016/281922918319952533/","55 Park Ave")</f>
        <v>55 Park Ave</v>
      </c>
      <c r="F3093" s="25" t="s">
        <v>72</v>
      </c>
      <c r="G3093" s="28">
        <v>925000.0</v>
      </c>
      <c r="H3093" s="29"/>
      <c r="I3093" s="28">
        <v>3330.0</v>
      </c>
      <c r="J3093" s="28">
        <v>0.0</v>
      </c>
      <c r="K3093" s="25" t="s">
        <v>25</v>
      </c>
      <c r="L3093" s="26">
        <v>4.0</v>
      </c>
      <c r="M3093" s="26">
        <v>2.0</v>
      </c>
      <c r="N3093" s="26">
        <v>1.0</v>
      </c>
      <c r="O3093" s="30"/>
      <c r="P3093" s="30"/>
      <c r="Q3093" s="35">
        <v>253.0</v>
      </c>
      <c r="R3093" s="32">
        <v>45231.0</v>
      </c>
      <c r="S3093" s="32">
        <v>44978.0</v>
      </c>
      <c r="T3093" s="29"/>
      <c r="U3093" s="33"/>
      <c r="V3093" s="1"/>
    </row>
    <row r="3094" ht="24.0" customHeight="1">
      <c r="A3094" s="1"/>
      <c r="B3094" s="24" t="str">
        <f>HYPERLINK("https://www.compass.com/listing/246-east-51st-street-unit-20-manhattan-ny-10022/1838973638527783089/view?agent_id=610d3f3370540700019b0833","246 E 51st St, Unit 20")</f>
        <v>246 E 51st St, Unit 20</v>
      </c>
      <c r="C3094" s="25" t="s">
        <v>370</v>
      </c>
      <c r="D3094" s="26" t="s">
        <v>23</v>
      </c>
      <c r="E3094" s="27" t="str">
        <f>HYPERLINK("https://www.compass.com/building/246-e-51st-st-manhattan-ny-10022/281953443390752885/","246 E 51st St")</f>
        <v>246 E 51st St</v>
      </c>
      <c r="F3094" s="25" t="s">
        <v>66</v>
      </c>
      <c r="G3094" s="28">
        <v>699000.0</v>
      </c>
      <c r="H3094" s="29"/>
      <c r="I3094" s="28">
        <v>1265.0</v>
      </c>
      <c r="J3094" s="29"/>
      <c r="K3094" s="25" t="s">
        <v>25</v>
      </c>
      <c r="L3094" s="26">
        <v>4.0</v>
      </c>
      <c r="M3094" s="26">
        <v>2.0</v>
      </c>
      <c r="N3094" s="26">
        <v>0.0</v>
      </c>
      <c r="O3094" s="26">
        <v>0.0</v>
      </c>
      <c r="P3094" s="30"/>
      <c r="Q3094" s="35">
        <v>55.0</v>
      </c>
      <c r="R3094" s="32">
        <v>45636.0</v>
      </c>
      <c r="S3094" s="32">
        <v>43230.0</v>
      </c>
      <c r="T3094" s="29"/>
      <c r="U3094" s="33"/>
      <c r="V3094" s="1"/>
    </row>
    <row r="3095" ht="24.0" customHeight="1">
      <c r="A3095" s="1"/>
      <c r="B3095" s="24" t="str">
        <f>HYPERLINK("https://www.compass.com/listing/264-lexington-avenue-unit-4b-manhattan-ny-10016/1709592533266031353/view?agent_id=610d3f3370540700019b0833","264 Lexington Ave, Unit 4B")</f>
        <v>264 Lexington Ave, Unit 4B</v>
      </c>
      <c r="C3095" s="25" t="s">
        <v>370</v>
      </c>
      <c r="D3095" s="26" t="s">
        <v>23</v>
      </c>
      <c r="E3095" s="27" t="str">
        <f t="shared" ref="E3095:E3096" si="86">HYPERLINK("https://www.compass.com/building/264-lexington-ave-manhattan-ny-10016/281939217293040005/","264 Lexington Ave")</f>
        <v>264 Lexington Ave</v>
      </c>
      <c r="F3095" s="25" t="s">
        <v>72</v>
      </c>
      <c r="G3095" s="28">
        <v>875000.0</v>
      </c>
      <c r="H3095" s="29"/>
      <c r="I3095" s="28">
        <v>1980.0</v>
      </c>
      <c r="J3095" s="28">
        <v>0.0</v>
      </c>
      <c r="K3095" s="25" t="s">
        <v>25</v>
      </c>
      <c r="L3095" s="26">
        <v>4.0</v>
      </c>
      <c r="M3095" s="26">
        <v>2.0</v>
      </c>
      <c r="N3095" s="26">
        <v>1.0</v>
      </c>
      <c r="O3095" s="30"/>
      <c r="P3095" s="30"/>
      <c r="Q3095" s="35">
        <v>78.0</v>
      </c>
      <c r="R3095" s="32">
        <v>45688.0</v>
      </c>
      <c r="S3095" s="32">
        <v>45610.0</v>
      </c>
      <c r="T3095" s="29"/>
      <c r="U3095" s="33"/>
      <c r="V3095" s="1"/>
    </row>
    <row r="3096" ht="24.0" customHeight="1">
      <c r="A3096" s="1"/>
      <c r="B3096" s="24" t="str">
        <f>HYPERLINK("https://www.compass.com/listing/264-lexington-avenue-unit-4b-manhattan-ny-10016/1587080198495515265/view?agent_id=610d3f3370540700019b0833","264 Lexington Ave, Unit 4B")</f>
        <v>264 Lexington Ave, Unit 4B</v>
      </c>
      <c r="C3096" s="25" t="s">
        <v>370</v>
      </c>
      <c r="D3096" s="26" t="s">
        <v>23</v>
      </c>
      <c r="E3096" s="27" t="str">
        <f t="shared" si="86"/>
        <v>264 Lexington Ave</v>
      </c>
      <c r="F3096" s="25" t="s">
        <v>72</v>
      </c>
      <c r="G3096" s="28">
        <v>875000.0</v>
      </c>
      <c r="H3096" s="28">
        <v>1042.0</v>
      </c>
      <c r="I3096" s="28">
        <v>1980.0</v>
      </c>
      <c r="J3096" s="28">
        <v>0.0</v>
      </c>
      <c r="K3096" s="25" t="s">
        <v>25</v>
      </c>
      <c r="L3096" s="26">
        <v>5.0</v>
      </c>
      <c r="M3096" s="26">
        <v>2.0</v>
      </c>
      <c r="N3096" s="26">
        <v>1.0</v>
      </c>
      <c r="O3096" s="30"/>
      <c r="P3096" s="26">
        <v>840.0</v>
      </c>
      <c r="Q3096" s="35">
        <v>155.0</v>
      </c>
      <c r="R3096" s="32">
        <v>45597.0</v>
      </c>
      <c r="S3096" s="32">
        <v>45441.0</v>
      </c>
      <c r="T3096" s="29"/>
      <c r="U3096" s="33"/>
      <c r="V3096" s="1"/>
    </row>
    <row r="3097" ht="24.0" customHeight="1">
      <c r="A3097" s="1"/>
      <c r="B3097" s="24" t="str">
        <f>HYPERLINK("https://www.compass.com/listing/244-madison-avenue-unit-5h-manhattan-ny-10016/1306559547923849897/view?agent_id=610d3f3370540700019b0833","244 Madison Ave, Unit 5H")</f>
        <v>244 Madison Ave, Unit 5H</v>
      </c>
      <c r="C3097" s="25" t="s">
        <v>364</v>
      </c>
      <c r="D3097" s="26" t="s">
        <v>23</v>
      </c>
      <c r="E3097" s="27" t="str">
        <f>HYPERLINK("https://www.compass.com/building/murray-hill-plaza-manhattan-ny/292839552987493381/","Murray Hill Plaza")</f>
        <v>Murray Hill Plaza</v>
      </c>
      <c r="F3097" s="25" t="s">
        <v>72</v>
      </c>
      <c r="G3097" s="28">
        <v>875000.0</v>
      </c>
      <c r="H3097" s="28">
        <v>875.0</v>
      </c>
      <c r="I3097" s="28">
        <v>2778.0</v>
      </c>
      <c r="J3097" s="28">
        <v>0.0</v>
      </c>
      <c r="K3097" s="25" t="s">
        <v>25</v>
      </c>
      <c r="L3097" s="26">
        <v>4.0</v>
      </c>
      <c r="M3097" s="26">
        <v>2.0</v>
      </c>
      <c r="N3097" s="26">
        <v>1.0</v>
      </c>
      <c r="O3097" s="26">
        <v>0.0</v>
      </c>
      <c r="P3097" s="34">
        <v>1000.0</v>
      </c>
      <c r="Q3097" s="35">
        <v>125.0</v>
      </c>
      <c r="R3097" s="32">
        <v>45180.0</v>
      </c>
      <c r="S3097" s="32">
        <v>45054.0</v>
      </c>
      <c r="T3097" s="29"/>
      <c r="U3097" s="33"/>
      <c r="V3097" s="1"/>
    </row>
    <row r="3098" ht="24.0" customHeight="1">
      <c r="A3098" s="1"/>
      <c r="B3098" s="24" t="str">
        <f>HYPERLINK("https://www.compass.com/listing/69-summit-street-unit-60g-brooklyn-ny-11231/389744874064118513/view?agent_id=610d3f3370540700019b0833","69 Summit St, Unit 60G")</f>
        <v>69 Summit St, Unit 60G</v>
      </c>
      <c r="C3098" s="25" t="s">
        <v>365</v>
      </c>
      <c r="D3098" s="26" t="s">
        <v>23</v>
      </c>
      <c r="E3098" s="27" t="str">
        <f>HYPERLINK("https://www.compass.com/building/columbia-terrace-brooklyn-ny/293424147881595365/","Columbia Terrace")</f>
        <v>Columbia Terrace</v>
      </c>
      <c r="F3098" s="25" t="s">
        <v>122</v>
      </c>
      <c r="G3098" s="28">
        <v>910000.0</v>
      </c>
      <c r="H3098" s="29"/>
      <c r="I3098" s="28">
        <v>878.0</v>
      </c>
      <c r="J3098" s="28">
        <v>3462.0</v>
      </c>
      <c r="K3098" s="25" t="s">
        <v>28</v>
      </c>
      <c r="L3098" s="26">
        <v>5.0</v>
      </c>
      <c r="M3098" s="26">
        <v>2.0</v>
      </c>
      <c r="N3098" s="26">
        <v>1.0</v>
      </c>
      <c r="O3098" s="26">
        <v>0.0</v>
      </c>
      <c r="P3098" s="30"/>
      <c r="Q3098" s="35">
        <v>106.0</v>
      </c>
      <c r="R3098" s="32">
        <v>43956.0</v>
      </c>
      <c r="S3098" s="32">
        <v>43789.0</v>
      </c>
      <c r="T3098" s="29"/>
      <c r="U3098" s="33"/>
      <c r="V3098" s="1"/>
    </row>
    <row r="3099" ht="24.0" customHeight="1">
      <c r="A3099" s="1"/>
      <c r="B3099" s="24" t="str">
        <f>HYPERLINK("https://www.compass.com/listing/845-united-nations-plaza-unit-39e-manhattan-ny-10017/70930317543786785/view?agent_id=610d3f3370540700019b0833","845 United Nations Plaza, Unit 39E")</f>
        <v>845 United Nations Plaza, Unit 39E</v>
      </c>
      <c r="C3099" s="25" t="s">
        <v>364</v>
      </c>
      <c r="D3099" s="26" t="s">
        <v>23</v>
      </c>
      <c r="E3099" s="27" t="str">
        <f>HYPERLINK("https://www.compass.com/building/trump-world-tower-manhattan-ny/281942759684760357/","Trump World Tower")</f>
        <v>Trump World Tower</v>
      </c>
      <c r="F3099" s="25" t="s">
        <v>66</v>
      </c>
      <c r="G3099" s="28">
        <v>2650000.0</v>
      </c>
      <c r="H3099" s="28">
        <v>1775.0</v>
      </c>
      <c r="I3099" s="28">
        <v>3037.0</v>
      </c>
      <c r="J3099" s="28">
        <v>16704.0</v>
      </c>
      <c r="K3099" s="25" t="s">
        <v>28</v>
      </c>
      <c r="L3099" s="26">
        <v>4.0</v>
      </c>
      <c r="M3099" s="26">
        <v>2.0</v>
      </c>
      <c r="N3099" s="26">
        <v>0.0</v>
      </c>
      <c r="O3099" s="26">
        <v>0.0</v>
      </c>
      <c r="P3099" s="34">
        <v>1493.0</v>
      </c>
      <c r="Q3099" s="35">
        <v>30.0</v>
      </c>
      <c r="R3099" s="32">
        <v>44581.0</v>
      </c>
      <c r="S3099" s="32">
        <v>43171.0</v>
      </c>
      <c r="T3099" s="29"/>
      <c r="U3099" s="33"/>
      <c r="V3099" s="1"/>
    </row>
    <row r="3100" ht="24.0" customHeight="1">
      <c r="A3100" s="1"/>
      <c r="B3100" s="24" t="str">
        <f>HYPERLINK("https://www.compass.com/listing/420-east-55th-street-unit-1ff-new-york-ny-10022/723250044006542361/view?agent_id=610d3f3370540700019b0833","420 E 55th St, Unit 1FF")</f>
        <v>420 E 55th St, Unit 1FF</v>
      </c>
      <c r="C3100" s="25" t="s">
        <v>364</v>
      </c>
      <c r="D3100" s="26" t="s">
        <v>23</v>
      </c>
      <c r="E3100" s="27" t="str">
        <f>HYPERLINK("https://www.compass.com/building/420-e-55th-st-new-york-ny-10022/292858555877370357/","420 E 55th St")</f>
        <v>420 E 55th St</v>
      </c>
      <c r="F3100" s="25" t="s">
        <v>73</v>
      </c>
      <c r="G3100" s="28">
        <v>525000.0</v>
      </c>
      <c r="H3100" s="28">
        <v>583.0</v>
      </c>
      <c r="I3100" s="28">
        <v>1858.0</v>
      </c>
      <c r="J3100" s="28">
        <v>0.0</v>
      </c>
      <c r="K3100" s="25" t="s">
        <v>25</v>
      </c>
      <c r="L3100" s="26">
        <v>4.0</v>
      </c>
      <c r="M3100" s="26">
        <v>2.0</v>
      </c>
      <c r="N3100" s="26">
        <v>1.0</v>
      </c>
      <c r="O3100" s="26">
        <v>0.0</v>
      </c>
      <c r="P3100" s="26">
        <v>900.0</v>
      </c>
      <c r="Q3100" s="35">
        <v>181.0</v>
      </c>
      <c r="R3100" s="32">
        <v>44599.0</v>
      </c>
      <c r="S3100" s="32">
        <v>44249.0</v>
      </c>
      <c r="T3100" s="29"/>
      <c r="U3100" s="33"/>
      <c r="V3100" s="1"/>
    </row>
    <row r="3101" ht="24.0" customHeight="1">
      <c r="A3101" s="1"/>
      <c r="B3101" s="24" t="str">
        <f>HYPERLINK("https://www.compass.com/listing/400-5th-avenue-unit-53c-manhattan-ny-10018/70914555953286209/view?agent_id=610d3f3370540700019b0833","400 5th Ave, Unit 53C")</f>
        <v>400 5th Ave, Unit 53C</v>
      </c>
      <c r="C3101" s="25" t="s">
        <v>370</v>
      </c>
      <c r="D3101" s="26" t="s">
        <v>23</v>
      </c>
      <c r="E3101" s="27" t="str">
        <f>HYPERLINK("https://www.compass.com/building/the-residences-at-400-fifth-avenue-manhattan-ny/281943164351210741/","The Residences at 400 Fifth Avenue")</f>
        <v>The Residences at 400 Fifth Avenue</v>
      </c>
      <c r="F3101" s="25" t="s">
        <v>389</v>
      </c>
      <c r="G3101" s="28">
        <v>3995000.0</v>
      </c>
      <c r="H3101" s="28">
        <v>3420.0</v>
      </c>
      <c r="I3101" s="28">
        <v>2315.0</v>
      </c>
      <c r="J3101" s="28">
        <v>6900.0</v>
      </c>
      <c r="K3101" s="25" t="s">
        <v>28</v>
      </c>
      <c r="L3101" s="26">
        <v>4.0</v>
      </c>
      <c r="M3101" s="26">
        <v>2.0</v>
      </c>
      <c r="N3101" s="26">
        <v>0.0</v>
      </c>
      <c r="O3101" s="26">
        <v>0.0</v>
      </c>
      <c r="P3101" s="34">
        <v>1168.0</v>
      </c>
      <c r="Q3101" s="35">
        <v>177.0</v>
      </c>
      <c r="R3101" s="32">
        <v>45636.0</v>
      </c>
      <c r="S3101" s="32">
        <v>41960.0</v>
      </c>
      <c r="T3101" s="29"/>
      <c r="U3101" s="33"/>
      <c r="V3101" s="1"/>
    </row>
    <row r="3102" ht="24.0" customHeight="1">
      <c r="A3102" s="1"/>
      <c r="B3102" s="24" t="str">
        <f>HYPERLINK("https://www.compass.com/listing/200-riverside-boulevard-unit-4h-manhattan-ny-10069/29396295517057409/view?agent_id=610d3f3370540700019b0833","200 Riverside Blvd, Unit 4H")</f>
        <v>200 Riverside Blvd, Unit 4H</v>
      </c>
      <c r="C3102" s="25" t="s">
        <v>370</v>
      </c>
      <c r="D3102" s="26" t="s">
        <v>23</v>
      </c>
      <c r="E3102" s="27" t="str">
        <f>HYPERLINK("https://www.compass.com/building/200-riverside-blvd-manhattan-ny-10069/282041299563991237/","200 Riverside Blvd")</f>
        <v>200 Riverside Blvd</v>
      </c>
      <c r="F3102" s="25" t="s">
        <v>29</v>
      </c>
      <c r="G3102" s="28">
        <v>1590000.0</v>
      </c>
      <c r="H3102" s="28">
        <v>1220.0</v>
      </c>
      <c r="I3102" s="28">
        <v>1735.0</v>
      </c>
      <c r="J3102" s="28">
        <v>7392.0</v>
      </c>
      <c r="K3102" s="25" t="s">
        <v>28</v>
      </c>
      <c r="L3102" s="26">
        <v>4.0</v>
      </c>
      <c r="M3102" s="26">
        <v>2.0</v>
      </c>
      <c r="N3102" s="26">
        <v>0.0</v>
      </c>
      <c r="O3102" s="26">
        <v>0.0</v>
      </c>
      <c r="P3102" s="34">
        <v>1303.0</v>
      </c>
      <c r="Q3102" s="35">
        <v>0.0</v>
      </c>
      <c r="R3102" s="32">
        <v>44581.0</v>
      </c>
      <c r="S3102" s="32">
        <v>41538.0</v>
      </c>
      <c r="T3102" s="29"/>
      <c r="U3102" s="33"/>
      <c r="V3102" s="1"/>
    </row>
    <row r="3103" ht="24.0" customHeight="1">
      <c r="A3103" s="1"/>
      <c r="B3103" s="24" t="str">
        <f>HYPERLINK("https://www.compass.com/listing/2-east-55th-street-unit-1018a-manhattan-ny-10022/4852329943721316113/view?agent_id=610d3f3370540700019b0833","2 E 55th St, Unit 1018A")</f>
        <v>2 E 55th St, Unit 1018A</v>
      </c>
      <c r="C3103" s="25" t="s">
        <v>370</v>
      </c>
      <c r="D3103" s="26" t="s">
        <v>23</v>
      </c>
      <c r="E3103" s="27" t="str">
        <f t="shared" ref="E3103:E3104" si="87">HYPERLINK("https://www.compass.com/building/the-st-regis-hotel-manhattan-ny/281952835258615365/","The St. Regis Hotel")</f>
        <v>The St. Regis Hotel</v>
      </c>
      <c r="F3103" s="25" t="s">
        <v>66</v>
      </c>
      <c r="G3103" s="28">
        <v>350000.0</v>
      </c>
      <c r="H3103" s="28">
        <v>251.0</v>
      </c>
      <c r="I3103" s="28">
        <v>2084.0</v>
      </c>
      <c r="J3103" s="28">
        <v>5508.0</v>
      </c>
      <c r="K3103" s="25" t="s">
        <v>28</v>
      </c>
      <c r="L3103" s="26">
        <v>4.0</v>
      </c>
      <c r="M3103" s="26">
        <v>2.0</v>
      </c>
      <c r="N3103" s="26">
        <v>0.0</v>
      </c>
      <c r="O3103" s="26">
        <v>0.0</v>
      </c>
      <c r="P3103" s="34">
        <v>1394.0</v>
      </c>
      <c r="Q3103" s="35">
        <v>344.0</v>
      </c>
      <c r="R3103" s="32">
        <v>44581.0</v>
      </c>
      <c r="S3103" s="32">
        <v>41172.0</v>
      </c>
      <c r="T3103" s="29"/>
      <c r="U3103" s="33"/>
      <c r="V3103" s="1"/>
    </row>
    <row r="3104" ht="24.0" customHeight="1">
      <c r="A3104" s="1"/>
      <c r="B3104" s="24" t="str">
        <f>HYPERLINK("https://www.compass.com/listing/2-east-55th-street-unit-815a-manhattan-ny-10022/4852270739929174065/view?agent_id=610d3f3370540700019b0833","2 E 55th St, Unit 815A")</f>
        <v>2 E 55th St, Unit 815A</v>
      </c>
      <c r="C3104" s="25" t="s">
        <v>370</v>
      </c>
      <c r="D3104" s="26" t="s">
        <v>23</v>
      </c>
      <c r="E3104" s="27" t="str">
        <f t="shared" si="87"/>
        <v>The St. Regis Hotel</v>
      </c>
      <c r="F3104" s="25" t="s">
        <v>66</v>
      </c>
      <c r="G3104" s="28">
        <v>450000.0</v>
      </c>
      <c r="H3104" s="28">
        <v>300.0</v>
      </c>
      <c r="I3104" s="28">
        <v>2491.0</v>
      </c>
      <c r="J3104" s="28">
        <v>4836.0</v>
      </c>
      <c r="K3104" s="25" t="s">
        <v>28</v>
      </c>
      <c r="L3104" s="26">
        <v>5.0</v>
      </c>
      <c r="M3104" s="26">
        <v>2.0</v>
      </c>
      <c r="N3104" s="26">
        <v>0.0</v>
      </c>
      <c r="O3104" s="26">
        <v>0.0</v>
      </c>
      <c r="P3104" s="34">
        <v>1500.0</v>
      </c>
      <c r="Q3104" s="35">
        <v>344.0</v>
      </c>
      <c r="R3104" s="32">
        <v>44581.0</v>
      </c>
      <c r="S3104" s="32">
        <v>41172.0</v>
      </c>
      <c r="T3104" s="29"/>
      <c r="U3104" s="33"/>
      <c r="V3104" s="1"/>
    </row>
    <row r="3105" ht="24.0" customHeight="1">
      <c r="A3105" s="1"/>
      <c r="B3105" s="24" t="str">
        <f>HYPERLINK("https://www.compass.com/listing/244-madison-avenue-unit-5h-manhattan-ny-10016/294788609198664817/view?agent_id=610d3f3370540700019b0833","244 Madison Ave, Unit 5H")</f>
        <v>244 Madison Ave, Unit 5H</v>
      </c>
      <c r="C3105" s="25" t="s">
        <v>364</v>
      </c>
      <c r="D3105" s="26" t="s">
        <v>23</v>
      </c>
      <c r="E3105" s="27" t="str">
        <f>HYPERLINK("https://www.compass.com/building/murray-hill-plaza-manhattan-ny/292839552987493381/","Murray Hill Plaza")</f>
        <v>Murray Hill Plaza</v>
      </c>
      <c r="F3105" s="25" t="s">
        <v>72</v>
      </c>
      <c r="G3105" s="28">
        <v>1099999.0</v>
      </c>
      <c r="H3105" s="28">
        <v>1100.0</v>
      </c>
      <c r="I3105" s="28">
        <v>2094.0</v>
      </c>
      <c r="J3105" s="28">
        <v>0.0</v>
      </c>
      <c r="K3105" s="25" t="s">
        <v>25</v>
      </c>
      <c r="L3105" s="26">
        <v>4.0</v>
      </c>
      <c r="M3105" s="26">
        <v>2.0</v>
      </c>
      <c r="N3105" s="26">
        <v>1.0</v>
      </c>
      <c r="O3105" s="26">
        <v>0.0</v>
      </c>
      <c r="P3105" s="34">
        <v>1000.0</v>
      </c>
      <c r="Q3105" s="35">
        <v>41.0</v>
      </c>
      <c r="R3105" s="32">
        <v>43902.0</v>
      </c>
      <c r="S3105" s="32">
        <v>43658.0</v>
      </c>
      <c r="T3105" s="29"/>
      <c r="U3105" s="33"/>
      <c r="V3105" s="1"/>
    </row>
    <row r="3106" ht="24.0" customHeight="1">
      <c r="A3106" s="1"/>
      <c r="B3106" s="24" t="str">
        <f>HYPERLINK("https://www.compass.com/listing/324-east-50th-street-unit-6b-manhattan-ny-10022/667435306423970729/view?agent_id=610d3f3370540700019b0833","324 E 50th St, Unit 6B")</f>
        <v>324 E 50th St, Unit 6B</v>
      </c>
      <c r="C3106" s="25" t="s">
        <v>370</v>
      </c>
      <c r="D3106" s="26" t="s">
        <v>23</v>
      </c>
      <c r="E3106" s="27" t="str">
        <f>HYPERLINK("https://www.compass.com/building/324-e-50th-st-manhattan-ny-10022/567561965369147789/","324 E 50th St")</f>
        <v>324 E 50th St</v>
      </c>
      <c r="F3106" s="25" t="s">
        <v>66</v>
      </c>
      <c r="G3106" s="28">
        <v>525000.0</v>
      </c>
      <c r="H3106" s="28">
        <v>929.0</v>
      </c>
      <c r="I3106" s="28">
        <v>805.0</v>
      </c>
      <c r="J3106" s="28">
        <v>0.0</v>
      </c>
      <c r="K3106" s="25" t="s">
        <v>25</v>
      </c>
      <c r="L3106" s="26">
        <v>5.0</v>
      </c>
      <c r="M3106" s="26">
        <v>2.0</v>
      </c>
      <c r="N3106" s="26">
        <v>1.0</v>
      </c>
      <c r="O3106" s="26">
        <v>0.0</v>
      </c>
      <c r="P3106" s="26">
        <v>565.0</v>
      </c>
      <c r="Q3106" s="35">
        <v>4.0</v>
      </c>
      <c r="R3106" s="32">
        <v>44177.0</v>
      </c>
      <c r="S3106" s="32">
        <v>44172.0</v>
      </c>
      <c r="T3106" s="29"/>
      <c r="U3106" s="33"/>
      <c r="V3106" s="1"/>
    </row>
    <row r="3107" ht="24.0" customHeight="1">
      <c r="A3107" s="1"/>
      <c r="B3107" s="24" t="str">
        <f>HYPERLINK("https://www.compass.com/listing/201-east-37th-street-unit-7d-manhattan-ny-10016/444815054463021081/view?agent_id=610d3f3370540700019b0833","201 E 37th St, Unit 7D")</f>
        <v>201 E 37th St, Unit 7D</v>
      </c>
      <c r="C3107" s="25" t="s">
        <v>364</v>
      </c>
      <c r="D3107" s="26" t="s">
        <v>23</v>
      </c>
      <c r="E3107" s="27" t="str">
        <f>HYPERLINK("https://www.compass.com/building/201-e-37th-st-manhattan-ny-10016/292841730963732437/","201 E 37th St")</f>
        <v>201 E 37th St</v>
      </c>
      <c r="F3107" s="25" t="s">
        <v>72</v>
      </c>
      <c r="G3107" s="28">
        <v>800000.0</v>
      </c>
      <c r="H3107" s="28">
        <v>941.0</v>
      </c>
      <c r="I3107" s="28">
        <v>1378.0</v>
      </c>
      <c r="J3107" s="29"/>
      <c r="K3107" s="25" t="s">
        <v>25</v>
      </c>
      <c r="L3107" s="26">
        <v>4.0</v>
      </c>
      <c r="M3107" s="26">
        <v>2.0</v>
      </c>
      <c r="N3107" s="26">
        <v>1.0</v>
      </c>
      <c r="O3107" s="26">
        <v>0.0</v>
      </c>
      <c r="P3107" s="26">
        <v>850.0</v>
      </c>
      <c r="Q3107" s="35">
        <v>168.0</v>
      </c>
      <c r="R3107" s="32">
        <v>45636.0</v>
      </c>
      <c r="S3107" s="32">
        <v>42271.0</v>
      </c>
      <c r="T3107" s="29"/>
      <c r="U3107" s="33"/>
      <c r="V3107" s="1"/>
    </row>
    <row r="3108" ht="24.0" customHeight="1">
      <c r="A3108" s="1"/>
      <c r="B3108" s="24" t="str">
        <f>HYPERLINK("https://www.compass.com/listing/870-united-nations-plaza-unit-10e-manhattan-ny-10017/822523228147150713/view?agent_id=610d3f3370540700019b0833","870 United Nations Plaza, Unit 10E")</f>
        <v>870 United Nations Plaza, Unit 10E</v>
      </c>
      <c r="C3108" s="25" t="s">
        <v>364</v>
      </c>
      <c r="D3108" s="26" t="s">
        <v>23</v>
      </c>
      <c r="E3108" s="27" t="str">
        <f t="shared" ref="E3108:E3109" si="88">HYPERLINK("https://www.compass.com/building/870-united-nations-plaza-manhattan-ny-10017/281942842824254277/","870 United Nations Plaza")</f>
        <v>870 United Nations Plaza</v>
      </c>
      <c r="F3108" s="25" t="s">
        <v>66</v>
      </c>
      <c r="G3108" s="28">
        <v>1900000.0</v>
      </c>
      <c r="H3108" s="29"/>
      <c r="I3108" s="28">
        <v>3217.0</v>
      </c>
      <c r="J3108" s="29"/>
      <c r="K3108" s="25" t="s">
        <v>25</v>
      </c>
      <c r="L3108" s="26">
        <v>5.0</v>
      </c>
      <c r="M3108" s="26">
        <v>2.0</v>
      </c>
      <c r="N3108" s="26">
        <v>0.0</v>
      </c>
      <c r="O3108" s="26">
        <v>0.0</v>
      </c>
      <c r="P3108" s="30"/>
      <c r="Q3108" s="35">
        <v>413.0</v>
      </c>
      <c r="R3108" s="32">
        <v>45636.0</v>
      </c>
      <c r="S3108" s="32">
        <v>41242.0</v>
      </c>
      <c r="T3108" s="29"/>
      <c r="U3108" s="33"/>
      <c r="V3108" s="1"/>
    </row>
    <row r="3109" ht="24.0" customHeight="1">
      <c r="A3109" s="1"/>
      <c r="B3109" s="24" t="str">
        <f>HYPERLINK("https://www.compass.com/listing/870-united-nations-plaza-unit-10e-manhattan-ny-10017/921959500672173345/view?agent_id=610d3f3370540700019b0833","870 United Nations Plaza, Unit 10E")</f>
        <v>870 United Nations Plaza, Unit 10E</v>
      </c>
      <c r="C3109" s="25" t="s">
        <v>364</v>
      </c>
      <c r="D3109" s="26" t="s">
        <v>23</v>
      </c>
      <c r="E3109" s="27" t="str">
        <f t="shared" si="88"/>
        <v>870 United Nations Plaza</v>
      </c>
      <c r="F3109" s="25" t="s">
        <v>66</v>
      </c>
      <c r="G3109" s="28">
        <v>1900000.0</v>
      </c>
      <c r="H3109" s="29"/>
      <c r="I3109" s="28">
        <v>3217.0</v>
      </c>
      <c r="J3109" s="29"/>
      <c r="K3109" s="25" t="s">
        <v>25</v>
      </c>
      <c r="L3109" s="26">
        <v>5.0</v>
      </c>
      <c r="M3109" s="26">
        <v>2.0</v>
      </c>
      <c r="N3109" s="26">
        <v>0.0</v>
      </c>
      <c r="O3109" s="26">
        <v>0.0</v>
      </c>
      <c r="P3109" s="30"/>
      <c r="Q3109" s="35">
        <v>0.0</v>
      </c>
      <c r="R3109" s="32">
        <v>44581.0</v>
      </c>
      <c r="S3109" s="32">
        <v>43182.0</v>
      </c>
      <c r="T3109" s="29"/>
      <c r="U3109" s="33"/>
      <c r="V3109" s="1"/>
    </row>
    <row r="3110" ht="24.0" customHeight="1">
      <c r="A3110" s="1"/>
      <c r="B3110" s="24" t="str">
        <f>HYPERLINK("https://www.compass.com/listing/308-east-38th-street-unit-3f-manhattan-ny-10016/1287084893082854809/view?agent_id=610d3f3370540700019b0833","308 E 38th St, Unit 3F")</f>
        <v>308 E 38th St, Unit 3F</v>
      </c>
      <c r="C3110" s="25" t="s">
        <v>370</v>
      </c>
      <c r="D3110" s="26" t="s">
        <v>23</v>
      </c>
      <c r="E3110" s="27" t="str">
        <f>HYPERLINK("https://www.compass.com/building/the-vantage-manhattan-ny/281939571384571925/","The Vantage")</f>
        <v>The Vantage</v>
      </c>
      <c r="F3110" s="25" t="s">
        <v>72</v>
      </c>
      <c r="G3110" s="28">
        <v>855000.0</v>
      </c>
      <c r="H3110" s="29"/>
      <c r="I3110" s="28">
        <v>1358.0</v>
      </c>
      <c r="J3110" s="28">
        <v>8688.0</v>
      </c>
      <c r="K3110" s="25" t="s">
        <v>28</v>
      </c>
      <c r="L3110" s="26">
        <v>4.0</v>
      </c>
      <c r="M3110" s="26">
        <v>2.0</v>
      </c>
      <c r="N3110" s="26">
        <v>1.0</v>
      </c>
      <c r="O3110" s="30"/>
      <c r="P3110" s="30"/>
      <c r="Q3110" s="35">
        <v>324.0</v>
      </c>
      <c r="R3110" s="32">
        <v>45362.0</v>
      </c>
      <c r="S3110" s="32">
        <v>45027.0</v>
      </c>
      <c r="T3110" s="29"/>
      <c r="U3110" s="33"/>
      <c r="V3110" s="1"/>
    </row>
    <row r="3111" ht="24.0" customHeight="1">
      <c r="A3111" s="1"/>
      <c r="B3111" s="24" t="str">
        <f>HYPERLINK("https://www.compass.com/listing/342-east-53rd-street-unit-a-manhattan-ny-10022/831689884215562961/view?agent_id=610d3f3370540700019b0833","342 E 53rd St, Unit A")</f>
        <v>342 E 53rd St, Unit A</v>
      </c>
      <c r="C3111" s="25" t="s">
        <v>370</v>
      </c>
      <c r="D3111" s="26" t="s">
        <v>23</v>
      </c>
      <c r="E3111" s="27" t="str">
        <f>HYPERLINK("https://www.compass.com/building/342-e-53rd-st-manhattan-ny-10022/281954475390866517/","342 E 53rd St")</f>
        <v>342 E 53rd St</v>
      </c>
      <c r="F3111" s="25" t="s">
        <v>66</v>
      </c>
      <c r="G3111" s="28">
        <v>750000.0</v>
      </c>
      <c r="H3111" s="29"/>
      <c r="I3111" s="28">
        <v>2023.0</v>
      </c>
      <c r="J3111" s="29"/>
      <c r="K3111" s="25" t="s">
        <v>25</v>
      </c>
      <c r="L3111" s="26">
        <v>5.0</v>
      </c>
      <c r="M3111" s="26">
        <v>2.0</v>
      </c>
      <c r="N3111" s="26">
        <v>1.0</v>
      </c>
      <c r="O3111" s="26">
        <v>0.0</v>
      </c>
      <c r="P3111" s="30"/>
      <c r="Q3111" s="35">
        <v>16.0</v>
      </c>
      <c r="R3111" s="32">
        <v>45636.0</v>
      </c>
      <c r="S3111" s="32">
        <v>44399.0</v>
      </c>
      <c r="T3111" s="29"/>
      <c r="U3111" s="33"/>
      <c r="V3111" s="1"/>
    </row>
    <row r="3112" ht="24.0" customHeight="1">
      <c r="A3112" s="1"/>
      <c r="B3112" s="24" t="str">
        <f>HYPERLINK("https://www.compass.com/listing/267-west-124th-street-unit-ph-manhattan-ny-10027/70784728109705185/view?agent_id=610d3f3370540700019b0833","267 W 124th St, Unit PH")</f>
        <v>267 W 124th St, Unit PH</v>
      </c>
      <c r="C3112" s="25" t="s">
        <v>364</v>
      </c>
      <c r="D3112" s="26" t="s">
        <v>23</v>
      </c>
      <c r="E3112" s="27" t="str">
        <f>HYPERLINK("https://www.compass.com/building/soho-north-manhattan-ny/281981199012956005/","Soho North")</f>
        <v>Soho North</v>
      </c>
      <c r="F3112" s="25" t="s">
        <v>45</v>
      </c>
      <c r="G3112" s="28">
        <v>2538000.0</v>
      </c>
      <c r="H3112" s="28">
        <v>1199.0</v>
      </c>
      <c r="I3112" s="28">
        <v>1792.0</v>
      </c>
      <c r="J3112" s="29"/>
      <c r="K3112" s="25" t="s">
        <v>28</v>
      </c>
      <c r="L3112" s="26">
        <v>5.0</v>
      </c>
      <c r="M3112" s="26">
        <v>2.0</v>
      </c>
      <c r="N3112" s="26">
        <v>0.0</v>
      </c>
      <c r="O3112" s="26">
        <v>0.0</v>
      </c>
      <c r="P3112" s="34">
        <v>2116.0</v>
      </c>
      <c r="Q3112" s="35">
        <v>75.0</v>
      </c>
      <c r="R3112" s="32">
        <v>45636.0</v>
      </c>
      <c r="S3112" s="32">
        <v>43349.0</v>
      </c>
      <c r="T3112" s="29"/>
      <c r="U3112" s="33"/>
      <c r="V3112" s="1"/>
    </row>
    <row r="3113" ht="24.0" customHeight="1">
      <c r="A3113" s="1"/>
      <c r="B3113" s="24" t="str">
        <f>HYPERLINK("https://www.compass.com/listing/200-east-58th-street-unit-14ac-manhattan-ny-10022/820964257833245825/view?agent_id=610d3f3370540700019b0833","200 E 58th St, Unit 14AC")</f>
        <v>200 E 58th St, Unit 14AC</v>
      </c>
      <c r="C3113" s="25" t="s">
        <v>364</v>
      </c>
      <c r="D3113" s="26" t="s">
        <v>23</v>
      </c>
      <c r="E3113" s="27" t="str">
        <f>HYPERLINK("https://www.compass.com/building/the-blair-house-manhattan-ny/281952873007353509/","The Blair House")</f>
        <v>The Blair House</v>
      </c>
      <c r="F3113" s="25" t="s">
        <v>66</v>
      </c>
      <c r="G3113" s="28">
        <v>938000.0</v>
      </c>
      <c r="H3113" s="28">
        <v>1173.0</v>
      </c>
      <c r="I3113" s="28">
        <v>2108.0</v>
      </c>
      <c r="J3113" s="28">
        <v>12768.0</v>
      </c>
      <c r="K3113" s="25" t="s">
        <v>28</v>
      </c>
      <c r="L3113" s="26">
        <v>4.0</v>
      </c>
      <c r="M3113" s="26">
        <v>2.0</v>
      </c>
      <c r="N3113" s="26">
        <v>1.0</v>
      </c>
      <c r="O3113" s="30"/>
      <c r="P3113" s="26">
        <v>800.0</v>
      </c>
      <c r="Q3113" s="35">
        <v>69.0</v>
      </c>
      <c r="R3113" s="32">
        <v>44454.0</v>
      </c>
      <c r="S3113" s="32">
        <v>44384.0</v>
      </c>
      <c r="T3113" s="29"/>
      <c r="U3113" s="33"/>
      <c r="V3113" s="1"/>
    </row>
    <row r="3114" ht="24.0" customHeight="1">
      <c r="A3114" s="1"/>
      <c r="B3114" s="24" t="str">
        <f>HYPERLINK("https://www.compass.com/listing/2-east-55th-street-unit-1021-29-manhattan-ny-10022/206520381002012577/view?agent_id=610d3f3370540700019b0833","2 East 55th Street, Unit 1021/29")</f>
        <v>2 East 55th Street, Unit 1021/29</v>
      </c>
      <c r="C3114" s="25" t="s">
        <v>370</v>
      </c>
      <c r="D3114" s="26" t="s">
        <v>23</v>
      </c>
      <c r="E3114" s="27" t="str">
        <f>HYPERLINK("https://www.compass.com/building/the-st-regis-hotel-manhattan-ny/281952835258615365/","The St. Regis Hotel")</f>
        <v>The St. Regis Hotel</v>
      </c>
      <c r="F3114" s="25" t="s">
        <v>66</v>
      </c>
      <c r="G3114" s="28">
        <v>369000.0</v>
      </c>
      <c r="H3114" s="28">
        <v>386.0</v>
      </c>
      <c r="I3114" s="28">
        <v>1874.0</v>
      </c>
      <c r="J3114" s="28">
        <v>4416.0</v>
      </c>
      <c r="K3114" s="25" t="s">
        <v>28</v>
      </c>
      <c r="L3114" s="26">
        <v>4.0</v>
      </c>
      <c r="M3114" s="26">
        <v>2.0</v>
      </c>
      <c r="N3114" s="26">
        <v>0.0</v>
      </c>
      <c r="O3114" s="26">
        <v>0.0</v>
      </c>
      <c r="P3114" s="26">
        <v>957.0</v>
      </c>
      <c r="Q3114" s="35">
        <v>278.0</v>
      </c>
      <c r="R3114" s="32">
        <v>45636.0</v>
      </c>
      <c r="S3114" s="32">
        <v>42381.0</v>
      </c>
      <c r="T3114" s="29"/>
      <c r="U3114" s="33"/>
      <c r="V3114" s="1"/>
    </row>
    <row r="3115" ht="24.0" customHeight="1">
      <c r="A3115" s="1"/>
      <c r="B3115" s="24" t="str">
        <f>HYPERLINK("https://www.compass.com/listing/45-west-54th-street-unit-8e-manhattan-ny-10019/922040591474575737/view?agent_id=610d3f3370540700019b0833","45 West 54th Street, Unit 8E")</f>
        <v>45 West 54th Street, Unit 8E</v>
      </c>
      <c r="C3115" s="25" t="s">
        <v>370</v>
      </c>
      <c r="D3115" s="26" t="s">
        <v>23</v>
      </c>
      <c r="E3115" s="27" t="str">
        <f>HYPERLINK("https://www.compass.com/building/the-aristocrat-manhattan-ny/281946011906143333/","The Aristocrat")</f>
        <v>The Aristocrat</v>
      </c>
      <c r="F3115" s="25" t="s">
        <v>195</v>
      </c>
      <c r="G3115" s="28">
        <v>749000.0</v>
      </c>
      <c r="H3115" s="29"/>
      <c r="I3115" s="28">
        <v>1152.0</v>
      </c>
      <c r="J3115" s="29"/>
      <c r="K3115" s="25" t="s">
        <v>25</v>
      </c>
      <c r="L3115" s="26">
        <v>4.0</v>
      </c>
      <c r="M3115" s="26">
        <v>2.0</v>
      </c>
      <c r="N3115" s="26">
        <v>0.0</v>
      </c>
      <c r="O3115" s="26">
        <v>0.0</v>
      </c>
      <c r="P3115" s="30"/>
      <c r="Q3115" s="35">
        <v>0.0</v>
      </c>
      <c r="R3115" s="32">
        <v>44581.0</v>
      </c>
      <c r="S3115" s="32">
        <v>41538.0</v>
      </c>
      <c r="T3115" s="29"/>
      <c r="U3115" s="33"/>
      <c r="V3115" s="1"/>
    </row>
    <row r="3116" ht="24.0" customHeight="1">
      <c r="A3116" s="1"/>
      <c r="B3116" s="24" t="str">
        <f>HYPERLINK("https://www.compass.com/listing/408-west-57th-street-unit-2e-new-york-ny-10019/1180528493591085001/view?agent_id=610d3f3370540700019b0833","408 West 57th Street, Unit 2E")</f>
        <v>408 West 57th Street, Unit 2E</v>
      </c>
      <c r="C3116" s="25" t="s">
        <v>365</v>
      </c>
      <c r="D3116" s="26" t="s">
        <v>23</v>
      </c>
      <c r="E3116" s="27" t="str">
        <f>HYPERLINK("https://www.compass.com/building/the-geneva-new-york-ny/281945474464803253/","The Geneva")</f>
        <v>The Geneva</v>
      </c>
      <c r="F3116" s="25" t="s">
        <v>47</v>
      </c>
      <c r="G3116" s="28">
        <v>748000.0</v>
      </c>
      <c r="H3116" s="29"/>
      <c r="I3116" s="28">
        <v>0.0</v>
      </c>
      <c r="J3116" s="28">
        <v>0.0</v>
      </c>
      <c r="K3116" s="25" t="s">
        <v>25</v>
      </c>
      <c r="L3116" s="26">
        <v>2.0</v>
      </c>
      <c r="M3116" s="26">
        <v>2.0</v>
      </c>
      <c r="N3116" s="26">
        <v>1.0</v>
      </c>
      <c r="O3116" s="30"/>
      <c r="P3116" s="30"/>
      <c r="Q3116" s="31"/>
      <c r="R3116" s="32">
        <v>44880.0</v>
      </c>
      <c r="S3116" s="33"/>
      <c r="T3116" s="29"/>
      <c r="U3116" s="33"/>
      <c r="V3116" s="1"/>
    </row>
    <row r="3117" ht="24.0" customHeight="1">
      <c r="A3117" s="1"/>
      <c r="B3117" s="24" t="str">
        <f>HYPERLINK("https://www.compass.com/listing/244-madison-avenue-unit-5h-manhattan-ny-10016/434064651488867065/view?agent_id=610d3f3370540700019b0833","244 Madison Avenue, Unit 5H")</f>
        <v>244 Madison Avenue, Unit 5H</v>
      </c>
      <c r="C3117" s="25" t="s">
        <v>364</v>
      </c>
      <c r="D3117" s="26" t="s">
        <v>23</v>
      </c>
      <c r="E3117" s="27" t="str">
        <f>HYPERLINK("https://www.compass.com/building/murray-hill-plaza-manhattan-ny/292839552987493381/","Murray Hill Plaza")</f>
        <v>Murray Hill Plaza</v>
      </c>
      <c r="F3117" s="25" t="s">
        <v>72</v>
      </c>
      <c r="G3117" s="28">
        <v>999000.0</v>
      </c>
      <c r="H3117" s="29"/>
      <c r="I3117" s="28">
        <v>2151.0</v>
      </c>
      <c r="J3117" s="28">
        <v>0.0</v>
      </c>
      <c r="K3117" s="25" t="s">
        <v>25</v>
      </c>
      <c r="L3117" s="26">
        <v>5.0</v>
      </c>
      <c r="M3117" s="26">
        <v>2.0</v>
      </c>
      <c r="N3117" s="26">
        <v>1.0</v>
      </c>
      <c r="O3117" s="26">
        <v>0.0</v>
      </c>
      <c r="P3117" s="30"/>
      <c r="Q3117" s="35">
        <v>86.0</v>
      </c>
      <c r="R3117" s="32">
        <v>44090.0</v>
      </c>
      <c r="S3117" s="32">
        <v>43993.0</v>
      </c>
      <c r="T3117" s="29"/>
      <c r="U3117" s="33"/>
      <c r="V3117" s="1"/>
    </row>
    <row r="3118" ht="24.0" customHeight="1">
      <c r="A3118" s="1"/>
      <c r="B3118" s="24" t="str">
        <f>HYPERLINK("https://www.compass.com/listing/100-west-39th-street-unit-36a-manhattan-ny-10018/1561806363231342561/view?agent_id=610d3f3370540700019b0833","100 West 39th Street, Unit 36A")</f>
        <v>100 West 39th Street, Unit 36A</v>
      </c>
      <c r="C3118" s="25" t="s">
        <v>370</v>
      </c>
      <c r="D3118" s="26" t="s">
        <v>23</v>
      </c>
      <c r="E3118" s="27" t="str">
        <f>HYPERLINK("https://www.compass.com/building/bryant-park-tower-manhattan-ny/281942856657070597/","Bryant Park Tower")</f>
        <v>Bryant Park Tower</v>
      </c>
      <c r="F3118" s="25" t="s">
        <v>388</v>
      </c>
      <c r="G3118" s="28">
        <v>1348800.0</v>
      </c>
      <c r="H3118" s="28">
        <v>1516.0</v>
      </c>
      <c r="I3118" s="28">
        <v>3012.0</v>
      </c>
      <c r="J3118" s="28">
        <v>14665.0</v>
      </c>
      <c r="K3118" s="25" t="s">
        <v>28</v>
      </c>
      <c r="L3118" s="26">
        <v>4.0</v>
      </c>
      <c r="M3118" s="26">
        <v>2.0</v>
      </c>
      <c r="N3118" s="26">
        <v>1.0</v>
      </c>
      <c r="O3118" s="26">
        <v>0.0</v>
      </c>
      <c r="P3118" s="26">
        <v>890.0</v>
      </c>
      <c r="Q3118" s="35">
        <v>150.0</v>
      </c>
      <c r="R3118" s="32">
        <v>45587.0</v>
      </c>
      <c r="S3118" s="32">
        <v>45407.0</v>
      </c>
      <c r="T3118" s="29"/>
      <c r="U3118" s="33"/>
      <c r="V3118" s="1"/>
    </row>
    <row r="3119" ht="24.0" customHeight="1">
      <c r="A3119" s="1"/>
      <c r="B3119" s="24" t="str">
        <f>HYPERLINK("https://www.compass.com/listing/535-west-52nd-street-unit-10g-manhattan-ny-10019/787295121189506561/view?agent_id=610d3f3370540700019b0833","535 West 52nd Street, Unit 10G")</f>
        <v>535 West 52nd Street, Unit 10G</v>
      </c>
      <c r="C3119" s="25" t="s">
        <v>364</v>
      </c>
      <c r="D3119" s="26" t="s">
        <v>23</v>
      </c>
      <c r="E3119" s="27" t="str">
        <f>HYPERLINK("https://www.compass.com/building/535-w-52nd-st-manhattan-ny/292847931621444293/","535 W 52nd St")</f>
        <v>535 W 52nd St</v>
      </c>
      <c r="F3119" s="25" t="s">
        <v>47</v>
      </c>
      <c r="G3119" s="28">
        <v>628435.0</v>
      </c>
      <c r="H3119" s="28">
        <v>635.0</v>
      </c>
      <c r="I3119" s="28">
        <v>864.0</v>
      </c>
      <c r="J3119" s="28">
        <v>0.0</v>
      </c>
      <c r="K3119" s="25" t="s">
        <v>25</v>
      </c>
      <c r="L3119" s="26">
        <v>5.0</v>
      </c>
      <c r="M3119" s="26">
        <v>2.0</v>
      </c>
      <c r="N3119" s="26">
        <v>1.0</v>
      </c>
      <c r="O3119" s="30"/>
      <c r="P3119" s="26">
        <v>990.0</v>
      </c>
      <c r="Q3119" s="35">
        <v>36.0</v>
      </c>
      <c r="R3119" s="32">
        <v>44501.0</v>
      </c>
      <c r="S3119" s="32">
        <v>44339.0</v>
      </c>
      <c r="T3119" s="29"/>
      <c r="U3119" s="33"/>
      <c r="V3119" s="1"/>
    </row>
    <row r="3120" ht="24.0" customHeight="1">
      <c r="A3120" s="1"/>
      <c r="B3120" s="24" t="str">
        <f>HYPERLINK("https://www.compass.com/listing/2-east-55th-street-unit-1018b-manhattan-ny-10022/4852267680318627681/view?agent_id=610d3f3370540700019b0833","2 East 55th Street, Unit 1018B")</f>
        <v>2 East 55th Street, Unit 1018B</v>
      </c>
      <c r="C3120" s="25" t="s">
        <v>364</v>
      </c>
      <c r="D3120" s="26" t="s">
        <v>23</v>
      </c>
      <c r="E3120" s="27" t="str">
        <f>HYPERLINK("https://www.compass.com/building/the-st-regis-hotel-manhattan-ny/281952835258615365/","The St. Regis Hotel")</f>
        <v>The St. Regis Hotel</v>
      </c>
      <c r="F3120" s="25" t="s">
        <v>66</v>
      </c>
      <c r="G3120" s="28">
        <v>330000.0</v>
      </c>
      <c r="H3120" s="28">
        <v>237.0</v>
      </c>
      <c r="I3120" s="28">
        <v>2029.0</v>
      </c>
      <c r="J3120" s="28">
        <v>4404.0</v>
      </c>
      <c r="K3120" s="25" t="s">
        <v>28</v>
      </c>
      <c r="L3120" s="26">
        <v>5.0</v>
      </c>
      <c r="M3120" s="26">
        <v>2.0</v>
      </c>
      <c r="N3120" s="26">
        <v>0.0</v>
      </c>
      <c r="O3120" s="26">
        <v>0.0</v>
      </c>
      <c r="P3120" s="34">
        <v>1394.0</v>
      </c>
      <c r="Q3120" s="35">
        <v>182.0</v>
      </c>
      <c r="R3120" s="32">
        <v>44581.0</v>
      </c>
      <c r="S3120" s="32">
        <v>41717.0</v>
      </c>
      <c r="T3120" s="29"/>
      <c r="U3120" s="33"/>
      <c r="V3120" s="1"/>
    </row>
    <row r="3121" ht="24.0" customHeight="1">
      <c r="A3121" s="1"/>
      <c r="B3121" s="24" t="str">
        <f>HYPERLINK("https://www.compass.com/listing/244-madison-avenue-unit-14h-manhattan-ny-10016/552022895189182025/view?agent_id=610d3f3370540700019b0833","244 Madison Avenue, Unit 14H")</f>
        <v>244 Madison Avenue, Unit 14H</v>
      </c>
      <c r="C3121" s="25" t="s">
        <v>364</v>
      </c>
      <c r="D3121" s="26" t="s">
        <v>23</v>
      </c>
      <c r="E3121" s="27" t="str">
        <f>HYPERLINK("https://www.compass.com/building/murray-hill-plaza-manhattan-ny/292839552987493381/","Murray Hill Plaza")</f>
        <v>Murray Hill Plaza</v>
      </c>
      <c r="F3121" s="25" t="s">
        <v>72</v>
      </c>
      <c r="G3121" s="28">
        <v>1200000.0</v>
      </c>
      <c r="H3121" s="28">
        <v>1200.0</v>
      </c>
      <c r="I3121" s="28">
        <v>2511.0</v>
      </c>
      <c r="J3121" s="28">
        <v>0.0</v>
      </c>
      <c r="K3121" s="25" t="s">
        <v>25</v>
      </c>
      <c r="L3121" s="26">
        <v>4.0</v>
      </c>
      <c r="M3121" s="26">
        <v>2.0</v>
      </c>
      <c r="N3121" s="26">
        <v>1.0</v>
      </c>
      <c r="O3121" s="30"/>
      <c r="P3121" s="34">
        <v>1000.0</v>
      </c>
      <c r="Q3121" s="35">
        <v>123.0</v>
      </c>
      <c r="R3121" s="32">
        <v>44573.0</v>
      </c>
      <c r="S3121" s="32">
        <v>44014.0</v>
      </c>
      <c r="T3121" s="29"/>
      <c r="U3121" s="33"/>
      <c r="V3121" s="1"/>
    </row>
    <row r="3122" ht="24.0" customHeight="1">
      <c r="A3122" s="1"/>
      <c r="B3122" s="24" t="str">
        <f>HYPERLINK("https://www.compass.com/listing/2-east-55th-street-unit-918-52-manhattan-ny-10022/4852329845364896641/view?agent_id=610d3f3370540700019b0833","2 East 55th Street, Unit 918/52")</f>
        <v>2 East 55th Street, Unit 918/52</v>
      </c>
      <c r="C3122" s="25" t="s">
        <v>370</v>
      </c>
      <c r="D3122" s="26" t="s">
        <v>23</v>
      </c>
      <c r="E3122" s="27" t="str">
        <f>HYPERLINK("https://www.compass.com/building/the-st-regis-hotel-manhattan-ny/281952835258615365/","The St. Regis Hotel")</f>
        <v>The St. Regis Hotel</v>
      </c>
      <c r="F3122" s="25" t="s">
        <v>66</v>
      </c>
      <c r="G3122" s="28">
        <v>600000.0</v>
      </c>
      <c r="H3122" s="28">
        <v>430.0</v>
      </c>
      <c r="I3122" s="28">
        <v>2084.0</v>
      </c>
      <c r="J3122" s="28">
        <v>5508.0</v>
      </c>
      <c r="K3122" s="25" t="s">
        <v>28</v>
      </c>
      <c r="L3122" s="26">
        <v>4.0</v>
      </c>
      <c r="M3122" s="26">
        <v>2.0</v>
      </c>
      <c r="N3122" s="26">
        <v>0.0</v>
      </c>
      <c r="O3122" s="26">
        <v>0.0</v>
      </c>
      <c r="P3122" s="34">
        <v>1394.0</v>
      </c>
      <c r="Q3122" s="35">
        <v>344.0</v>
      </c>
      <c r="R3122" s="32">
        <v>44581.0</v>
      </c>
      <c r="S3122" s="32">
        <v>41172.0</v>
      </c>
      <c r="T3122" s="29"/>
      <c r="U3122" s="33"/>
      <c r="V3122" s="1"/>
    </row>
    <row r="3123" ht="24.0" customHeight="1">
      <c r="A3123" s="1"/>
      <c r="B3123" s="24" t="str">
        <f>HYPERLINK("https://www.compass.com/listing/313-314-23rd-street-unit-1b-brooklyn-ny-11215/107012466243867809/view?agent_id=610d3f3370540700019b0833","313-314 23rd Street, Unit 1B")</f>
        <v>313-314 23rd Street, Unit 1B</v>
      </c>
      <c r="C3123" s="25" t="s">
        <v>364</v>
      </c>
      <c r="D3123" s="26" t="s">
        <v>23</v>
      </c>
      <c r="E3123" s="27" t="str">
        <f>HYPERLINK("https://www.compass.com/building/313-314-23rd-st-brooklyn-ny-11215/436379189240145757/","313-314 23rd St")</f>
        <v>313-314 23rd St</v>
      </c>
      <c r="F3123" s="25" t="s">
        <v>155</v>
      </c>
      <c r="G3123" s="28">
        <v>995000.0</v>
      </c>
      <c r="H3123" s="28">
        <v>547.0</v>
      </c>
      <c r="I3123" s="28">
        <v>272.0</v>
      </c>
      <c r="J3123" s="28">
        <v>180.0</v>
      </c>
      <c r="K3123" s="25" t="s">
        <v>28</v>
      </c>
      <c r="L3123" s="26">
        <v>4.0</v>
      </c>
      <c r="M3123" s="26">
        <v>2.0</v>
      </c>
      <c r="N3123" s="26">
        <v>0.0</v>
      </c>
      <c r="O3123" s="26">
        <v>0.0</v>
      </c>
      <c r="P3123" s="34">
        <v>1820.0</v>
      </c>
      <c r="Q3123" s="35">
        <v>40.0</v>
      </c>
      <c r="R3123" s="32">
        <v>45636.0</v>
      </c>
      <c r="S3123" s="32">
        <v>42997.0</v>
      </c>
      <c r="T3123" s="29"/>
      <c r="U3123" s="33"/>
      <c r="V3123" s="1"/>
    </row>
    <row r="3124" ht="24.0" customHeight="1">
      <c r="A3124" s="1"/>
      <c r="B3124" s="24" t="str">
        <f>HYPERLINK("https://www.compass.com/listing/35-park-avenue-unit-g16-manhattan-ny-10016/826836722024105441/view?agent_id=610d3f3370540700019b0833","35 Park Avenue, Unit G16")</f>
        <v>35 Park Avenue, Unit G16</v>
      </c>
      <c r="C3124" s="25" t="s">
        <v>364</v>
      </c>
      <c r="D3124" s="26" t="s">
        <v>23</v>
      </c>
      <c r="E3124" s="27" t="str">
        <f t="shared" ref="E3124:E3125" si="89">HYPERLINK("https://www.compass.com/building/35-park-ave-manhattan-ny-10016/281940199154441077/","35 Park Ave")</f>
        <v>35 Park Ave</v>
      </c>
      <c r="F3124" s="25" t="s">
        <v>72</v>
      </c>
      <c r="G3124" s="28">
        <v>1625000.0</v>
      </c>
      <c r="H3124" s="28">
        <v>1161.0</v>
      </c>
      <c r="I3124" s="28">
        <v>2995.0</v>
      </c>
      <c r="J3124" s="29"/>
      <c r="K3124" s="25" t="s">
        <v>25</v>
      </c>
      <c r="L3124" s="26">
        <v>4.0</v>
      </c>
      <c r="M3124" s="26">
        <v>2.0</v>
      </c>
      <c r="N3124" s="26">
        <v>0.0</v>
      </c>
      <c r="O3124" s="26">
        <v>0.0</v>
      </c>
      <c r="P3124" s="34">
        <v>1400.0</v>
      </c>
      <c r="Q3124" s="35">
        <v>3.0</v>
      </c>
      <c r="R3124" s="32">
        <v>45636.0</v>
      </c>
      <c r="S3124" s="32">
        <v>42611.0</v>
      </c>
      <c r="T3124" s="29"/>
      <c r="U3124" s="33"/>
      <c r="V3124" s="1"/>
    </row>
    <row r="3125" ht="24.0" customHeight="1">
      <c r="A3125" s="1"/>
      <c r="B3125" s="24" t="str">
        <f>HYPERLINK("https://www.compass.com/listing/35-park-avenue-unit-g16-manhattan-ny-10016/922542894350448241/view?agent_id=610d3f3370540700019b0833","35 Park Avenue, Unit G16")</f>
        <v>35 Park Avenue, Unit G16</v>
      </c>
      <c r="C3125" s="25" t="s">
        <v>364</v>
      </c>
      <c r="D3125" s="26" t="s">
        <v>23</v>
      </c>
      <c r="E3125" s="27" t="str">
        <f t="shared" si="89"/>
        <v>35 Park Ave</v>
      </c>
      <c r="F3125" s="25" t="s">
        <v>72</v>
      </c>
      <c r="G3125" s="28">
        <v>1625000.0</v>
      </c>
      <c r="H3125" s="28">
        <v>1161.0</v>
      </c>
      <c r="I3125" s="28">
        <v>2995.0</v>
      </c>
      <c r="J3125" s="29"/>
      <c r="K3125" s="25" t="s">
        <v>25</v>
      </c>
      <c r="L3125" s="26">
        <v>4.0</v>
      </c>
      <c r="M3125" s="26">
        <v>2.0</v>
      </c>
      <c r="N3125" s="26">
        <v>0.0</v>
      </c>
      <c r="O3125" s="26">
        <v>0.0</v>
      </c>
      <c r="P3125" s="34">
        <v>1400.0</v>
      </c>
      <c r="Q3125" s="35">
        <v>0.0</v>
      </c>
      <c r="R3125" s="32">
        <v>44581.0</v>
      </c>
      <c r="S3125" s="32">
        <v>43182.0</v>
      </c>
      <c r="T3125" s="29"/>
      <c r="U3125" s="33"/>
      <c r="V3125" s="1"/>
    </row>
    <row r="3126" ht="24.0" customHeight="1">
      <c r="A3126" s="1"/>
      <c r="B3126" s="24" t="str">
        <f>HYPERLINK("https://www.compass.com/listing/244-madison-avenue-unit-5h-manhattan-ny-10016/972597370638997385/view?agent_id=610d3f3370540700019b0833","244 Madison Avenue, Unit 5H")</f>
        <v>244 Madison Avenue, Unit 5H</v>
      </c>
      <c r="C3126" s="25" t="s">
        <v>364</v>
      </c>
      <c r="D3126" s="26" t="s">
        <v>23</v>
      </c>
      <c r="E3126" s="27" t="str">
        <f>HYPERLINK("https://www.compass.com/building/murray-hill-plaza-manhattan-ny/292839552987493381/","Murray Hill Plaza")</f>
        <v>Murray Hill Plaza</v>
      </c>
      <c r="F3126" s="25" t="s">
        <v>72</v>
      </c>
      <c r="G3126" s="28">
        <v>1099000.0</v>
      </c>
      <c r="H3126" s="28">
        <v>1099.0</v>
      </c>
      <c r="I3126" s="28">
        <v>2778.0</v>
      </c>
      <c r="J3126" s="28">
        <v>0.0</v>
      </c>
      <c r="K3126" s="25" t="s">
        <v>25</v>
      </c>
      <c r="L3126" s="26">
        <v>4.0</v>
      </c>
      <c r="M3126" s="26">
        <v>2.0</v>
      </c>
      <c r="N3126" s="26">
        <v>1.0</v>
      </c>
      <c r="O3126" s="26">
        <v>0.0</v>
      </c>
      <c r="P3126" s="34">
        <v>1000.0</v>
      </c>
      <c r="Q3126" s="35">
        <v>90.0</v>
      </c>
      <c r="R3126" s="32">
        <v>44802.0</v>
      </c>
      <c r="S3126" s="32">
        <v>44712.0</v>
      </c>
      <c r="T3126" s="29"/>
      <c r="U3126" s="33"/>
      <c r="V3126" s="1"/>
    </row>
    <row r="3127" ht="24.0" customHeight="1">
      <c r="A3127" s="1"/>
      <c r="B3127" s="24" t="str">
        <f>HYPERLINK("https://www.compass.com/listing/245-east-37th-street-unit-6b-manhattan-ny-10016/655028492628552545/view?agent_id=610d3f3370540700019b0833","245 East 37th Street, Unit 6B")</f>
        <v>245 East 37th Street, Unit 6B</v>
      </c>
      <c r="C3127" s="25" t="s">
        <v>365</v>
      </c>
      <c r="D3127" s="26" t="s">
        <v>23</v>
      </c>
      <c r="E3127" s="27" t="str">
        <f>HYPERLINK("https://www.compass.com/building/245-e-37th-st-manhattan-ny-10016/292842074896660421/","245 E 37th St")</f>
        <v>245 E 37th St</v>
      </c>
      <c r="F3127" s="25" t="s">
        <v>72</v>
      </c>
      <c r="G3127" s="28">
        <v>925000.0</v>
      </c>
      <c r="H3127" s="28">
        <v>771.0</v>
      </c>
      <c r="I3127" s="28">
        <v>1759.0</v>
      </c>
      <c r="J3127" s="28">
        <v>0.0</v>
      </c>
      <c r="K3127" s="25" t="s">
        <v>25</v>
      </c>
      <c r="L3127" s="26">
        <v>4.0</v>
      </c>
      <c r="M3127" s="26">
        <v>2.0</v>
      </c>
      <c r="N3127" s="26">
        <v>1.0</v>
      </c>
      <c r="O3127" s="30"/>
      <c r="P3127" s="34">
        <v>1200.0</v>
      </c>
      <c r="Q3127" s="35">
        <v>27.0</v>
      </c>
      <c r="R3127" s="32">
        <v>44193.0</v>
      </c>
      <c r="S3127" s="32">
        <v>44166.0</v>
      </c>
      <c r="T3127" s="29"/>
      <c r="U3127" s="33"/>
      <c r="V3127" s="1"/>
    </row>
    <row r="3128" ht="24.0" customHeight="1">
      <c r="A3128" s="1"/>
      <c r="B3128" s="24" t="str">
        <f>HYPERLINK("https://www.compass.com/listing/2-east-55th-street-unit-903-manhattan-ny-10022/192575238150564737/view?agent_id=610d3f3370540700019b0833","2 East 55th Street, Unit 903")</f>
        <v>2 East 55th Street, Unit 903</v>
      </c>
      <c r="C3128" s="25" t="s">
        <v>364</v>
      </c>
      <c r="D3128" s="26" t="s">
        <v>23</v>
      </c>
      <c r="E3128" s="27" t="str">
        <f>HYPERLINK("https://www.compass.com/building/the-st-regis-hotel-manhattan-ny/281952835258615365/","The St. Regis Hotel")</f>
        <v>The St. Regis Hotel</v>
      </c>
      <c r="F3128" s="25" t="s">
        <v>66</v>
      </c>
      <c r="G3128" s="28">
        <v>320000.0</v>
      </c>
      <c r="H3128" s="28">
        <v>232.0</v>
      </c>
      <c r="I3128" s="28">
        <v>2073.0</v>
      </c>
      <c r="J3128" s="28">
        <v>4404.0</v>
      </c>
      <c r="K3128" s="25" t="s">
        <v>28</v>
      </c>
      <c r="L3128" s="26">
        <v>4.0</v>
      </c>
      <c r="M3128" s="26">
        <v>2.0</v>
      </c>
      <c r="N3128" s="26">
        <v>0.0</v>
      </c>
      <c r="O3128" s="26">
        <v>0.0</v>
      </c>
      <c r="P3128" s="34">
        <v>1382.0</v>
      </c>
      <c r="Q3128" s="35">
        <v>1988.0</v>
      </c>
      <c r="R3128" s="32">
        <v>44581.0</v>
      </c>
      <c r="S3128" s="32">
        <v>42592.0</v>
      </c>
      <c r="T3128" s="29"/>
      <c r="U3128" s="33"/>
      <c r="V3128" s="1"/>
    </row>
    <row r="3129" ht="24.0" customHeight="1">
      <c r="A3129" s="1"/>
      <c r="B3129" s="24" t="str">
        <f>HYPERLINK("https://www.compass.com/listing/200-east-58th-street-unit-14a-manhattan-ny-10022/796314886837257529/view?agent_id=610d3f3370540700019b0833","200 East 58th Street, Unit 14A")</f>
        <v>200 East 58th Street, Unit 14A</v>
      </c>
      <c r="C3129" s="25" t="s">
        <v>364</v>
      </c>
      <c r="D3129" s="26" t="s">
        <v>23</v>
      </c>
      <c r="E3129" s="27" t="str">
        <f>HYPERLINK("https://www.compass.com/building/the-blair-house-manhattan-ny/281952873007353509/","The Blair House")</f>
        <v>The Blair House</v>
      </c>
      <c r="F3129" s="25" t="s">
        <v>66</v>
      </c>
      <c r="G3129" s="28">
        <v>998000.0</v>
      </c>
      <c r="H3129" s="28">
        <v>1248.0</v>
      </c>
      <c r="I3129" s="28">
        <v>2109.0</v>
      </c>
      <c r="J3129" s="28">
        <v>12771.0</v>
      </c>
      <c r="K3129" s="25" t="s">
        <v>28</v>
      </c>
      <c r="L3129" s="26">
        <v>4.0</v>
      </c>
      <c r="M3129" s="26">
        <v>2.0</v>
      </c>
      <c r="N3129" s="26">
        <v>1.0</v>
      </c>
      <c r="O3129" s="30"/>
      <c r="P3129" s="26">
        <v>800.0</v>
      </c>
      <c r="Q3129" s="35">
        <v>32.0</v>
      </c>
      <c r="R3129" s="32">
        <v>44384.0</v>
      </c>
      <c r="S3129" s="32">
        <v>44351.0</v>
      </c>
      <c r="T3129" s="29"/>
      <c r="U3129" s="33"/>
      <c r="V3129" s="1"/>
    </row>
    <row r="3130" ht="24.0" customHeight="1">
      <c r="A3130" s="1"/>
      <c r="B3130" s="24" t="str">
        <f>HYPERLINK("https://www.compass.com/listing/120-west-58th-street-unit-3c-manhattan-ny-10019/4852350747091665073/view?agent_id=610d3f3370540700019b0833","120 W 58th St, Unit 3C")</f>
        <v>120 W 58th St, Unit 3C</v>
      </c>
      <c r="C3130" s="25" t="s">
        <v>364</v>
      </c>
      <c r="D3130" s="26" t="s">
        <v>23</v>
      </c>
      <c r="E3130" s="27" t="str">
        <f>HYPERLINK("https://www.compass.com/building/park-south-manhattan-ny/281943708696373045/","Park South")</f>
        <v>Park South</v>
      </c>
      <c r="F3130" s="25" t="s">
        <v>195</v>
      </c>
      <c r="G3130" s="28">
        <v>999000.0</v>
      </c>
      <c r="H3130" s="29"/>
      <c r="I3130" s="28">
        <v>1344.0</v>
      </c>
      <c r="J3130" s="28">
        <v>6813.0</v>
      </c>
      <c r="K3130" s="25" t="s">
        <v>28</v>
      </c>
      <c r="L3130" s="26">
        <v>3.0</v>
      </c>
      <c r="M3130" s="26">
        <v>2.0</v>
      </c>
      <c r="N3130" s="30"/>
      <c r="O3130" s="30"/>
      <c r="P3130" s="30"/>
      <c r="Q3130" s="35">
        <v>63.0</v>
      </c>
      <c r="R3130" s="32">
        <v>42179.0</v>
      </c>
      <c r="S3130" s="32">
        <v>42116.0</v>
      </c>
      <c r="T3130" s="29"/>
      <c r="U3130" s="33"/>
      <c r="V3130" s="1"/>
    </row>
    <row r="3131" ht="24.0" customHeight="1">
      <c r="A3131" s="1"/>
      <c r="B3131" s="24" t="str">
        <f>HYPERLINK("https://www.compass.com/listing/3-west-122nd-street-unit-5a-manhattan-ny-10027/1106698169413556793/view?agent_id=610d3f3370540700019b0833","3 West 122nd Street, Unit 5A")</f>
        <v>3 West 122nd Street, Unit 5A</v>
      </c>
      <c r="C3131" s="25" t="s">
        <v>364</v>
      </c>
      <c r="D3131" s="26" t="s">
        <v>23</v>
      </c>
      <c r="E3131" s="27" t="str">
        <f>HYPERLINK("https://www.compass.com/building/the-palm-tree-condominiums-manhattan-ny/281981424750397589/","The Palm Tree Condominiums")</f>
        <v>The Palm Tree Condominiums</v>
      </c>
      <c r="F3131" s="25" t="s">
        <v>45</v>
      </c>
      <c r="G3131" s="28">
        <v>875000.0</v>
      </c>
      <c r="H3131" s="28">
        <v>1117.0</v>
      </c>
      <c r="I3131" s="28">
        <v>1195.0</v>
      </c>
      <c r="J3131" s="28">
        <v>4056.0</v>
      </c>
      <c r="K3131" s="25" t="s">
        <v>28</v>
      </c>
      <c r="L3131" s="26">
        <v>4.0</v>
      </c>
      <c r="M3131" s="26">
        <v>2.0</v>
      </c>
      <c r="N3131" s="26">
        <v>1.0</v>
      </c>
      <c r="O3131" s="30"/>
      <c r="P3131" s="26">
        <v>783.0</v>
      </c>
      <c r="Q3131" s="35">
        <v>123.0</v>
      </c>
      <c r="R3131" s="32">
        <v>44902.0</v>
      </c>
      <c r="S3131" s="32">
        <v>44778.0</v>
      </c>
      <c r="T3131" s="29"/>
      <c r="U3131" s="33"/>
      <c r="V3131" s="1"/>
    </row>
    <row r="3132" ht="24.0" customHeight="1">
      <c r="A3132" s="1"/>
      <c r="B3132" s="24" t="str">
        <f>HYPERLINK("https://www.compass.com/listing/420-east-55th-street-unit-1f-new-york-ny-10022/723246650529530273/view?agent_id=610d3f3370540700019b0833","420 East 55th Street, Unit 1F")</f>
        <v>420 East 55th Street, Unit 1F</v>
      </c>
      <c r="C3132" s="25" t="s">
        <v>364</v>
      </c>
      <c r="D3132" s="26" t="s">
        <v>23</v>
      </c>
      <c r="E3132" s="27" t="str">
        <f>HYPERLINK("https://www.compass.com/building/420-e-55th-st-new-york-ny-10022/292858555877370357/","420 E 55th St")</f>
        <v>420 E 55th St</v>
      </c>
      <c r="F3132" s="25" t="s">
        <v>73</v>
      </c>
      <c r="G3132" s="28">
        <v>525000.0</v>
      </c>
      <c r="H3132" s="28">
        <v>583.0</v>
      </c>
      <c r="I3132" s="28">
        <v>1858.0</v>
      </c>
      <c r="J3132" s="28">
        <v>0.0</v>
      </c>
      <c r="K3132" s="25" t="s">
        <v>25</v>
      </c>
      <c r="L3132" s="26">
        <v>5.0</v>
      </c>
      <c r="M3132" s="26">
        <v>2.0</v>
      </c>
      <c r="N3132" s="26">
        <v>1.0</v>
      </c>
      <c r="O3132" s="26">
        <v>0.0</v>
      </c>
      <c r="P3132" s="26">
        <v>900.0</v>
      </c>
      <c r="Q3132" s="35">
        <v>181.0</v>
      </c>
      <c r="R3132" s="32">
        <v>44599.0</v>
      </c>
      <c r="S3132" s="32">
        <v>44249.0</v>
      </c>
      <c r="T3132" s="29"/>
      <c r="U3132" s="33"/>
      <c r="V3132" s="1"/>
    </row>
    <row r="3133" ht="24.0" customHeight="1">
      <c r="A3133" s="1"/>
      <c r="B3133" s="24" t="str">
        <f>HYPERLINK("https://www.compass.com/listing/308-east-38th-street-unit-3f-manhattan-ny-10016/1044377787862146689/view?agent_id=610d3f3370540700019b0833","308 East 38th Street, Unit 3F")</f>
        <v>308 East 38th Street, Unit 3F</v>
      </c>
      <c r="C3133" s="25" t="s">
        <v>370</v>
      </c>
      <c r="D3133" s="26" t="s">
        <v>23</v>
      </c>
      <c r="E3133" s="27" t="str">
        <f>HYPERLINK("https://www.compass.com/building/the-vantage-manhattan-ny/281939571384571925/","The Vantage")</f>
        <v>The Vantage</v>
      </c>
      <c r="F3133" s="25" t="s">
        <v>72</v>
      </c>
      <c r="G3133" s="28">
        <v>855000.0</v>
      </c>
      <c r="H3133" s="29"/>
      <c r="I3133" s="28">
        <v>1373.0</v>
      </c>
      <c r="J3133" s="28">
        <v>9043.0</v>
      </c>
      <c r="K3133" s="25" t="s">
        <v>28</v>
      </c>
      <c r="L3133" s="26">
        <v>4.0</v>
      </c>
      <c r="M3133" s="26">
        <v>2.0</v>
      </c>
      <c r="N3133" s="26">
        <v>1.0</v>
      </c>
      <c r="O3133" s="26">
        <v>0.0</v>
      </c>
      <c r="P3133" s="30"/>
      <c r="Q3133" s="35">
        <v>207.0</v>
      </c>
      <c r="R3133" s="32">
        <v>44900.0</v>
      </c>
      <c r="S3133" s="32">
        <v>44692.0</v>
      </c>
      <c r="T3133" s="29"/>
      <c r="U3133" s="33"/>
      <c r="V3133" s="1"/>
    </row>
    <row r="3134" ht="24.0" customHeight="1">
      <c r="A3134" s="1"/>
      <c r="B3134" s="24" t="str">
        <f>HYPERLINK("https://www.compass.com/listing/3-west-122nd-street-unit-3b-manhattan-ny-10027/1085463517181870561/view?agent_id=610d3f3370540700019b0833","3 West 122nd Street, Unit 3B")</f>
        <v>3 West 122nd Street, Unit 3B</v>
      </c>
      <c r="C3134" s="25" t="s">
        <v>370</v>
      </c>
      <c r="D3134" s="26" t="s">
        <v>23</v>
      </c>
      <c r="E3134" s="27" t="str">
        <f>HYPERLINK("https://www.compass.com/building/the-palm-tree-condominiums-manhattan-ny/281981424750397589/","The Palm Tree Condominiums")</f>
        <v>The Palm Tree Condominiums</v>
      </c>
      <c r="F3134" s="25" t="s">
        <v>45</v>
      </c>
      <c r="G3134" s="28">
        <v>699000.0</v>
      </c>
      <c r="H3134" s="28">
        <v>1028.0</v>
      </c>
      <c r="I3134" s="28">
        <v>992.0</v>
      </c>
      <c r="J3134" s="28">
        <v>3000.0</v>
      </c>
      <c r="K3134" s="25" t="s">
        <v>28</v>
      </c>
      <c r="L3134" s="26">
        <v>3.0</v>
      </c>
      <c r="M3134" s="26">
        <v>2.0</v>
      </c>
      <c r="N3134" s="26">
        <v>1.0</v>
      </c>
      <c r="O3134" s="30"/>
      <c r="P3134" s="26">
        <v>680.0</v>
      </c>
      <c r="Q3134" s="35">
        <v>177.0</v>
      </c>
      <c r="R3134" s="32">
        <v>44928.0</v>
      </c>
      <c r="S3134" s="32">
        <v>44750.0</v>
      </c>
      <c r="T3134" s="29"/>
      <c r="U3134" s="33"/>
      <c r="V3134" s="1"/>
    </row>
    <row r="3135" ht="24.0" customHeight="1">
      <c r="A3135" s="1"/>
      <c r="B3135" s="24" t="str">
        <f>HYPERLINK("https://www.compass.com/listing/120-west-58th-street-unit-3c-manhattan-ny-10019/979874909580773561/view?agent_id=610d3f3370540700019b0833","120 West 58th Street, Unit 3C")</f>
        <v>120 West 58th Street, Unit 3C</v>
      </c>
      <c r="C3135" s="25" t="s">
        <v>365</v>
      </c>
      <c r="D3135" s="26" t="s">
        <v>23</v>
      </c>
      <c r="E3135" s="27" t="str">
        <f>HYPERLINK("https://www.compass.com/building/park-south-manhattan-ny/281943708696373045/","Park South")</f>
        <v>Park South</v>
      </c>
      <c r="F3135" s="25" t="s">
        <v>195</v>
      </c>
      <c r="G3135" s="28">
        <v>925000.0</v>
      </c>
      <c r="H3135" s="29"/>
      <c r="I3135" s="28">
        <v>1554.0</v>
      </c>
      <c r="J3135" s="28">
        <v>8581.0</v>
      </c>
      <c r="K3135" s="25" t="s">
        <v>28</v>
      </c>
      <c r="L3135" s="26">
        <v>4.0</v>
      </c>
      <c r="M3135" s="26">
        <v>2.0</v>
      </c>
      <c r="N3135" s="26">
        <v>1.0</v>
      </c>
      <c r="O3135" s="30"/>
      <c r="P3135" s="30"/>
      <c r="Q3135" s="35">
        <v>15.0</v>
      </c>
      <c r="R3135" s="32">
        <v>44618.0</v>
      </c>
      <c r="S3135" s="32">
        <v>44603.0</v>
      </c>
      <c r="T3135" s="29"/>
      <c r="U3135" s="33"/>
      <c r="V3135" s="1"/>
    </row>
    <row r="3136" ht="24.0" customHeight="1">
      <c r="A3136" s="1"/>
      <c r="B3136" s="24" t="str">
        <f>HYPERLINK("https://www.compass.com/listing/2-east-55th-street-unit-1135-manhattan-ny-10022/4852315540271666609/view?agent_id=610d3f3370540700019b0833","2 East 55th Street, Unit 1135")</f>
        <v>2 East 55th Street, Unit 1135</v>
      </c>
      <c r="C3136" s="25" t="s">
        <v>370</v>
      </c>
      <c r="D3136" s="26" t="s">
        <v>23</v>
      </c>
      <c r="E3136" s="27" t="str">
        <f>HYPERLINK("https://www.compass.com/building/the-st-regis-hotel-manhattan-ny/281952835258615365/","The St. Regis Hotel")</f>
        <v>The St. Regis Hotel</v>
      </c>
      <c r="F3136" s="25" t="s">
        <v>66</v>
      </c>
      <c r="G3136" s="28">
        <v>725000.0</v>
      </c>
      <c r="H3136" s="28">
        <v>448.0</v>
      </c>
      <c r="I3136" s="28">
        <v>1594.0</v>
      </c>
      <c r="J3136" s="29"/>
      <c r="K3136" s="25" t="s">
        <v>28</v>
      </c>
      <c r="L3136" s="26">
        <v>5.0</v>
      </c>
      <c r="M3136" s="26">
        <v>2.0</v>
      </c>
      <c r="N3136" s="26">
        <v>0.0</v>
      </c>
      <c r="O3136" s="26">
        <v>0.0</v>
      </c>
      <c r="P3136" s="34">
        <v>1620.0</v>
      </c>
      <c r="Q3136" s="35">
        <v>169.0</v>
      </c>
      <c r="R3136" s="32">
        <v>44581.0</v>
      </c>
      <c r="S3136" s="32">
        <v>41718.0</v>
      </c>
      <c r="T3136" s="29"/>
      <c r="U3136" s="33"/>
      <c r="V3136" s="1"/>
    </row>
    <row r="3137" ht="24.0" customHeight="1">
      <c r="A3137" s="1"/>
      <c r="B3137" s="24" t="str">
        <f>HYPERLINK("https://www.compass.com/listing/266-west-115th-street-unit-7a-manhattan-ny-10026/29429256253703457/view?agent_id=610d3f3370540700019b0833","266 West 115th Street, Unit 7A")</f>
        <v>266 West 115th Street, Unit 7A</v>
      </c>
      <c r="C3137" s="25" t="s">
        <v>364</v>
      </c>
      <c r="D3137" s="26" t="s">
        <v>23</v>
      </c>
      <c r="E3137" s="27" t="str">
        <f>HYPERLINK("https://www.compass.com/building/the-palomar-manhattan-ny/281976014802875157/","The Palomar")</f>
        <v>The Palomar</v>
      </c>
      <c r="F3137" s="25" t="s">
        <v>45</v>
      </c>
      <c r="G3137" s="28">
        <v>1195000.0</v>
      </c>
      <c r="H3137" s="28">
        <v>982.0</v>
      </c>
      <c r="I3137" s="28">
        <v>704.0</v>
      </c>
      <c r="J3137" s="28">
        <v>540.0</v>
      </c>
      <c r="K3137" s="25" t="s">
        <v>28</v>
      </c>
      <c r="L3137" s="26">
        <v>5.0</v>
      </c>
      <c r="M3137" s="26">
        <v>2.0</v>
      </c>
      <c r="N3137" s="26">
        <v>0.0</v>
      </c>
      <c r="O3137" s="26">
        <v>0.0</v>
      </c>
      <c r="P3137" s="34">
        <v>1217.0</v>
      </c>
      <c r="Q3137" s="35">
        <v>6.0</v>
      </c>
      <c r="R3137" s="32">
        <v>44581.0</v>
      </c>
      <c r="S3137" s="32">
        <v>43193.0</v>
      </c>
      <c r="T3137" s="29"/>
      <c r="U3137" s="33"/>
      <c r="V3137" s="1"/>
    </row>
    <row r="3138" ht="24.0" customHeight="1">
      <c r="A3138" s="1"/>
      <c r="B3138" s="24" t="str">
        <f>HYPERLINK("https://www.compass.com/listing/137-east-36th-street-unit-24c-manhattan-ny-10016/803392525687281265/view?agent_id=610d3f3370540700019b0833","137 East 36th Street, Unit 24C")</f>
        <v>137 East 36th Street, Unit 24C</v>
      </c>
      <c r="C3138" s="25" t="s">
        <v>364</v>
      </c>
      <c r="D3138" s="26" t="s">
        <v>23</v>
      </c>
      <c r="E3138" s="27" t="str">
        <f>HYPERLINK("https://www.compass.com/building/the-carlton-regency-manhattan-ny/281937346574733269/","The Carlton Regency")</f>
        <v>The Carlton Regency</v>
      </c>
      <c r="F3138" s="25" t="s">
        <v>72</v>
      </c>
      <c r="G3138" s="28">
        <v>865000.0</v>
      </c>
      <c r="H3138" s="28">
        <v>1081.0</v>
      </c>
      <c r="I3138" s="28">
        <v>1768.0</v>
      </c>
      <c r="J3138" s="29"/>
      <c r="K3138" s="25" t="s">
        <v>25</v>
      </c>
      <c r="L3138" s="26">
        <v>5.0</v>
      </c>
      <c r="M3138" s="26">
        <v>2.0</v>
      </c>
      <c r="N3138" s="26">
        <v>0.0</v>
      </c>
      <c r="O3138" s="26">
        <v>0.0</v>
      </c>
      <c r="P3138" s="26">
        <v>800.0</v>
      </c>
      <c r="Q3138" s="35">
        <v>179.0</v>
      </c>
      <c r="R3138" s="32">
        <v>45636.0</v>
      </c>
      <c r="S3138" s="32">
        <v>41816.0</v>
      </c>
      <c r="T3138" s="29"/>
      <c r="U3138" s="33"/>
      <c r="V3138" s="1"/>
    </row>
    <row r="3139" ht="24.0" customHeight="1">
      <c r="A3139" s="1"/>
      <c r="B3139" s="24" t="str">
        <f>HYPERLINK("https://www.compass.com/listing/27-west-55th-street-unit-1a-manhattan-ny-10019/4852350278638243633/view?agent_id=610d3f3370540700019b0833","27 W 55th St, Unit 1A")</f>
        <v>27 W 55th St, Unit 1A</v>
      </c>
      <c r="C3139" s="25" t="s">
        <v>364</v>
      </c>
      <c r="D3139" s="26" t="s">
        <v>23</v>
      </c>
      <c r="E3139" s="27" t="str">
        <f>HYPERLINK("https://www.compass.com/building/27-w-55th-st-manhattan-ny-10019/281944483224940405/","27 W 55th St")</f>
        <v>27 W 55th St</v>
      </c>
      <c r="F3139" s="25" t="s">
        <v>195</v>
      </c>
      <c r="G3139" s="28">
        <v>795000.0</v>
      </c>
      <c r="H3139" s="28">
        <v>1019.0</v>
      </c>
      <c r="I3139" s="28">
        <v>1715.0</v>
      </c>
      <c r="J3139" s="28">
        <v>0.0</v>
      </c>
      <c r="K3139" s="25" t="s">
        <v>25</v>
      </c>
      <c r="L3139" s="26">
        <v>4.0</v>
      </c>
      <c r="M3139" s="26">
        <v>2.0</v>
      </c>
      <c r="N3139" s="30"/>
      <c r="O3139" s="30"/>
      <c r="P3139" s="26">
        <v>780.0</v>
      </c>
      <c r="Q3139" s="35">
        <v>0.0</v>
      </c>
      <c r="R3139" s="32">
        <v>42296.0</v>
      </c>
      <c r="S3139" s="32">
        <v>42283.0</v>
      </c>
      <c r="T3139" s="29"/>
      <c r="U3139" s="33"/>
      <c r="V3139" s="1"/>
    </row>
    <row r="3140" ht="24.0" customHeight="1">
      <c r="A3140" s="1"/>
      <c r="B3140" s="24" t="str">
        <f>HYPERLINK("https://www.compass.com/listing/308-east-38th-street-unit-5e-manhattan-ny-10016/1838926947007291921/view?agent_id=610d3f3370540700019b0833","308 East 38th Street, Unit 5E")</f>
        <v>308 East 38th Street, Unit 5E</v>
      </c>
      <c r="C3140" s="25" t="s">
        <v>364</v>
      </c>
      <c r="D3140" s="26" t="s">
        <v>23</v>
      </c>
      <c r="E3140" s="27" t="str">
        <f t="shared" ref="E3140:E3141" si="90">HYPERLINK("https://www.compass.com/building/the-vantage-manhattan-ny/281939571384571925/","The Vantage")</f>
        <v>The Vantage</v>
      </c>
      <c r="F3140" s="25" t="s">
        <v>72</v>
      </c>
      <c r="G3140" s="28">
        <v>1279000.0</v>
      </c>
      <c r="H3140" s="28">
        <v>1224.0</v>
      </c>
      <c r="I3140" s="28">
        <v>2368.0</v>
      </c>
      <c r="J3140" s="28">
        <v>16344.0</v>
      </c>
      <c r="K3140" s="25" t="s">
        <v>28</v>
      </c>
      <c r="L3140" s="26">
        <v>4.0</v>
      </c>
      <c r="M3140" s="26">
        <v>2.0</v>
      </c>
      <c r="N3140" s="26">
        <v>0.0</v>
      </c>
      <c r="O3140" s="26">
        <v>0.0</v>
      </c>
      <c r="P3140" s="34">
        <v>1045.0</v>
      </c>
      <c r="Q3140" s="35">
        <v>1.0</v>
      </c>
      <c r="R3140" s="32">
        <v>45636.0</v>
      </c>
      <c r="S3140" s="32">
        <v>43222.0</v>
      </c>
      <c r="T3140" s="29"/>
      <c r="U3140" s="33"/>
      <c r="V3140" s="1"/>
    </row>
    <row r="3141" ht="24.0" customHeight="1">
      <c r="A3141" s="1"/>
      <c r="B3141" s="24" t="str">
        <f>HYPERLINK("https://www.compass.com/listing/308-east-38th-street-unit-5e-manhattan-ny-10016/919715520181633289/view?agent_id=610d3f3370540700019b0833","308 East 38th Street, Unit 5E")</f>
        <v>308 East 38th Street, Unit 5E</v>
      </c>
      <c r="C3141" s="25" t="s">
        <v>364</v>
      </c>
      <c r="D3141" s="26" t="s">
        <v>23</v>
      </c>
      <c r="E3141" s="27" t="str">
        <f t="shared" si="90"/>
        <v>The Vantage</v>
      </c>
      <c r="F3141" s="25" t="s">
        <v>72</v>
      </c>
      <c r="G3141" s="28">
        <v>1279000.0</v>
      </c>
      <c r="H3141" s="28">
        <v>1224.0</v>
      </c>
      <c r="I3141" s="28">
        <v>2368.0</v>
      </c>
      <c r="J3141" s="28">
        <v>16344.0</v>
      </c>
      <c r="K3141" s="25" t="s">
        <v>28</v>
      </c>
      <c r="L3141" s="26">
        <v>4.0</v>
      </c>
      <c r="M3141" s="26">
        <v>2.0</v>
      </c>
      <c r="N3141" s="26">
        <v>0.0</v>
      </c>
      <c r="O3141" s="26">
        <v>0.0</v>
      </c>
      <c r="P3141" s="34">
        <v>1045.0</v>
      </c>
      <c r="Q3141" s="35">
        <v>0.0</v>
      </c>
      <c r="R3141" s="32">
        <v>44581.0</v>
      </c>
      <c r="S3141" s="32">
        <v>43221.0</v>
      </c>
      <c r="T3141" s="29"/>
      <c r="U3141" s="33"/>
      <c r="V3141" s="1"/>
    </row>
    <row r="3142" ht="24.0" customHeight="1">
      <c r="A3142" s="1"/>
      <c r="B3142" s="24" t="str">
        <f>HYPERLINK("https://www.compass.com/listing/136-east-56th-street-unit-3d-manhattan-ny-10022/29506417287307665/view?agent_id=610d3f3370540700019b0833","136 East 56th Street, Unit 3D")</f>
        <v>136 East 56th Street, Unit 3D</v>
      </c>
      <c r="C3142" s="25" t="s">
        <v>370</v>
      </c>
      <c r="D3142" s="26" t="s">
        <v>23</v>
      </c>
      <c r="E3142" s="27" t="str">
        <f>HYPERLINK("https://www.compass.com/building/136-east-56th-street-manhattan-ny/281952590260930501/","136 East 56th Street ")</f>
        <v>136 East 56th Street </v>
      </c>
      <c r="F3142" s="25" t="s">
        <v>66</v>
      </c>
      <c r="G3142" s="28">
        <v>799000.0</v>
      </c>
      <c r="H3142" s="29"/>
      <c r="I3142" s="28">
        <v>1903.0</v>
      </c>
      <c r="J3142" s="29"/>
      <c r="K3142" s="25" t="s">
        <v>25</v>
      </c>
      <c r="L3142" s="26">
        <v>4.0</v>
      </c>
      <c r="M3142" s="26">
        <v>2.0</v>
      </c>
      <c r="N3142" s="26">
        <v>1.0</v>
      </c>
      <c r="O3142" s="26">
        <v>0.0</v>
      </c>
      <c r="P3142" s="30"/>
      <c r="Q3142" s="35">
        <v>111.0</v>
      </c>
      <c r="R3142" s="32">
        <v>45636.0</v>
      </c>
      <c r="S3142" s="32">
        <v>43202.0</v>
      </c>
      <c r="T3142" s="29"/>
      <c r="U3142" s="33"/>
      <c r="V3142" s="1"/>
    </row>
    <row r="3143" ht="24.0" customHeight="1">
      <c r="A3143" s="1"/>
      <c r="B3143" s="24" t="str">
        <f>HYPERLINK("https://www.compass.com/listing/308-east-38th-street-unit-5e1-manhattan-ny-10016/21054521853736769/view?agent_id=610d3f3370540700019b0833","308 East 38th Street, Unit 5E1")</f>
        <v>308 East 38th Street, Unit 5E1</v>
      </c>
      <c r="C3143" s="25" t="s">
        <v>364</v>
      </c>
      <c r="D3143" s="26" t="s">
        <v>23</v>
      </c>
      <c r="E3143" s="27" t="str">
        <f>HYPERLINK("https://www.compass.com/building/the-vantage-manhattan-ny/281939571384571925/","The Vantage")</f>
        <v>The Vantage</v>
      </c>
      <c r="F3143" s="25" t="s">
        <v>72</v>
      </c>
      <c r="G3143" s="28">
        <v>1279000.0</v>
      </c>
      <c r="H3143" s="28">
        <v>1224.0</v>
      </c>
      <c r="I3143" s="28">
        <v>2414.0</v>
      </c>
      <c r="J3143" s="28">
        <v>16344.0</v>
      </c>
      <c r="K3143" s="25" t="s">
        <v>28</v>
      </c>
      <c r="L3143" s="26">
        <v>4.0</v>
      </c>
      <c r="M3143" s="26">
        <v>2.0</v>
      </c>
      <c r="N3143" s="26">
        <v>0.0</v>
      </c>
      <c r="O3143" s="26">
        <v>0.0</v>
      </c>
      <c r="P3143" s="34">
        <v>1045.0</v>
      </c>
      <c r="Q3143" s="35">
        <v>90.0</v>
      </c>
      <c r="R3143" s="32">
        <v>45636.0</v>
      </c>
      <c r="S3143" s="32">
        <v>43223.0</v>
      </c>
      <c r="T3143" s="29"/>
      <c r="U3143" s="33"/>
      <c r="V3143" s="1"/>
    </row>
    <row r="3144" ht="24.0" customHeight="1">
      <c r="A3144" s="1"/>
      <c r="B3144" s="24" t="str">
        <f>HYPERLINK("https://www.compass.com/listing/137-east-36th-street-unit-9c-manhattan-ny-10016/596290768078209193/view?agent_id=610d3f3370540700019b0833","137 East 36th Street, Unit 9C")</f>
        <v>137 East 36th Street, Unit 9C</v>
      </c>
      <c r="C3144" s="25" t="s">
        <v>364</v>
      </c>
      <c r="D3144" s="26" t="s">
        <v>23</v>
      </c>
      <c r="E3144" s="27" t="str">
        <f>HYPERLINK("https://www.compass.com/building/the-carlton-regency-manhattan-ny/281937346574733269/","The Carlton Regency")</f>
        <v>The Carlton Regency</v>
      </c>
      <c r="F3144" s="25" t="s">
        <v>72</v>
      </c>
      <c r="G3144" s="28">
        <v>819000.0</v>
      </c>
      <c r="H3144" s="29"/>
      <c r="I3144" s="28">
        <v>1865.0</v>
      </c>
      <c r="J3144" s="28">
        <v>0.0</v>
      </c>
      <c r="K3144" s="25" t="s">
        <v>25</v>
      </c>
      <c r="L3144" s="26">
        <v>4.0</v>
      </c>
      <c r="M3144" s="26">
        <v>2.0</v>
      </c>
      <c r="N3144" s="26">
        <v>1.0</v>
      </c>
      <c r="O3144" s="30"/>
      <c r="P3144" s="30"/>
      <c r="Q3144" s="35">
        <v>126.0</v>
      </c>
      <c r="R3144" s="32">
        <v>44205.0</v>
      </c>
      <c r="S3144" s="32">
        <v>44078.0</v>
      </c>
      <c r="T3144" s="29"/>
      <c r="U3144" s="33"/>
      <c r="V3144" s="1"/>
    </row>
    <row r="3145" ht="24.0" customHeight="1">
      <c r="A3145" s="1"/>
      <c r="B3145" s="24" t="str">
        <f>HYPERLINK("https://www.compass.com/listing/308-east-38th-street-unit-11b-manhattan-ny-10016/29509792577890017/view?agent_id=610d3f3370540700019b0833","308 East 38th Street, Unit 11B")</f>
        <v>308 East 38th Street, Unit 11B</v>
      </c>
      <c r="C3145" s="25" t="s">
        <v>364</v>
      </c>
      <c r="D3145" s="26" t="s">
        <v>23</v>
      </c>
      <c r="E3145" s="27" t="str">
        <f>HYPERLINK("https://www.compass.com/building/the-vantage-manhattan-ny/281939571384571925/","The Vantage")</f>
        <v>The Vantage</v>
      </c>
      <c r="F3145" s="25" t="s">
        <v>72</v>
      </c>
      <c r="G3145" s="28">
        <v>1606500.0</v>
      </c>
      <c r="H3145" s="28">
        <v>1350.0</v>
      </c>
      <c r="I3145" s="28">
        <v>3023.0</v>
      </c>
      <c r="J3145" s="28">
        <v>20460.0</v>
      </c>
      <c r="K3145" s="25" t="s">
        <v>28</v>
      </c>
      <c r="L3145" s="26">
        <v>5.0</v>
      </c>
      <c r="M3145" s="26">
        <v>2.0</v>
      </c>
      <c r="N3145" s="26">
        <v>0.0</v>
      </c>
      <c r="O3145" s="26">
        <v>0.0</v>
      </c>
      <c r="P3145" s="34">
        <v>1190.0</v>
      </c>
      <c r="Q3145" s="35">
        <v>87.0</v>
      </c>
      <c r="R3145" s="32">
        <v>45636.0</v>
      </c>
      <c r="S3145" s="32">
        <v>43266.0</v>
      </c>
      <c r="T3145" s="29"/>
      <c r="U3145" s="33"/>
      <c r="V3145" s="1"/>
    </row>
    <row r="3146" ht="24.0" customHeight="1">
      <c r="A3146" s="1"/>
      <c r="B3146" s="24" t="str">
        <f>HYPERLINK("https://www.compass.com/listing/25-columbus-circle-unit-58g-manhattan-ny-10019/50871994153033313/view?agent_id=610d3f3370540700019b0833","25 Columbus Circle, Unit 58G")</f>
        <v>25 Columbus Circle, Unit 58G</v>
      </c>
      <c r="C3146" s="25" t="s">
        <v>370</v>
      </c>
      <c r="D3146" s="26" t="s">
        <v>23</v>
      </c>
      <c r="E3146" s="27" t="str">
        <f>HYPERLINK("https://www.compass.com/building/deutsche-bank-center-manhattan-ny/567743935499919821/","Deutsche Bank Center")</f>
        <v>Deutsche Bank Center</v>
      </c>
      <c r="F3146" s="25" t="s">
        <v>29</v>
      </c>
      <c r="G3146" s="28">
        <v>6950000.0</v>
      </c>
      <c r="H3146" s="28">
        <v>4357.0</v>
      </c>
      <c r="I3146" s="28">
        <v>5354.0</v>
      </c>
      <c r="J3146" s="28">
        <v>22272.0</v>
      </c>
      <c r="K3146" s="25" t="s">
        <v>28</v>
      </c>
      <c r="L3146" s="26">
        <v>5.0</v>
      </c>
      <c r="M3146" s="26">
        <v>2.0</v>
      </c>
      <c r="N3146" s="26">
        <v>0.0</v>
      </c>
      <c r="O3146" s="26">
        <v>0.0</v>
      </c>
      <c r="P3146" s="34">
        <v>1595.0</v>
      </c>
      <c r="Q3146" s="35">
        <v>299.0</v>
      </c>
      <c r="R3146" s="32">
        <v>44581.0</v>
      </c>
      <c r="S3146" s="32">
        <v>42650.0</v>
      </c>
      <c r="T3146" s="29"/>
      <c r="U3146" s="33"/>
      <c r="V3146" s="1"/>
    </row>
    <row r="3147" ht="24.0" customHeight="1">
      <c r="A3147" s="1"/>
      <c r="B3147" s="24" t="str">
        <f>HYPERLINK("https://www.compass.com/listing/72-morningside-drive-unit-42-manhattan-ny-10027/822473427607079985/view?agent_id=610d3f3370540700019b0833","72 Morningside Drive, Unit 42")</f>
        <v>72 Morningside Drive, Unit 42</v>
      </c>
      <c r="C3147" s="25" t="s">
        <v>364</v>
      </c>
      <c r="D3147" s="26" t="s">
        <v>23</v>
      </c>
      <c r="E3147" s="26" t="s">
        <v>390</v>
      </c>
      <c r="F3147" s="25" t="s">
        <v>41</v>
      </c>
      <c r="G3147" s="28">
        <v>485000.0</v>
      </c>
      <c r="H3147" s="29"/>
      <c r="I3147" s="28">
        <v>646.0</v>
      </c>
      <c r="J3147" s="28">
        <v>7754.0</v>
      </c>
      <c r="K3147" s="25" t="s">
        <v>25</v>
      </c>
      <c r="L3147" s="26">
        <v>4.0</v>
      </c>
      <c r="M3147" s="26">
        <v>2.0</v>
      </c>
      <c r="N3147" s="26">
        <v>1.0</v>
      </c>
      <c r="O3147" s="26">
        <v>0.0</v>
      </c>
      <c r="P3147" s="30"/>
      <c r="Q3147" s="35">
        <v>0.0</v>
      </c>
      <c r="R3147" s="32">
        <v>44387.0</v>
      </c>
      <c r="S3147" s="32">
        <v>44387.0</v>
      </c>
      <c r="T3147" s="29"/>
      <c r="U3147" s="33"/>
      <c r="V3147" s="1"/>
    </row>
    <row r="3148" ht="24.0" customHeight="1">
      <c r="A3148" s="1"/>
      <c r="B3148" s="24" t="str">
        <f>HYPERLINK("https://www.compass.com/listing/247-west-115th-street-unit-6a-manhattan-ny-10026/29429282325431569/view?agent_id=610d3f3370540700019b0833","247 West 115th Street, Unit 6A")</f>
        <v>247 West 115th Street, Unit 6A</v>
      </c>
      <c r="C3148" s="25" t="s">
        <v>370</v>
      </c>
      <c r="D3148" s="26" t="s">
        <v>23</v>
      </c>
      <c r="E3148" s="27" t="str">
        <f>HYPERLINK("https://www.compass.com/building/delany-lofts-manhattan-ny/281975890148160133/","Delany Lofts")</f>
        <v>Delany Lofts</v>
      </c>
      <c r="F3148" s="25" t="s">
        <v>45</v>
      </c>
      <c r="G3148" s="28">
        <v>1200000.0</v>
      </c>
      <c r="H3148" s="28">
        <v>1052.0</v>
      </c>
      <c r="I3148" s="28">
        <v>703.0</v>
      </c>
      <c r="J3148" s="28">
        <v>48.0</v>
      </c>
      <c r="K3148" s="25" t="s">
        <v>28</v>
      </c>
      <c r="L3148" s="26">
        <v>4.0</v>
      </c>
      <c r="M3148" s="26">
        <v>2.0</v>
      </c>
      <c r="N3148" s="26">
        <v>0.0</v>
      </c>
      <c r="O3148" s="26">
        <v>0.0</v>
      </c>
      <c r="P3148" s="34">
        <v>1141.0</v>
      </c>
      <c r="Q3148" s="35">
        <v>33.0</v>
      </c>
      <c r="R3148" s="32">
        <v>45636.0</v>
      </c>
      <c r="S3148" s="32">
        <v>42543.0</v>
      </c>
      <c r="T3148" s="29"/>
      <c r="U3148" s="33"/>
      <c r="V3148" s="1"/>
    </row>
    <row r="3149" ht="24.0" customHeight="1">
      <c r="A3149" s="1"/>
      <c r="B3149" s="24" t="str">
        <f>HYPERLINK("https://www.compass.com/listing/52-park-avenue-unit-4-manhattan-ny-10016/1809629188647063673/view?agent_id=610d3f3370540700019b0833","52 Park Avenue, Unit 4")</f>
        <v>52 Park Avenue, Unit 4</v>
      </c>
      <c r="C3149" s="25" t="s">
        <v>364</v>
      </c>
      <c r="D3149" s="26" t="s">
        <v>23</v>
      </c>
      <c r="E3149" s="27" t="str">
        <f>HYPERLINK("https://www.compass.com/building/52-park-ave-manhattan-ny-10016/281940868196260709/","52 Park Ave")</f>
        <v>52 Park Ave</v>
      </c>
      <c r="F3149" s="25" t="s">
        <v>72</v>
      </c>
      <c r="G3149" s="28">
        <v>1890000.0</v>
      </c>
      <c r="H3149" s="28">
        <v>1535.0</v>
      </c>
      <c r="I3149" s="28">
        <v>3590.0</v>
      </c>
      <c r="J3149" s="28">
        <v>15276.0</v>
      </c>
      <c r="K3149" s="25" t="s">
        <v>28</v>
      </c>
      <c r="L3149" s="26">
        <v>5.0</v>
      </c>
      <c r="M3149" s="26">
        <v>2.0</v>
      </c>
      <c r="N3149" s="26">
        <v>0.0</v>
      </c>
      <c r="O3149" s="26">
        <v>0.0</v>
      </c>
      <c r="P3149" s="34">
        <v>1231.0</v>
      </c>
      <c r="Q3149" s="35">
        <v>91.0</v>
      </c>
      <c r="R3149" s="32">
        <v>45636.0</v>
      </c>
      <c r="S3149" s="32">
        <v>42886.0</v>
      </c>
      <c r="T3149" s="29"/>
      <c r="U3149" s="33"/>
      <c r="V3149" s="1"/>
    </row>
    <row r="3150" ht="24.0" customHeight="1">
      <c r="A3150" s="1"/>
      <c r="B3150" s="24" t="str">
        <f>HYPERLINK("https://www.compass.com/listing/308-east-38th-street-unit-18d-manhattan-ny-10016/69410724778092065/view?agent_id=610d3f3370540700019b0833","308 East 38th Street, Unit 18D")</f>
        <v>308 East 38th Street, Unit 18D</v>
      </c>
      <c r="C3150" s="25" t="s">
        <v>364</v>
      </c>
      <c r="D3150" s="26" t="s">
        <v>23</v>
      </c>
      <c r="E3150" s="27" t="str">
        <f>HYPERLINK("https://www.compass.com/building/the-vantage-manhattan-ny/281939571384571925/","The Vantage")</f>
        <v>The Vantage</v>
      </c>
      <c r="F3150" s="25" t="s">
        <v>72</v>
      </c>
      <c r="G3150" s="28">
        <v>1618000.0</v>
      </c>
      <c r="H3150" s="28">
        <v>1471.0</v>
      </c>
      <c r="I3150" s="28">
        <v>3023.0</v>
      </c>
      <c r="J3150" s="28">
        <v>20460.0</v>
      </c>
      <c r="K3150" s="25" t="s">
        <v>28</v>
      </c>
      <c r="L3150" s="26">
        <v>4.0</v>
      </c>
      <c r="M3150" s="26">
        <v>2.0</v>
      </c>
      <c r="N3150" s="26">
        <v>0.0</v>
      </c>
      <c r="O3150" s="26">
        <v>0.0</v>
      </c>
      <c r="P3150" s="34">
        <v>1100.0</v>
      </c>
      <c r="Q3150" s="35">
        <v>86.0</v>
      </c>
      <c r="R3150" s="32">
        <v>45636.0</v>
      </c>
      <c r="S3150" s="32">
        <v>43221.0</v>
      </c>
      <c r="T3150" s="29"/>
      <c r="U3150" s="33"/>
      <c r="V3150" s="1"/>
    </row>
    <row r="3151" ht="24.0" customHeight="1">
      <c r="A3151" s="1"/>
      <c r="B3151" s="24" t="str">
        <f>HYPERLINK("https://www.compass.com/listing/305-west-52nd-street-unit-2k-manhattan-ny-10019/1400727287847562009/view?agent_id=610d3f3370540700019b0833","305 West 52nd Street, Unit 2K")</f>
        <v>305 West 52nd Street, Unit 2K</v>
      </c>
      <c r="C3151" s="25" t="s">
        <v>365</v>
      </c>
      <c r="D3151" s="26" t="s">
        <v>23</v>
      </c>
      <c r="E3151" s="27" t="str">
        <f>HYPERLINK("https://www.compass.com/building/305-w-52nd-st-manhattan-ny-10019/292821559012274501/","305 W 52nd St")</f>
        <v>305 W 52nd St</v>
      </c>
      <c r="F3151" s="25" t="s">
        <v>47</v>
      </c>
      <c r="G3151" s="28">
        <v>980000.0</v>
      </c>
      <c r="H3151" s="28">
        <v>1130.0</v>
      </c>
      <c r="I3151" s="28">
        <v>2005.0</v>
      </c>
      <c r="J3151" s="28">
        <v>13800.0</v>
      </c>
      <c r="K3151" s="25" t="s">
        <v>28</v>
      </c>
      <c r="L3151" s="26">
        <v>5.0</v>
      </c>
      <c r="M3151" s="26">
        <v>2.0</v>
      </c>
      <c r="N3151" s="26">
        <v>1.0</v>
      </c>
      <c r="O3151" s="26">
        <v>0.0</v>
      </c>
      <c r="P3151" s="26">
        <v>867.0</v>
      </c>
      <c r="Q3151" s="35">
        <v>118.0</v>
      </c>
      <c r="R3151" s="32">
        <v>45302.0</v>
      </c>
      <c r="S3151" s="32">
        <v>45184.0</v>
      </c>
      <c r="T3151" s="29"/>
      <c r="U3151" s="33"/>
      <c r="V3151" s="1"/>
    </row>
    <row r="3152" ht="24.0" customHeight="1">
      <c r="A3152" s="1"/>
      <c r="B3152" s="24" t="str">
        <f>HYPERLINK("https://www.compass.com/listing/150-hawthorne-street-unit-4c-brooklyn-ny-11225/920577850184875961/view?agent_id=610d3f3370540700019b0833","150 Hawthorne Street, Unit 4C")</f>
        <v>150 Hawthorne Street, Unit 4C</v>
      </c>
      <c r="C3152" s="25" t="s">
        <v>364</v>
      </c>
      <c r="D3152" s="26" t="s">
        <v>23</v>
      </c>
      <c r="E3152" s="27" t="str">
        <f>HYPERLINK("https://www.compass.com/building/arden-house-brooklyn-ny/293416651326597925/","Arden House")</f>
        <v>Arden House</v>
      </c>
      <c r="F3152" s="25" t="s">
        <v>108</v>
      </c>
      <c r="G3152" s="28">
        <v>385000.0</v>
      </c>
      <c r="H3152" s="28">
        <v>350.0</v>
      </c>
      <c r="I3152" s="28">
        <v>796.0</v>
      </c>
      <c r="J3152" s="29"/>
      <c r="K3152" s="25" t="s">
        <v>25</v>
      </c>
      <c r="L3152" s="26">
        <v>4.0</v>
      </c>
      <c r="M3152" s="26">
        <v>2.0</v>
      </c>
      <c r="N3152" s="26">
        <v>0.0</v>
      </c>
      <c r="O3152" s="26">
        <v>0.0</v>
      </c>
      <c r="P3152" s="34">
        <v>1100.0</v>
      </c>
      <c r="Q3152" s="35">
        <v>30.0</v>
      </c>
      <c r="R3152" s="32">
        <v>45636.0</v>
      </c>
      <c r="S3152" s="32">
        <v>41528.0</v>
      </c>
      <c r="T3152" s="29"/>
      <c r="U3152" s="33"/>
      <c r="V3152" s="1"/>
    </row>
    <row r="3153" ht="24.0" customHeight="1">
      <c r="A3153" s="1"/>
      <c r="B3153" s="24" t="str">
        <f>HYPERLINK("https://www.compass.com/listing/308-east-38th-street-unit-7e-manhattan-ny-10016/803358089646026353/view?agent_id=610d3f3370540700019b0833","308 East 38th Street, Unit 7E")</f>
        <v>308 East 38th Street, Unit 7E</v>
      </c>
      <c r="C3153" s="25" t="s">
        <v>364</v>
      </c>
      <c r="D3153" s="26" t="s">
        <v>23</v>
      </c>
      <c r="E3153" s="27" t="str">
        <f t="shared" ref="E3153:E3154" si="91">HYPERLINK("https://www.compass.com/building/the-vantage-manhattan-ny/281939571384571925/","The Vantage")</f>
        <v>The Vantage</v>
      </c>
      <c r="F3153" s="25" t="s">
        <v>72</v>
      </c>
      <c r="G3153" s="28">
        <v>1324000.0</v>
      </c>
      <c r="H3153" s="28">
        <v>1267.0</v>
      </c>
      <c r="I3153" s="28">
        <v>2485.0</v>
      </c>
      <c r="J3153" s="28">
        <v>17148.0</v>
      </c>
      <c r="K3153" s="25" t="s">
        <v>28</v>
      </c>
      <c r="L3153" s="26">
        <v>4.0</v>
      </c>
      <c r="M3153" s="26">
        <v>2.0</v>
      </c>
      <c r="N3153" s="26">
        <v>0.0</v>
      </c>
      <c r="O3153" s="26">
        <v>0.0</v>
      </c>
      <c r="P3153" s="34">
        <v>1045.0</v>
      </c>
      <c r="Q3153" s="35">
        <v>65.0</v>
      </c>
      <c r="R3153" s="32">
        <v>45636.0</v>
      </c>
      <c r="S3153" s="32">
        <v>43201.0</v>
      </c>
      <c r="T3153" s="29"/>
      <c r="U3153" s="33"/>
      <c r="V3153" s="1"/>
    </row>
    <row r="3154" ht="24.0" customHeight="1">
      <c r="A3154" s="1"/>
      <c r="B3154" s="24" t="str">
        <f>HYPERLINK("https://www.compass.com/listing/308-east-38th-street-unit-18d-manhattan-ny-10016/921123189404020329/view?agent_id=610d3f3370540700019b0833","308 East 38th Street, Unit 18D")</f>
        <v>308 East 38th Street, Unit 18D</v>
      </c>
      <c r="C3154" s="25" t="s">
        <v>364</v>
      </c>
      <c r="D3154" s="26" t="s">
        <v>23</v>
      </c>
      <c r="E3154" s="27" t="str">
        <f t="shared" si="91"/>
        <v>The Vantage</v>
      </c>
      <c r="F3154" s="25" t="s">
        <v>72</v>
      </c>
      <c r="G3154" s="28">
        <v>1495000.0</v>
      </c>
      <c r="H3154" s="28">
        <v>1359.0</v>
      </c>
      <c r="I3154" s="28">
        <v>2952.0</v>
      </c>
      <c r="J3154" s="28">
        <v>20460.0</v>
      </c>
      <c r="K3154" s="25" t="s">
        <v>28</v>
      </c>
      <c r="L3154" s="26">
        <v>4.0</v>
      </c>
      <c r="M3154" s="26">
        <v>2.0</v>
      </c>
      <c r="N3154" s="26">
        <v>0.0</v>
      </c>
      <c r="O3154" s="26">
        <v>0.0</v>
      </c>
      <c r="P3154" s="34">
        <v>1100.0</v>
      </c>
      <c r="Q3154" s="35">
        <v>28.0</v>
      </c>
      <c r="R3154" s="32">
        <v>44581.0</v>
      </c>
      <c r="S3154" s="32">
        <v>43347.0</v>
      </c>
      <c r="T3154" s="29"/>
      <c r="U3154" s="33"/>
      <c r="V3154" s="1"/>
    </row>
    <row r="3155" ht="24.0" customHeight="1">
      <c r="A3155" s="1"/>
      <c r="B3155" s="24" t="str">
        <f>HYPERLINK("https://www.compass.com/listing/246-east-51st-street-unit-11-manhattan-ny-10022/425150610403247041/view?agent_id=610d3f3370540700019b0833","246 East 51st Street, Unit 11")</f>
        <v>246 East 51st Street, Unit 11</v>
      </c>
      <c r="C3155" s="25" t="s">
        <v>365</v>
      </c>
      <c r="D3155" s="26" t="s">
        <v>23</v>
      </c>
      <c r="E3155" s="27" t="str">
        <f>HYPERLINK("https://www.compass.com/building/246-e-51st-st-manhattan-ny-10022/281953443390752885/","246 E 51st St")</f>
        <v>246 E 51st St</v>
      </c>
      <c r="F3155" s="25" t="s">
        <v>66</v>
      </c>
      <c r="G3155" s="28">
        <v>699000.0</v>
      </c>
      <c r="H3155" s="28">
        <v>1165.0</v>
      </c>
      <c r="I3155" s="28">
        <v>1437.0</v>
      </c>
      <c r="J3155" s="28">
        <v>0.0</v>
      </c>
      <c r="K3155" s="25" t="s">
        <v>25</v>
      </c>
      <c r="L3155" s="26">
        <v>4.0</v>
      </c>
      <c r="M3155" s="26">
        <v>2.0</v>
      </c>
      <c r="N3155" s="26">
        <v>1.0</v>
      </c>
      <c r="O3155" s="30"/>
      <c r="P3155" s="26">
        <v>600.0</v>
      </c>
      <c r="Q3155" s="35">
        <v>23.0</v>
      </c>
      <c r="R3155" s="32">
        <v>43869.0</v>
      </c>
      <c r="S3155" s="32">
        <v>43845.0</v>
      </c>
      <c r="T3155" s="29"/>
      <c r="U3155" s="33"/>
      <c r="V3155" s="1"/>
    </row>
    <row r="3156" ht="24.0" customHeight="1">
      <c r="A3156" s="1"/>
      <c r="B3156" s="24" t="str">
        <f>HYPERLINK("https://www.compass.com/listing/345-east-56th-street-unit-5h-manhattan-ny-10022/70916627838858321/view?agent_id=610d3f3370540700019b0833","345 East 56th Street, Unit 5H")</f>
        <v>345 East 56th Street, Unit 5H</v>
      </c>
      <c r="C3156" s="25" t="s">
        <v>370</v>
      </c>
      <c r="D3156" s="26" t="s">
        <v>23</v>
      </c>
      <c r="E3156" s="27" t="str">
        <f>HYPERLINK("https://www.compass.com/building/sutton-east-manhattan-ny/281954565367075957/","Sutton East")</f>
        <v>Sutton East</v>
      </c>
      <c r="F3156" s="25" t="s">
        <v>73</v>
      </c>
      <c r="G3156" s="28">
        <v>825000.0</v>
      </c>
      <c r="H3156" s="28">
        <v>868.0</v>
      </c>
      <c r="I3156" s="28">
        <v>1690.0</v>
      </c>
      <c r="J3156" s="29"/>
      <c r="K3156" s="25" t="s">
        <v>25</v>
      </c>
      <c r="L3156" s="26">
        <v>4.0</v>
      </c>
      <c r="M3156" s="26">
        <v>2.0</v>
      </c>
      <c r="N3156" s="26">
        <v>0.0</v>
      </c>
      <c r="O3156" s="26">
        <v>0.0</v>
      </c>
      <c r="P3156" s="26">
        <v>950.0</v>
      </c>
      <c r="Q3156" s="35">
        <v>70.0</v>
      </c>
      <c r="R3156" s="32">
        <v>45636.0</v>
      </c>
      <c r="S3156" s="32">
        <v>41858.0</v>
      </c>
      <c r="T3156" s="29"/>
      <c r="U3156" s="33"/>
      <c r="V3156" s="1"/>
    </row>
    <row r="3157" ht="24.0" customHeight="1">
      <c r="A3157" s="1"/>
      <c r="B3157" s="24" t="str">
        <f>HYPERLINK("https://www.compass.com/listing/171-west-57th-street-unit-12c-manhattan-ny-10019/29383941169467441/view?agent_id=610d3f3370540700019b0833","171 West 57th Street, Unit 12C")</f>
        <v>171 West 57th Street, Unit 12C</v>
      </c>
      <c r="C3157" s="25" t="s">
        <v>364</v>
      </c>
      <c r="D3157" s="26" t="s">
        <v>23</v>
      </c>
      <c r="E3157" s="27" t="str">
        <f>HYPERLINK("https://www.compass.com/building/the-briarcliffe-manhattan-ny/281944100964459989/","The Briarcliffe")</f>
        <v>The Briarcliffe</v>
      </c>
      <c r="F3157" s="25" t="s">
        <v>195</v>
      </c>
      <c r="G3157" s="28">
        <v>2300000.0</v>
      </c>
      <c r="H3157" s="28">
        <v>889.0</v>
      </c>
      <c r="I3157" s="28">
        <v>5402.0</v>
      </c>
      <c r="J3157" s="28">
        <v>29064.0</v>
      </c>
      <c r="K3157" s="25" t="s">
        <v>28</v>
      </c>
      <c r="L3157" s="26">
        <v>6.0</v>
      </c>
      <c r="M3157" s="26">
        <v>2.0</v>
      </c>
      <c r="N3157" s="26">
        <v>0.0</v>
      </c>
      <c r="O3157" s="26">
        <v>0.0</v>
      </c>
      <c r="P3157" s="34">
        <v>2587.0</v>
      </c>
      <c r="Q3157" s="35">
        <v>882.0</v>
      </c>
      <c r="R3157" s="32">
        <v>44581.0</v>
      </c>
      <c r="S3157" s="32">
        <v>41757.0</v>
      </c>
      <c r="T3157" s="29"/>
      <c r="U3157" s="33"/>
      <c r="V3157" s="1"/>
    </row>
    <row r="3158" ht="24.0" customHeight="1">
      <c r="A3158" s="1"/>
      <c r="B3158" s="24" t="str">
        <f>HYPERLINK("https://www.compass.com/listing/308-east-38th-street-unit-22c-manhattan-ny-10016/29509792292758769/view?agent_id=610d3f3370540700019b0833","308 East 38th Street, Unit 22C")</f>
        <v>308 East 38th Street, Unit 22C</v>
      </c>
      <c r="C3158" s="25" t="s">
        <v>364</v>
      </c>
      <c r="D3158" s="26" t="s">
        <v>23</v>
      </c>
      <c r="E3158" s="27" t="str">
        <f t="shared" ref="E3158:E3160" si="92">HYPERLINK("https://www.compass.com/building/the-vantage-manhattan-ny/281939571384571925/","The Vantage")</f>
        <v>The Vantage</v>
      </c>
      <c r="F3158" s="25" t="s">
        <v>72</v>
      </c>
      <c r="G3158" s="28">
        <v>1695000.0</v>
      </c>
      <c r="H3158" s="28">
        <v>1584.0</v>
      </c>
      <c r="I3158" s="28">
        <v>3277.0</v>
      </c>
      <c r="J3158" s="28">
        <v>22188.0</v>
      </c>
      <c r="K3158" s="25" t="s">
        <v>28</v>
      </c>
      <c r="L3158" s="26">
        <v>4.0</v>
      </c>
      <c r="M3158" s="26">
        <v>2.0</v>
      </c>
      <c r="N3158" s="26">
        <v>0.0</v>
      </c>
      <c r="O3158" s="26">
        <v>0.0</v>
      </c>
      <c r="P3158" s="34">
        <v>1070.0</v>
      </c>
      <c r="Q3158" s="35">
        <v>104.0</v>
      </c>
      <c r="R3158" s="32">
        <v>45636.0</v>
      </c>
      <c r="S3158" s="32">
        <v>43235.0</v>
      </c>
      <c r="T3158" s="29"/>
      <c r="U3158" s="33"/>
      <c r="V3158" s="1"/>
    </row>
    <row r="3159" ht="24.0" customHeight="1">
      <c r="A3159" s="1"/>
      <c r="B3159" s="24" t="str">
        <f>HYPERLINK("https://www.compass.com/listing/308-east-38th-street-unit-17a-manhattan-ny-10016/69380389189224401/view?agent_id=610d3f3370540700019b0833","308 East 38th Street, Unit 17A")</f>
        <v>308 East 38th Street, Unit 17A</v>
      </c>
      <c r="C3159" s="25" t="s">
        <v>364</v>
      </c>
      <c r="D3159" s="26" t="s">
        <v>23</v>
      </c>
      <c r="E3159" s="27" t="str">
        <f t="shared" si="92"/>
        <v>The Vantage</v>
      </c>
      <c r="F3159" s="25" t="s">
        <v>72</v>
      </c>
      <c r="G3159" s="28">
        <v>1995000.0</v>
      </c>
      <c r="H3159" s="28">
        <v>1541.0</v>
      </c>
      <c r="I3159" s="28">
        <v>4481.0</v>
      </c>
      <c r="J3159" s="28">
        <v>31056.0</v>
      </c>
      <c r="K3159" s="25" t="s">
        <v>28</v>
      </c>
      <c r="L3159" s="26">
        <v>4.0</v>
      </c>
      <c r="M3159" s="26">
        <v>2.0</v>
      </c>
      <c r="N3159" s="26">
        <v>0.0</v>
      </c>
      <c r="O3159" s="26">
        <v>0.0</v>
      </c>
      <c r="P3159" s="34">
        <v>1295.0</v>
      </c>
      <c r="Q3159" s="35">
        <v>28.0</v>
      </c>
      <c r="R3159" s="32">
        <v>44581.0</v>
      </c>
      <c r="S3159" s="32">
        <v>43347.0</v>
      </c>
      <c r="T3159" s="29"/>
      <c r="U3159" s="33"/>
      <c r="V3159" s="1"/>
    </row>
    <row r="3160" ht="24.0" customHeight="1">
      <c r="A3160" s="1"/>
      <c r="B3160" s="24" t="str">
        <f>HYPERLINK("https://www.compass.com/listing/308-east-38th-street-unit-17c-manhattan-ny-10016/69403155502319841/view?agent_id=610d3f3370540700019b0833","308 East 38th Street, Unit 17C")</f>
        <v>308 East 38th Street, Unit 17C</v>
      </c>
      <c r="C3160" s="25" t="s">
        <v>364</v>
      </c>
      <c r="D3160" s="26" t="s">
        <v>23</v>
      </c>
      <c r="E3160" s="27" t="str">
        <f t="shared" si="92"/>
        <v>The Vantage</v>
      </c>
      <c r="F3160" s="25" t="s">
        <v>72</v>
      </c>
      <c r="G3160" s="28">
        <v>1805000.0</v>
      </c>
      <c r="H3160" s="28">
        <v>1687.0</v>
      </c>
      <c r="I3160" s="28">
        <v>4027.0</v>
      </c>
      <c r="J3160" s="28">
        <v>27912.0</v>
      </c>
      <c r="K3160" s="25" t="s">
        <v>28</v>
      </c>
      <c r="L3160" s="26">
        <v>4.0</v>
      </c>
      <c r="M3160" s="26">
        <v>2.0</v>
      </c>
      <c r="N3160" s="26">
        <v>0.0</v>
      </c>
      <c r="O3160" s="26">
        <v>0.0</v>
      </c>
      <c r="P3160" s="34">
        <v>1070.0</v>
      </c>
      <c r="Q3160" s="35">
        <v>28.0</v>
      </c>
      <c r="R3160" s="32">
        <v>44581.0</v>
      </c>
      <c r="S3160" s="32">
        <v>43347.0</v>
      </c>
      <c r="T3160" s="29"/>
      <c r="U3160" s="33"/>
      <c r="V3160" s="1"/>
    </row>
    <row r="3161" ht="24.0" customHeight="1">
      <c r="A3161" s="1"/>
      <c r="B3161" s="24" t="str">
        <f>HYPERLINK("https://www.compass.com/listing/364-west-121st-street-unit-5c-manhattan-ny-10027/1240058583407841649/view?agent_id=610d3f3370540700019b0833","364 West 121st Street, Unit 5C")</f>
        <v>364 West 121st Street, Unit 5C</v>
      </c>
      <c r="C3161" s="25" t="s">
        <v>370</v>
      </c>
      <c r="D3161" s="26" t="s">
        <v>23</v>
      </c>
      <c r="E3161" s="27" t="str">
        <f>HYPERLINK("https://www.compass.com/building/364-w-121st-st-manhattan-ny-10027/281982209345293509/","364 W 121st St")</f>
        <v>364 W 121st St</v>
      </c>
      <c r="F3161" s="25" t="s">
        <v>45</v>
      </c>
      <c r="G3161" s="28">
        <v>595000.0</v>
      </c>
      <c r="H3161" s="29"/>
      <c r="I3161" s="28">
        <v>486.0</v>
      </c>
      <c r="J3161" s="28">
        <v>0.0</v>
      </c>
      <c r="K3161" s="25" t="s">
        <v>25</v>
      </c>
      <c r="L3161" s="26">
        <v>4.0</v>
      </c>
      <c r="M3161" s="26">
        <v>2.0</v>
      </c>
      <c r="N3161" s="26">
        <v>1.0</v>
      </c>
      <c r="O3161" s="30"/>
      <c r="P3161" s="30"/>
      <c r="Q3161" s="31"/>
      <c r="R3161" s="32">
        <v>45084.0</v>
      </c>
      <c r="S3161" s="33"/>
      <c r="T3161" s="29"/>
      <c r="U3161" s="33"/>
      <c r="V3161" s="1"/>
    </row>
    <row r="3162" ht="24.0" customHeight="1">
      <c r="A3162" s="1"/>
      <c r="B3162" s="24" t="str">
        <f>HYPERLINK("https://www.compass.com/listing/25-sutton-place-south-unit-2e-manhattan-ny-10022/50870319308713841/view?agent_id=610d3f3370540700019b0833","25 Sutton Place South, Unit 2E")</f>
        <v>25 Sutton Place South, Unit 2E</v>
      </c>
      <c r="C3162" s="25" t="s">
        <v>364</v>
      </c>
      <c r="D3162" s="26" t="s">
        <v>23</v>
      </c>
      <c r="E3162" s="27" t="str">
        <f>HYPERLINK("https://www.compass.com/building/cannon-point-north-manhattan-ny/281953471601643749/","Cannon Point North")</f>
        <v>Cannon Point North</v>
      </c>
      <c r="F3162" s="25" t="s">
        <v>73</v>
      </c>
      <c r="G3162" s="28">
        <v>1169000.0</v>
      </c>
      <c r="H3162" s="29"/>
      <c r="I3162" s="28">
        <v>2212.0</v>
      </c>
      <c r="J3162" s="29"/>
      <c r="K3162" s="25" t="s">
        <v>25</v>
      </c>
      <c r="L3162" s="26">
        <v>5.0</v>
      </c>
      <c r="M3162" s="26">
        <v>2.0</v>
      </c>
      <c r="N3162" s="26">
        <v>0.0</v>
      </c>
      <c r="O3162" s="26">
        <v>0.0</v>
      </c>
      <c r="P3162" s="30"/>
      <c r="Q3162" s="35">
        <v>361.0</v>
      </c>
      <c r="R3162" s="32">
        <v>45636.0</v>
      </c>
      <c r="S3162" s="32">
        <v>42600.0</v>
      </c>
      <c r="T3162" s="29"/>
      <c r="U3162" s="33"/>
      <c r="V3162" s="1"/>
    </row>
    <row r="3163" ht="24.0" customHeight="1">
      <c r="A3163" s="1"/>
      <c r="B3163" s="24" t="str">
        <f>HYPERLINK("https://www.compass.com/listing/324-22nd-street-unit-ph-brooklyn-ny-11215/29641234976977489/view?agent_id=610d3f3370540700019b0833","324 22nd Street, Unit PH")</f>
        <v>324 22nd Street, Unit PH</v>
      </c>
      <c r="C3163" s="25" t="s">
        <v>370</v>
      </c>
      <c r="D3163" s="26" t="s">
        <v>23</v>
      </c>
      <c r="E3163" s="27" t="str">
        <f>HYPERLINK("https://www.compass.com/building/green-hill-condos-brooklyn-ny/282506835565562357/","Green Hill Condos")</f>
        <v>Green Hill Condos</v>
      </c>
      <c r="F3163" s="25" t="s">
        <v>155</v>
      </c>
      <c r="G3163" s="28">
        <v>1195000.0</v>
      </c>
      <c r="H3163" s="28">
        <v>1086.0</v>
      </c>
      <c r="I3163" s="28">
        <v>253.0</v>
      </c>
      <c r="J3163" s="28">
        <v>180.0</v>
      </c>
      <c r="K3163" s="25" t="s">
        <v>28</v>
      </c>
      <c r="L3163" s="26">
        <v>4.0</v>
      </c>
      <c r="M3163" s="26">
        <v>2.0</v>
      </c>
      <c r="N3163" s="26">
        <v>0.0</v>
      </c>
      <c r="O3163" s="26">
        <v>0.0</v>
      </c>
      <c r="P3163" s="34">
        <v>1100.0</v>
      </c>
      <c r="Q3163" s="35">
        <v>56.0</v>
      </c>
      <c r="R3163" s="32">
        <v>45636.0</v>
      </c>
      <c r="S3163" s="32">
        <v>42999.0</v>
      </c>
      <c r="T3163" s="29"/>
      <c r="U3163" s="33"/>
      <c r="V3163" s="1"/>
    </row>
    <row r="3164" ht="24.0" customHeight="1">
      <c r="A3164" s="1"/>
      <c r="B3164" s="24" t="str">
        <f>HYPERLINK("https://www.compass.com/listing/345-east-56th-street-unit-5h-manhattan-ny-10022/50849153693106049/view?agent_id=610d3f3370540700019b0833","345 East 56th Street, Unit 5H")</f>
        <v>345 East 56th Street, Unit 5H</v>
      </c>
      <c r="C3164" s="25" t="s">
        <v>370</v>
      </c>
      <c r="D3164" s="26" t="s">
        <v>23</v>
      </c>
      <c r="E3164" s="27" t="str">
        <f>HYPERLINK("https://www.compass.com/building/sutton-east-manhattan-ny/281954565367075957/","Sutton East")</f>
        <v>Sutton East</v>
      </c>
      <c r="F3164" s="25" t="s">
        <v>73</v>
      </c>
      <c r="G3164" s="28">
        <v>845000.0</v>
      </c>
      <c r="H3164" s="28">
        <v>889.0</v>
      </c>
      <c r="I3164" s="28">
        <v>1737.0</v>
      </c>
      <c r="J3164" s="29"/>
      <c r="K3164" s="25" t="s">
        <v>25</v>
      </c>
      <c r="L3164" s="26">
        <v>4.0</v>
      </c>
      <c r="M3164" s="26">
        <v>2.0</v>
      </c>
      <c r="N3164" s="26">
        <v>0.0</v>
      </c>
      <c r="O3164" s="26">
        <v>0.0</v>
      </c>
      <c r="P3164" s="26">
        <v>950.0</v>
      </c>
      <c r="Q3164" s="35">
        <v>223.0</v>
      </c>
      <c r="R3164" s="32">
        <v>45636.0</v>
      </c>
      <c r="S3164" s="32">
        <v>42451.0</v>
      </c>
      <c r="T3164" s="29"/>
      <c r="U3164" s="33"/>
      <c r="V3164" s="1"/>
    </row>
    <row r="3165" ht="24.0" customHeight="1">
      <c r="A3165" s="1"/>
      <c r="B3165" s="24" t="str">
        <f>HYPERLINK("https://www.compass.com/listing/308-east-38th-street-unit-11a-manhattan-ny-10016/1838973890588587601/view?agent_id=610d3f3370540700019b0833","308 East 38th Street, Unit 11A")</f>
        <v>308 East 38th Street, Unit 11A</v>
      </c>
      <c r="C3165" s="25" t="s">
        <v>364</v>
      </c>
      <c r="D3165" s="26" t="s">
        <v>23</v>
      </c>
      <c r="E3165" s="27" t="str">
        <f>HYPERLINK("https://www.compass.com/building/the-vantage-manhattan-ny/281939571384571925/","The Vantage")</f>
        <v>The Vantage</v>
      </c>
      <c r="F3165" s="25" t="s">
        <v>72</v>
      </c>
      <c r="G3165" s="28">
        <v>1495000.0</v>
      </c>
      <c r="H3165" s="28">
        <v>1473.0</v>
      </c>
      <c r="I3165" s="28">
        <v>2549.0</v>
      </c>
      <c r="J3165" s="28">
        <v>17256.0</v>
      </c>
      <c r="K3165" s="25" t="s">
        <v>28</v>
      </c>
      <c r="L3165" s="26">
        <v>4.0</v>
      </c>
      <c r="M3165" s="26">
        <v>2.0</v>
      </c>
      <c r="N3165" s="26">
        <v>0.0</v>
      </c>
      <c r="O3165" s="26">
        <v>0.0</v>
      </c>
      <c r="P3165" s="34">
        <v>1015.0</v>
      </c>
      <c r="Q3165" s="35">
        <v>107.0</v>
      </c>
      <c r="R3165" s="32">
        <v>45636.0</v>
      </c>
      <c r="S3165" s="32">
        <v>43201.0</v>
      </c>
      <c r="T3165" s="29"/>
      <c r="U3165" s="33"/>
      <c r="V3165" s="1"/>
    </row>
    <row r="3166" ht="24.0" customHeight="1">
      <c r="A3166" s="1"/>
      <c r="B3166" s="24" t="str">
        <f>HYPERLINK("https://www.compass.com/listing/20-sutton-place-south-unit-4b-manhattan-ny-10022/921336818871010769/view?agent_id=610d3f3370540700019b0833","20 Sutton Place South, Unit 4B")</f>
        <v>20 Sutton Place South, Unit 4B</v>
      </c>
      <c r="C3166" s="25" t="s">
        <v>370</v>
      </c>
      <c r="D3166" s="26" t="s">
        <v>23</v>
      </c>
      <c r="E3166" s="27" t="str">
        <f>HYPERLINK("https://www.compass.com/building/20-sutton-pl-s-manhattan-ny-10022/281952845727598165/","20 Sutton Pl S")</f>
        <v>20 Sutton Pl S</v>
      </c>
      <c r="F3166" s="25" t="s">
        <v>73</v>
      </c>
      <c r="G3166" s="28">
        <v>1100000.0</v>
      </c>
      <c r="H3166" s="29"/>
      <c r="I3166" s="28">
        <v>2337.0</v>
      </c>
      <c r="J3166" s="29"/>
      <c r="K3166" s="25" t="s">
        <v>25</v>
      </c>
      <c r="L3166" s="26">
        <v>5.0</v>
      </c>
      <c r="M3166" s="26">
        <v>2.0</v>
      </c>
      <c r="N3166" s="26">
        <v>0.0</v>
      </c>
      <c r="O3166" s="26">
        <v>0.0</v>
      </c>
      <c r="P3166" s="30"/>
      <c r="Q3166" s="35">
        <v>91.0</v>
      </c>
      <c r="R3166" s="32">
        <v>45636.0</v>
      </c>
      <c r="S3166" s="32">
        <v>41711.0</v>
      </c>
      <c r="T3166" s="29"/>
      <c r="U3166" s="33"/>
      <c r="V3166" s="1"/>
    </row>
    <row r="3167" ht="24.0" customHeight="1">
      <c r="A3167" s="1"/>
      <c r="B3167" s="24" t="str">
        <f>HYPERLINK("https://www.compass.com/listing/72-morningside-avenue-unit-42-manhattan-ny-10027/823051037127380497/view?agent_id=610d3f3370540700019b0833","72 Morningside Avenue, Unit 42")</f>
        <v>72 Morningside Avenue, Unit 42</v>
      </c>
      <c r="C3167" s="25" t="s">
        <v>364</v>
      </c>
      <c r="D3167" s="26" t="s">
        <v>23</v>
      </c>
      <c r="E3167" s="27" t="str">
        <f>HYPERLINK("https://www.compass.com/building/72-morningside-ave-manhattan-ny-10027/281983515896157189/","72 Morningside Ave")</f>
        <v>72 Morningside Ave</v>
      </c>
      <c r="F3167" s="25" t="s">
        <v>45</v>
      </c>
      <c r="G3167" s="28">
        <v>485000.0</v>
      </c>
      <c r="H3167" s="29"/>
      <c r="I3167" s="28">
        <v>646.0</v>
      </c>
      <c r="J3167" s="28">
        <v>0.0</v>
      </c>
      <c r="K3167" s="25" t="s">
        <v>25</v>
      </c>
      <c r="L3167" s="26">
        <v>4.0</v>
      </c>
      <c r="M3167" s="26">
        <v>2.0</v>
      </c>
      <c r="N3167" s="26">
        <v>1.0</v>
      </c>
      <c r="O3167" s="30"/>
      <c r="P3167" s="30"/>
      <c r="Q3167" s="35">
        <v>267.0</v>
      </c>
      <c r="R3167" s="32">
        <v>44676.0</v>
      </c>
      <c r="S3167" s="32">
        <v>44387.0</v>
      </c>
      <c r="T3167" s="29"/>
      <c r="U3167" s="33"/>
      <c r="V3167" s="1"/>
    </row>
    <row r="3168" ht="24.0" customHeight="1">
      <c r="A3168" s="1"/>
      <c r="B3168" s="24" t="str">
        <f>HYPERLINK("https://www.compass.com/listing/308-east-38th-street-unit-21d-manhattan-ny-10016/29509791973966065/view?agent_id=610d3f3370540700019b0833","308 East 38th Street, Unit 21D")</f>
        <v>308 East 38th Street, Unit 21D</v>
      </c>
      <c r="C3168" s="25" t="s">
        <v>364</v>
      </c>
      <c r="D3168" s="26" t="s">
        <v>23</v>
      </c>
      <c r="E3168" s="27" t="str">
        <f>HYPERLINK("https://www.compass.com/building/the-vantage-manhattan-ny/281939571384571925/","The Vantage")</f>
        <v>The Vantage</v>
      </c>
      <c r="F3168" s="25" t="s">
        <v>72</v>
      </c>
      <c r="G3168" s="28">
        <v>1885000.0</v>
      </c>
      <c r="H3168" s="28">
        <v>1714.0</v>
      </c>
      <c r="I3168" s="28">
        <v>3277.0</v>
      </c>
      <c r="J3168" s="28">
        <v>22188.0</v>
      </c>
      <c r="K3168" s="25" t="s">
        <v>28</v>
      </c>
      <c r="L3168" s="26">
        <v>4.0</v>
      </c>
      <c r="M3168" s="26">
        <v>2.0</v>
      </c>
      <c r="N3168" s="26">
        <v>0.0</v>
      </c>
      <c r="O3168" s="26">
        <v>0.0</v>
      </c>
      <c r="P3168" s="34">
        <v>1100.0</v>
      </c>
      <c r="Q3168" s="35">
        <v>79.0</v>
      </c>
      <c r="R3168" s="32">
        <v>45636.0</v>
      </c>
      <c r="S3168" s="32">
        <v>43235.0</v>
      </c>
      <c r="T3168" s="29"/>
      <c r="U3168" s="33"/>
      <c r="V3168" s="1"/>
    </row>
    <row r="3169" ht="24.0" customHeight="1">
      <c r="A3169" s="1"/>
      <c r="B3169" s="24" t="str">
        <f>HYPERLINK("https://www.compass.com/listing/45-park-avenue-unit-403-manhattan-ny-10016/29379371240324577/view?agent_id=610d3f3370540700019b0833","45 Park Avenue, Unit 403")</f>
        <v>45 Park Avenue, Unit 403</v>
      </c>
      <c r="C3169" s="25" t="s">
        <v>370</v>
      </c>
      <c r="D3169" s="26" t="s">
        <v>23</v>
      </c>
      <c r="E3169" s="27" t="str">
        <f>HYPERLINK("https://www.compass.com/building/45-park-ave-manhattan-ny-10016/281940728903424709/","45 Park Ave")</f>
        <v>45 Park Ave</v>
      </c>
      <c r="F3169" s="25" t="s">
        <v>72</v>
      </c>
      <c r="G3169" s="28">
        <v>2800000.0</v>
      </c>
      <c r="H3169" s="28">
        <v>1958.0</v>
      </c>
      <c r="I3169" s="28">
        <v>3296.0</v>
      </c>
      <c r="J3169" s="28">
        <v>15816.0</v>
      </c>
      <c r="K3169" s="25" t="s">
        <v>28</v>
      </c>
      <c r="L3169" s="26">
        <v>5.0</v>
      </c>
      <c r="M3169" s="26">
        <v>2.0</v>
      </c>
      <c r="N3169" s="26">
        <v>0.0</v>
      </c>
      <c r="O3169" s="26">
        <v>0.0</v>
      </c>
      <c r="P3169" s="34">
        <v>1430.0</v>
      </c>
      <c r="Q3169" s="35">
        <v>177.0</v>
      </c>
      <c r="R3169" s="32">
        <v>45636.0</v>
      </c>
      <c r="S3169" s="32">
        <v>41877.0</v>
      </c>
      <c r="T3169" s="29"/>
      <c r="U3169" s="33"/>
      <c r="V3169" s="1"/>
    </row>
    <row r="3170" ht="24.0" customHeight="1">
      <c r="A3170" s="1"/>
      <c r="B3170" s="24" t="str">
        <f>HYPERLINK("https://www.compass.com/listing/599-4th-avenue-unit-4a-brooklyn-ny-11215/824930059687548937/view?agent_id=610d3f3370540700019b0833","599 4th Avenue, Unit 4A")</f>
        <v>599 4th Avenue, Unit 4A</v>
      </c>
      <c r="C3170" s="25" t="s">
        <v>364</v>
      </c>
      <c r="D3170" s="26" t="s">
        <v>23</v>
      </c>
      <c r="E3170" s="27" t="str">
        <f>HYPERLINK("https://www.compass.com/building/599-4th-ave-brooklyn-ny-11215/282512008459412325/","599 4th Ave")</f>
        <v>599 4th Ave</v>
      </c>
      <c r="F3170" s="25" t="s">
        <v>155</v>
      </c>
      <c r="G3170" s="28">
        <v>749000.0</v>
      </c>
      <c r="H3170" s="29"/>
      <c r="I3170" s="28">
        <v>320.0</v>
      </c>
      <c r="J3170" s="28">
        <v>384.0</v>
      </c>
      <c r="K3170" s="25" t="s">
        <v>28</v>
      </c>
      <c r="L3170" s="26">
        <v>4.0</v>
      </c>
      <c r="M3170" s="26">
        <v>2.0</v>
      </c>
      <c r="N3170" s="26">
        <v>1.0</v>
      </c>
      <c r="O3170" s="26">
        <v>0.0</v>
      </c>
      <c r="P3170" s="30"/>
      <c r="Q3170" s="35">
        <v>73.0</v>
      </c>
      <c r="R3170" s="32">
        <v>44463.0</v>
      </c>
      <c r="S3170" s="32">
        <v>44390.0</v>
      </c>
      <c r="T3170" s="29"/>
      <c r="U3170" s="33"/>
      <c r="V3170" s="1"/>
    </row>
    <row r="3171" ht="24.0" customHeight="1">
      <c r="A3171" s="1"/>
      <c r="B3171" s="24" t="str">
        <f>HYPERLINK("https://www.compass.com/listing/321-23rd-street-unit-2c-brooklyn-ny-11215/555873609556893433/view?agent_id=610d3f3370540700019b0833","321 23rd Street, Unit 2C")</f>
        <v>321 23rd Street, Unit 2C</v>
      </c>
      <c r="C3171" s="25" t="s">
        <v>364</v>
      </c>
      <c r="D3171" s="26" t="s">
        <v>23</v>
      </c>
      <c r="E3171" s="27" t="str">
        <f>HYPERLINK("https://www.compass.com/building/321-23rd-st-brooklyn-ny-11215/307450806026469365/","321 23rd St")</f>
        <v>321 23rd St</v>
      </c>
      <c r="F3171" s="25" t="s">
        <v>155</v>
      </c>
      <c r="G3171" s="28">
        <v>599000.0</v>
      </c>
      <c r="H3171" s="28">
        <v>874.0</v>
      </c>
      <c r="I3171" s="28">
        <v>206.0</v>
      </c>
      <c r="J3171" s="28">
        <v>66.0</v>
      </c>
      <c r="K3171" s="25" t="s">
        <v>28</v>
      </c>
      <c r="L3171" s="26">
        <v>5.0</v>
      </c>
      <c r="M3171" s="26">
        <v>2.0</v>
      </c>
      <c r="N3171" s="26">
        <v>1.0</v>
      </c>
      <c r="O3171" s="30"/>
      <c r="P3171" s="26">
        <v>685.0</v>
      </c>
      <c r="Q3171" s="35">
        <v>41.0</v>
      </c>
      <c r="R3171" s="32">
        <v>44060.0</v>
      </c>
      <c r="S3171" s="32">
        <v>44018.0</v>
      </c>
      <c r="T3171" s="29"/>
      <c r="U3171" s="33"/>
      <c r="V3171" s="1"/>
    </row>
    <row r="3172" ht="24.0" customHeight="1">
      <c r="A3172" s="1"/>
      <c r="B3172" s="24" t="str">
        <f>HYPERLINK("https://www.compass.com/listing/308-east-38th-street-unit-16a-manhattan-ny-10016/1838963331193798753/view?agent_id=610d3f3370540700019b0833","308 East 38th Street, Unit 16A")</f>
        <v>308 East 38th Street, Unit 16A</v>
      </c>
      <c r="C3172" s="25" t="s">
        <v>364</v>
      </c>
      <c r="D3172" s="26" t="s">
        <v>23</v>
      </c>
      <c r="E3172" s="27" t="str">
        <f>HYPERLINK("https://www.compass.com/building/the-vantage-manhattan-ny/281939571384571925/","The Vantage")</f>
        <v>The Vantage</v>
      </c>
      <c r="F3172" s="25" t="s">
        <v>72</v>
      </c>
      <c r="G3172" s="28">
        <v>1595000.0</v>
      </c>
      <c r="H3172" s="28">
        <v>1571.0</v>
      </c>
      <c r="I3172" s="28">
        <v>2854.0</v>
      </c>
      <c r="J3172" s="28">
        <v>19320.0</v>
      </c>
      <c r="K3172" s="25" t="s">
        <v>28</v>
      </c>
      <c r="L3172" s="26">
        <v>4.0</v>
      </c>
      <c r="M3172" s="26">
        <v>2.0</v>
      </c>
      <c r="N3172" s="26">
        <v>0.0</v>
      </c>
      <c r="O3172" s="26">
        <v>0.0</v>
      </c>
      <c r="P3172" s="34">
        <v>1015.0</v>
      </c>
      <c r="Q3172" s="35">
        <v>152.0</v>
      </c>
      <c r="R3172" s="32">
        <v>45636.0</v>
      </c>
      <c r="S3172" s="32">
        <v>43201.0</v>
      </c>
      <c r="T3172" s="29"/>
      <c r="U3172" s="33"/>
      <c r="V3172" s="1"/>
    </row>
    <row r="3173" ht="24.0" customHeight="1">
      <c r="A3173" s="1"/>
      <c r="B3173" s="24" t="str">
        <f>HYPERLINK("https://www.compass.com/listing/225-east-34th-street-unit-6i-manhattan-ny-10016/29381421625811681/view?agent_id=610d3f3370540700019b0833","225 East 34th Street, Unit 6I")</f>
        <v>225 East 34th Street, Unit 6I</v>
      </c>
      <c r="C3173" s="25" t="s">
        <v>364</v>
      </c>
      <c r="D3173" s="26" t="s">
        <v>23</v>
      </c>
      <c r="E3173" s="27" t="str">
        <f>HYPERLINK("https://www.compass.com/building/the-charleston-manhattan-ny/281938591553215909/","The Charleston")</f>
        <v>The Charleston</v>
      </c>
      <c r="F3173" s="25" t="s">
        <v>72</v>
      </c>
      <c r="G3173" s="28">
        <v>1699000.0</v>
      </c>
      <c r="H3173" s="28">
        <v>1263.0</v>
      </c>
      <c r="I3173" s="28">
        <v>2962.0</v>
      </c>
      <c r="J3173" s="28">
        <v>17724.0</v>
      </c>
      <c r="K3173" s="25" t="s">
        <v>28</v>
      </c>
      <c r="L3173" s="26">
        <v>4.0</v>
      </c>
      <c r="M3173" s="26">
        <v>2.0</v>
      </c>
      <c r="N3173" s="26">
        <v>0.0</v>
      </c>
      <c r="O3173" s="26">
        <v>0.0</v>
      </c>
      <c r="P3173" s="34">
        <v>1345.0</v>
      </c>
      <c r="Q3173" s="35">
        <v>154.0</v>
      </c>
      <c r="R3173" s="32">
        <v>45636.0</v>
      </c>
      <c r="S3173" s="32">
        <v>42991.0</v>
      </c>
      <c r="T3173" s="29"/>
      <c r="U3173" s="33"/>
      <c r="V3173" s="1"/>
    </row>
    <row r="3174" ht="24.0" customHeight="1">
      <c r="A3174" s="1"/>
      <c r="B3174" s="24" t="str">
        <f>HYPERLINK("https://www.compass.com/listing/40-west-116th-street-unit-b302-manhattan-ny-10026/192565543000158561/view?agent_id=610d3f3370540700019b0833","40 West 116th Street, Unit B302")</f>
        <v>40 West 116th Street, Unit B302</v>
      </c>
      <c r="C3174" s="25" t="s">
        <v>364</v>
      </c>
      <c r="D3174" s="26" t="s">
        <v>23</v>
      </c>
      <c r="E3174" s="27" t="str">
        <f>HYPERLINK("https://www.compass.com/building/kalahari-manhattan-ny/281976942591307493/","Kalahari")</f>
        <v>Kalahari</v>
      </c>
      <c r="F3174" s="25" t="s">
        <v>45</v>
      </c>
      <c r="G3174" s="28">
        <v>700000.0</v>
      </c>
      <c r="H3174" s="28">
        <v>612.0</v>
      </c>
      <c r="I3174" s="28">
        <v>845.0</v>
      </c>
      <c r="J3174" s="28">
        <v>192.0</v>
      </c>
      <c r="K3174" s="25" t="s">
        <v>28</v>
      </c>
      <c r="L3174" s="26">
        <v>5.0</v>
      </c>
      <c r="M3174" s="26">
        <v>2.0</v>
      </c>
      <c r="N3174" s="26">
        <v>0.0</v>
      </c>
      <c r="O3174" s="26">
        <v>0.0</v>
      </c>
      <c r="P3174" s="34">
        <v>1143.0</v>
      </c>
      <c r="Q3174" s="35">
        <v>3385.0</v>
      </c>
      <c r="R3174" s="32">
        <v>44581.0</v>
      </c>
      <c r="S3174" s="32">
        <v>41195.0</v>
      </c>
      <c r="T3174" s="29"/>
      <c r="U3174" s="33"/>
      <c r="V3174" s="1"/>
    </row>
    <row r="3175" ht="24.0" customHeight="1">
      <c r="A3175" s="1"/>
      <c r="B3175" s="24" t="str">
        <f>HYPERLINK("https://www.compass.com/listing/40-west-55th-street-unit-8a-manhattan-ny-10019/29403252676166817/view?agent_id=610d3f3370540700019b0833","40 West 55th Street, Unit 8A")</f>
        <v>40 West 55th Street, Unit 8A</v>
      </c>
      <c r="C3175" s="25" t="s">
        <v>364</v>
      </c>
      <c r="D3175" s="26" t="s">
        <v>23</v>
      </c>
      <c r="E3175" s="27" t="str">
        <f>HYPERLINK("https://www.compass.com/building/40w55-manhattan-ny/281945372367055717/","40W55")</f>
        <v>40W55</v>
      </c>
      <c r="F3175" s="25" t="s">
        <v>195</v>
      </c>
      <c r="G3175" s="28">
        <v>2295000.0</v>
      </c>
      <c r="H3175" s="28">
        <v>1695.0</v>
      </c>
      <c r="I3175" s="28">
        <v>2500.0</v>
      </c>
      <c r="J3175" s="28">
        <v>12000.0</v>
      </c>
      <c r="K3175" s="25" t="s">
        <v>28</v>
      </c>
      <c r="L3175" s="26">
        <v>5.0</v>
      </c>
      <c r="M3175" s="26">
        <v>2.0</v>
      </c>
      <c r="N3175" s="26">
        <v>0.0</v>
      </c>
      <c r="O3175" s="26">
        <v>0.0</v>
      </c>
      <c r="P3175" s="34">
        <v>1354.0</v>
      </c>
      <c r="Q3175" s="35">
        <v>44.0</v>
      </c>
      <c r="R3175" s="32">
        <v>45636.0</v>
      </c>
      <c r="S3175" s="32">
        <v>42073.0</v>
      </c>
      <c r="T3175" s="29"/>
      <c r="U3175" s="33"/>
      <c r="V3175" s="1"/>
    </row>
    <row r="3176" ht="24.0" customHeight="1">
      <c r="A3176" s="1"/>
      <c r="B3176" s="24" t="str">
        <f>HYPERLINK("https://www.compass.com/listing/25-columbus-circle-unit-b65-manhattan-ny-10019/29510265359908625/view?agent_id=610d3f3370540700019b0833","25 Columbus Circle, Unit B65")</f>
        <v>25 Columbus Circle, Unit B65</v>
      </c>
      <c r="C3176" s="25" t="s">
        <v>364</v>
      </c>
      <c r="D3176" s="26" t="s">
        <v>23</v>
      </c>
      <c r="E3176" s="27" t="str">
        <f>HYPERLINK("https://www.compass.com/building/deutsche-bank-center-manhattan-ny/567743935499919821/","Deutsche Bank Center")</f>
        <v>Deutsche Bank Center</v>
      </c>
      <c r="F3176" s="25" t="s">
        <v>29</v>
      </c>
      <c r="G3176" s="28">
        <v>8950000.0</v>
      </c>
      <c r="H3176" s="28">
        <v>4891.0</v>
      </c>
      <c r="I3176" s="28">
        <v>6870.0</v>
      </c>
      <c r="J3176" s="28">
        <v>32760.0</v>
      </c>
      <c r="K3176" s="25" t="s">
        <v>28</v>
      </c>
      <c r="L3176" s="26">
        <v>4.0</v>
      </c>
      <c r="M3176" s="26">
        <v>2.0</v>
      </c>
      <c r="N3176" s="26">
        <v>0.0</v>
      </c>
      <c r="O3176" s="26">
        <v>0.0</v>
      </c>
      <c r="P3176" s="34">
        <v>1830.0</v>
      </c>
      <c r="Q3176" s="35">
        <v>105.0</v>
      </c>
      <c r="R3176" s="32">
        <v>44581.0</v>
      </c>
      <c r="S3176" s="32">
        <v>43174.0</v>
      </c>
      <c r="T3176" s="29"/>
      <c r="U3176" s="33"/>
      <c r="V3176" s="1"/>
    </row>
    <row r="3177" ht="24.0" customHeight="1">
      <c r="A3177" s="1"/>
      <c r="B3177" s="24" t="str">
        <f>HYPERLINK("https://www.compass.com/listing/30-west-street-unit-22c-manhattan-ny-10004/70911539032482753/view?agent_id=610d3f3370540700019b0833","30 West Street, Unit 22C")</f>
        <v>30 West Street, Unit 22C</v>
      </c>
      <c r="C3177" s="25" t="s">
        <v>370</v>
      </c>
      <c r="D3177" s="26" t="s">
        <v>23</v>
      </c>
      <c r="E3177" s="27" t="str">
        <f>HYPERLINK("https://www.compass.com/building/millennium-tower-residences-manhattan-ny/294844666876767941/","Millennium Tower Residences")</f>
        <v>Millennium Tower Residences</v>
      </c>
      <c r="F3177" s="25" t="s">
        <v>103</v>
      </c>
      <c r="G3177" s="28">
        <v>1399000.0</v>
      </c>
      <c r="H3177" s="28">
        <v>1217.0</v>
      </c>
      <c r="I3177" s="28">
        <v>2230.0</v>
      </c>
      <c r="J3177" s="28">
        <v>13680.0</v>
      </c>
      <c r="K3177" s="25" t="s">
        <v>28</v>
      </c>
      <c r="L3177" s="26">
        <v>4.0</v>
      </c>
      <c r="M3177" s="26">
        <v>2.0</v>
      </c>
      <c r="N3177" s="26">
        <v>0.0</v>
      </c>
      <c r="O3177" s="26">
        <v>0.0</v>
      </c>
      <c r="P3177" s="34">
        <v>1150.0</v>
      </c>
      <c r="Q3177" s="35">
        <v>0.0</v>
      </c>
      <c r="R3177" s="32">
        <v>44581.0</v>
      </c>
      <c r="S3177" s="32">
        <v>41538.0</v>
      </c>
      <c r="T3177" s="29"/>
      <c r="U3177" s="33"/>
      <c r="V3177" s="1"/>
    </row>
    <row r="3178" ht="24.0" customHeight="1">
      <c r="A3178" s="1"/>
      <c r="B3178" s="24" t="str">
        <f>HYPERLINK("https://www.compass.com/listing/137-east-36th-street-unit-19f-pom-manhattan-ny-10016/192566071633470977/view?agent_id=610d3f3370540700019b0833","137 East 36th Street, Unit 19F/POM")</f>
        <v>137 East 36th Street, Unit 19F/POM</v>
      </c>
      <c r="C3178" s="25" t="s">
        <v>364</v>
      </c>
      <c r="D3178" s="26" t="s">
        <v>23</v>
      </c>
      <c r="E3178" s="27" t="str">
        <f>HYPERLINK("https://www.compass.com/building/the-carlton-regency-manhattan-ny/281937346574733269/","The Carlton Regency")</f>
        <v>The Carlton Regency</v>
      </c>
      <c r="F3178" s="25" t="s">
        <v>72</v>
      </c>
      <c r="G3178" s="28">
        <v>1325000.0</v>
      </c>
      <c r="H3178" s="29"/>
      <c r="I3178" s="28">
        <v>3284.0</v>
      </c>
      <c r="J3178" s="29"/>
      <c r="K3178" s="25" t="s">
        <v>25</v>
      </c>
      <c r="L3178" s="26">
        <v>5.0</v>
      </c>
      <c r="M3178" s="26">
        <v>2.0</v>
      </c>
      <c r="N3178" s="26">
        <v>0.0</v>
      </c>
      <c r="O3178" s="26">
        <v>0.0</v>
      </c>
      <c r="P3178" s="30"/>
      <c r="Q3178" s="35">
        <v>0.0</v>
      </c>
      <c r="R3178" s="32">
        <v>44581.0</v>
      </c>
      <c r="S3178" s="32">
        <v>41425.0</v>
      </c>
      <c r="T3178" s="29"/>
      <c r="U3178" s="33"/>
      <c r="V3178" s="1"/>
    </row>
    <row r="3179" ht="24.0" customHeight="1">
      <c r="A3179" s="1"/>
      <c r="B3179" s="24" t="str">
        <f>HYPERLINK("https://www.compass.com/listing/414-east-52nd-street-unit-8c-manhattan-ny-10022/29408886674993425/view?agent_id=610d3f3370540700019b0833","414 East 52nd Street, Unit 8C")</f>
        <v>414 East 52nd Street, Unit 8C</v>
      </c>
      <c r="C3179" s="25" t="s">
        <v>370</v>
      </c>
      <c r="D3179" s="26" t="s">
        <v>23</v>
      </c>
      <c r="E3179" s="27" t="str">
        <f>HYPERLINK("https://www.compass.com/building/the-southgate-manhattan-ny/281955001339809733/","The Southgate")</f>
        <v>The Southgate</v>
      </c>
      <c r="F3179" s="25" t="s">
        <v>66</v>
      </c>
      <c r="G3179" s="28">
        <v>999700.0</v>
      </c>
      <c r="H3179" s="28">
        <v>800.0</v>
      </c>
      <c r="I3179" s="28">
        <v>2868.0</v>
      </c>
      <c r="J3179" s="29"/>
      <c r="K3179" s="25" t="s">
        <v>25</v>
      </c>
      <c r="L3179" s="26">
        <v>4.0</v>
      </c>
      <c r="M3179" s="26">
        <v>2.0</v>
      </c>
      <c r="N3179" s="26">
        <v>0.0</v>
      </c>
      <c r="O3179" s="26">
        <v>0.0</v>
      </c>
      <c r="P3179" s="34">
        <v>1250.0</v>
      </c>
      <c r="Q3179" s="35">
        <v>0.0</v>
      </c>
      <c r="R3179" s="32">
        <v>44581.0</v>
      </c>
      <c r="S3179" s="32">
        <v>41512.0</v>
      </c>
      <c r="T3179" s="29"/>
      <c r="U3179" s="33"/>
      <c r="V3179" s="1"/>
    </row>
    <row r="3180" ht="24.0" customHeight="1">
      <c r="A3180" s="1"/>
      <c r="B3180" s="24" t="str">
        <f>HYPERLINK("https://www.compass.com/listing/160-east-38th-street-unit-27b-manhattan-ny-10016/29379505273451441/view?agent_id=610d3f3370540700019b0833","160 East 38th Street, Unit 27B")</f>
        <v>160 East 38th Street, Unit 27B</v>
      </c>
      <c r="C3180" s="25" t="s">
        <v>370</v>
      </c>
      <c r="D3180" s="26" t="s">
        <v>23</v>
      </c>
      <c r="E3180" s="27" t="str">
        <f>HYPERLINK("https://www.compass.com/building/murray-hill-mews-owners-corp-manhattan-ny/292841714010355349/","Murray Hill Mews Owners Corp.")</f>
        <v>Murray Hill Mews Owners Corp.</v>
      </c>
      <c r="F3180" s="25" t="s">
        <v>72</v>
      </c>
      <c r="G3180" s="28">
        <v>935000.0</v>
      </c>
      <c r="H3180" s="28">
        <v>850.0</v>
      </c>
      <c r="I3180" s="28">
        <v>1845.0</v>
      </c>
      <c r="J3180" s="29"/>
      <c r="K3180" s="25" t="s">
        <v>25</v>
      </c>
      <c r="L3180" s="26">
        <v>4.0</v>
      </c>
      <c r="M3180" s="26">
        <v>2.0</v>
      </c>
      <c r="N3180" s="26">
        <v>0.0</v>
      </c>
      <c r="O3180" s="26">
        <v>0.0</v>
      </c>
      <c r="P3180" s="34">
        <v>1100.0</v>
      </c>
      <c r="Q3180" s="35">
        <v>0.0</v>
      </c>
      <c r="R3180" s="32">
        <v>44581.0</v>
      </c>
      <c r="S3180" s="32">
        <v>41512.0</v>
      </c>
      <c r="T3180" s="29"/>
      <c r="U3180" s="33"/>
      <c r="V3180" s="1"/>
    </row>
    <row r="3181" ht="24.0" customHeight="1">
      <c r="A3181" s="1"/>
      <c r="B3181" s="24" t="str">
        <f>HYPERLINK("https://www.compass.com/listing/368-west-117th-street-unit-5c-manhattan-ny-10026/29432712720916961/view?agent_id=610d3f3370540700019b0833","368 West 117th Street, Unit 5C")</f>
        <v>368 West 117th Street, Unit 5C</v>
      </c>
      <c r="C3181" s="25" t="s">
        <v>370</v>
      </c>
      <c r="D3181" s="26" t="s">
        <v>23</v>
      </c>
      <c r="E3181" s="27" t="str">
        <f>HYPERLINK("https://www.compass.com/building/morningside-court-condos-manhattan-ny/281976769618212533/","Morningside Court Condos")</f>
        <v>Morningside Court Condos</v>
      </c>
      <c r="F3181" s="25" t="s">
        <v>45</v>
      </c>
      <c r="G3181" s="28">
        <v>699000.0</v>
      </c>
      <c r="H3181" s="29"/>
      <c r="I3181" s="28">
        <v>420.0</v>
      </c>
      <c r="J3181" s="29"/>
      <c r="K3181" s="25" t="s">
        <v>28</v>
      </c>
      <c r="L3181" s="26">
        <v>4.0</v>
      </c>
      <c r="M3181" s="26">
        <v>2.0</v>
      </c>
      <c r="N3181" s="26">
        <v>0.0</v>
      </c>
      <c r="O3181" s="26">
        <v>0.0</v>
      </c>
      <c r="P3181" s="30"/>
      <c r="Q3181" s="35">
        <v>0.0</v>
      </c>
      <c r="R3181" s="32">
        <v>44581.0</v>
      </c>
      <c r="S3181" s="32">
        <v>41538.0</v>
      </c>
      <c r="T3181" s="29"/>
      <c r="U3181" s="33"/>
      <c r="V3181" s="1"/>
    </row>
    <row r="3182" ht="24.0" customHeight="1">
      <c r="A3182" s="1"/>
      <c r="B3182" s="24" t="str">
        <f>HYPERLINK("https://www.compass.com/listing/411-421-manhattan-avenue-unit-b8-manhattan-ny-10026/812312064083087633/view?agent_id=610d3f3370540700019b0833","411-421 Manhattan Avenue, Unit B8")</f>
        <v>411-421 Manhattan Avenue, Unit B8</v>
      </c>
      <c r="C3182" s="25" t="s">
        <v>364</v>
      </c>
      <c r="D3182" s="26" t="s">
        <v>23</v>
      </c>
      <c r="E3182" s="27" t="str">
        <f>HYPERLINK("https://www.compass.com/building/park-manhattan-manhattan-ny/436384420702878189/","Park Manhattan")</f>
        <v>Park Manhattan</v>
      </c>
      <c r="F3182" s="25" t="s">
        <v>45</v>
      </c>
      <c r="G3182" s="28">
        <v>464000.0</v>
      </c>
      <c r="H3182" s="28">
        <v>551.0</v>
      </c>
      <c r="I3182" s="28">
        <v>856.0</v>
      </c>
      <c r="J3182" s="28">
        <v>1992.0</v>
      </c>
      <c r="K3182" s="25" t="s">
        <v>28</v>
      </c>
      <c r="L3182" s="26">
        <v>4.0</v>
      </c>
      <c r="M3182" s="26">
        <v>2.0</v>
      </c>
      <c r="N3182" s="26">
        <v>0.0</v>
      </c>
      <c r="O3182" s="26">
        <v>0.0</v>
      </c>
      <c r="P3182" s="26">
        <v>842.0</v>
      </c>
      <c r="Q3182" s="31"/>
      <c r="R3182" s="32">
        <v>44581.0</v>
      </c>
      <c r="S3182" s="33"/>
      <c r="T3182" s="29"/>
      <c r="U3182" s="33"/>
      <c r="V3182" s="1"/>
    </row>
    <row r="3183" ht="24.0" customHeight="1">
      <c r="A3183" s="1"/>
      <c r="B3183" s="24" t="str">
        <f>HYPERLINK("https://www.compass.com/listing/270-convent-avenue-unit-8b-manhattan-ny-10031/1764192260380781969/view?agent_id=610d3f3370540700019b0833","270 Convent Avenue, Unit 8B")</f>
        <v>270 Convent Avenue, Unit 8B</v>
      </c>
      <c r="C3183" s="25" t="s">
        <v>365</v>
      </c>
      <c r="D3183" s="26" t="s">
        <v>23</v>
      </c>
      <c r="E3183" s="27" t="str">
        <f>HYPERLINK("https://www.compass.com/building/270-convent-ave-manhattan-ny-10031/281996325803906005/","270 Convent Ave")</f>
        <v>270 Convent Ave</v>
      </c>
      <c r="F3183" s="25" t="s">
        <v>71</v>
      </c>
      <c r="G3183" s="28">
        <v>575000.0</v>
      </c>
      <c r="H3183" s="29"/>
      <c r="I3183" s="28">
        <v>946.0</v>
      </c>
      <c r="J3183" s="28">
        <v>0.0</v>
      </c>
      <c r="K3183" s="25" t="s">
        <v>25</v>
      </c>
      <c r="L3183" s="26">
        <v>5.0</v>
      </c>
      <c r="M3183" s="26">
        <v>2.0</v>
      </c>
      <c r="N3183" s="26">
        <v>1.0</v>
      </c>
      <c r="O3183" s="30"/>
      <c r="P3183" s="30"/>
      <c r="Q3183" s="35">
        <v>4.0</v>
      </c>
      <c r="R3183" s="32">
        <v>45698.0</v>
      </c>
      <c r="S3183" s="32">
        <v>45693.0</v>
      </c>
      <c r="T3183" s="29"/>
      <c r="U3183" s="33"/>
      <c r="V3183" s="1"/>
    </row>
    <row r="3184" ht="24.0" customHeight="1">
      <c r="A3184" s="1"/>
      <c r="B3184" s="24" t="str">
        <f>HYPERLINK("https://www.compass.com/listing/345-east-57th-street-unit-16b-manhattan-ny-10022/608741299698437065/view?agent_id=610d3f3370540700019b0833","345 East 57th Street, Unit 16B")</f>
        <v>345 East 57th Street, Unit 16B</v>
      </c>
      <c r="C3184" s="25" t="s">
        <v>364</v>
      </c>
      <c r="D3184" s="26" t="s">
        <v>23</v>
      </c>
      <c r="E3184" s="27" t="str">
        <f>HYPERLINK("https://www.compass.com/building/345-e-57th-st-manhattan-ny-10022/281954568789625893/","345 E 57th St")</f>
        <v>345 E 57th St</v>
      </c>
      <c r="F3184" s="25" t="s">
        <v>73</v>
      </c>
      <c r="G3184" s="28">
        <v>895000.0</v>
      </c>
      <c r="H3184" s="29"/>
      <c r="I3184" s="28">
        <v>3726.0</v>
      </c>
      <c r="J3184" s="28">
        <v>0.0</v>
      </c>
      <c r="K3184" s="25" t="s">
        <v>25</v>
      </c>
      <c r="L3184" s="26">
        <v>4.0</v>
      </c>
      <c r="M3184" s="26">
        <v>2.0</v>
      </c>
      <c r="N3184" s="26">
        <v>1.0</v>
      </c>
      <c r="O3184" s="30"/>
      <c r="P3184" s="30"/>
      <c r="Q3184" s="35">
        <v>15.0</v>
      </c>
      <c r="R3184" s="32">
        <v>44867.0</v>
      </c>
      <c r="S3184" s="32">
        <v>44852.0</v>
      </c>
      <c r="T3184" s="29"/>
      <c r="U3184" s="33"/>
      <c r="V3184" s="1"/>
    </row>
    <row r="3185" ht="24.0" customHeight="1">
      <c r="A3185" s="1"/>
      <c r="B3185" s="24" t="str">
        <f>HYPERLINK("https://www.compass.com/listing/513-west-135th-street-unit-4d-manhattan-ny-10031/70960188580023985/view?agent_id=610d3f3370540700019b0833","513 W 135th St, Unit 4D")</f>
        <v>513 W 135th St, Unit 4D</v>
      </c>
      <c r="C3185" s="25" t="s">
        <v>364</v>
      </c>
      <c r="D3185" s="26" t="s">
        <v>23</v>
      </c>
      <c r="E3185" s="27" t="str">
        <f>HYPERLINK("https://www.compass.com/building/513-w-135th-st-manhattan-ny-10031/281999074490705717/","513 W 135th St")</f>
        <v>513 W 135th St</v>
      </c>
      <c r="F3185" s="25" t="s">
        <v>71</v>
      </c>
      <c r="G3185" s="28">
        <v>331000.0</v>
      </c>
      <c r="H3185" s="29"/>
      <c r="I3185" s="28">
        <v>577.0</v>
      </c>
      <c r="J3185" s="28">
        <v>0.0</v>
      </c>
      <c r="K3185" s="25" t="s">
        <v>25</v>
      </c>
      <c r="L3185" s="26">
        <v>4.0</v>
      </c>
      <c r="M3185" s="26">
        <v>2.0</v>
      </c>
      <c r="N3185" s="30"/>
      <c r="O3185" s="30"/>
      <c r="P3185" s="30"/>
      <c r="Q3185" s="35">
        <v>282.0</v>
      </c>
      <c r="R3185" s="32">
        <v>42438.0</v>
      </c>
      <c r="S3185" s="32">
        <v>42153.0</v>
      </c>
      <c r="T3185" s="29"/>
      <c r="U3185" s="33"/>
      <c r="V3185" s="1"/>
    </row>
    <row r="3186" ht="24.0" customHeight="1">
      <c r="A3186" s="1"/>
      <c r="B3186" s="24" t="str">
        <f>HYPERLINK("https://www.compass.com/listing/220-west-111th-street-unit-1a-manhattan-ny-10026/1788839061797729689/view?agent_id=610d3f3370540700019b0833","220 West 111th Street, Unit 1A")</f>
        <v>220 West 111th Street, Unit 1A</v>
      </c>
      <c r="C3186" s="25" t="s">
        <v>365</v>
      </c>
      <c r="D3186" s="26" t="s">
        <v>23</v>
      </c>
      <c r="E3186" s="27" t="str">
        <f>HYPERLINK("https://www.compass.com/building/the-park-central-manhattan-ny/281975604063070805/","The Park Central")</f>
        <v>The Park Central</v>
      </c>
      <c r="F3186" s="25" t="s">
        <v>45</v>
      </c>
      <c r="G3186" s="28">
        <v>735000.0</v>
      </c>
      <c r="H3186" s="28">
        <v>1148.0</v>
      </c>
      <c r="I3186" s="28">
        <v>1354.0</v>
      </c>
      <c r="J3186" s="28">
        <v>5775.0</v>
      </c>
      <c r="K3186" s="25" t="s">
        <v>28</v>
      </c>
      <c r="L3186" s="26">
        <v>4.0</v>
      </c>
      <c r="M3186" s="26">
        <v>2.0</v>
      </c>
      <c r="N3186" s="26">
        <v>1.0</v>
      </c>
      <c r="O3186" s="26">
        <v>0.0</v>
      </c>
      <c r="P3186" s="26">
        <v>640.0</v>
      </c>
      <c r="Q3186" s="35">
        <v>136.0</v>
      </c>
      <c r="R3186" s="32">
        <v>45859.0</v>
      </c>
      <c r="S3186" s="32">
        <v>45722.0</v>
      </c>
      <c r="T3186" s="29"/>
      <c r="U3186" s="33"/>
      <c r="V3186" s="1"/>
    </row>
    <row r="3187" ht="24.0" customHeight="1">
      <c r="A3187" s="1"/>
      <c r="B3187" s="24" t="str">
        <f>HYPERLINK("https://www.compass.com/listing/333-east-55th-street-unit-10ak-manhattan-ny-10022/4852305855581791601/view?agent_id=610d3f3370540700019b0833","333 East 55th Street, Unit 10AK")</f>
        <v>333 East 55th Street, Unit 10AK</v>
      </c>
      <c r="C3187" s="25" t="s">
        <v>364</v>
      </c>
      <c r="D3187" s="26" t="s">
        <v>23</v>
      </c>
      <c r="E3187" s="27" t="str">
        <f>HYPERLINK("https://www.compass.com/building/333-e-55th-st-manhattan-ny-10022/281954304422644565/","333 E 55th St")</f>
        <v>333 E 55th St</v>
      </c>
      <c r="F3187" s="25" t="s">
        <v>73</v>
      </c>
      <c r="G3187" s="28">
        <v>708000.0</v>
      </c>
      <c r="H3187" s="28">
        <v>644.0</v>
      </c>
      <c r="I3187" s="28">
        <v>1770.0</v>
      </c>
      <c r="J3187" s="29"/>
      <c r="K3187" s="25" t="s">
        <v>25</v>
      </c>
      <c r="L3187" s="26">
        <v>4.0</v>
      </c>
      <c r="M3187" s="26">
        <v>2.0</v>
      </c>
      <c r="N3187" s="26">
        <v>0.0</v>
      </c>
      <c r="O3187" s="26">
        <v>0.0</v>
      </c>
      <c r="P3187" s="34">
        <v>1100.0</v>
      </c>
      <c r="Q3187" s="35">
        <v>0.0</v>
      </c>
      <c r="R3187" s="32">
        <v>44581.0</v>
      </c>
      <c r="S3187" s="32">
        <v>41537.0</v>
      </c>
      <c r="T3187" s="29"/>
      <c r="U3187" s="33"/>
      <c r="V3187" s="1"/>
    </row>
    <row r="3188" ht="24.0" customHeight="1">
      <c r="A3188" s="1"/>
      <c r="B3188" s="24" t="str">
        <f>HYPERLINK("https://www.compass.com/listing/630-1st-avenue-unit-31l-manhattan-ny-10016/29383104758120513/view?agent_id=610d3f3370540700019b0833","630 1st Avenue, Unit 31L")</f>
        <v>630 1st Avenue, Unit 31L</v>
      </c>
      <c r="C3188" s="25" t="s">
        <v>370</v>
      </c>
      <c r="D3188" s="26" t="s">
        <v>23</v>
      </c>
      <c r="E3188" s="27" t="str">
        <f>HYPERLINK("https://www.compass.com/building/manhattan-place-manhattan-ny/281941180730631525/","Manhattan Place")</f>
        <v>Manhattan Place</v>
      </c>
      <c r="F3188" s="25" t="s">
        <v>72</v>
      </c>
      <c r="G3188" s="28">
        <v>1495000.0</v>
      </c>
      <c r="H3188" s="28">
        <v>1150.0</v>
      </c>
      <c r="I3188" s="28">
        <v>2123.0</v>
      </c>
      <c r="J3188" s="28">
        <v>11760.0</v>
      </c>
      <c r="K3188" s="25" t="s">
        <v>28</v>
      </c>
      <c r="L3188" s="26">
        <v>4.0</v>
      </c>
      <c r="M3188" s="26">
        <v>2.0</v>
      </c>
      <c r="N3188" s="26">
        <v>0.0</v>
      </c>
      <c r="O3188" s="26">
        <v>0.0</v>
      </c>
      <c r="P3188" s="34">
        <v>1300.0</v>
      </c>
      <c r="Q3188" s="35">
        <v>0.0</v>
      </c>
      <c r="R3188" s="32">
        <v>44581.0</v>
      </c>
      <c r="S3188" s="32">
        <v>41538.0</v>
      </c>
      <c r="T3188" s="29"/>
      <c r="U3188" s="33"/>
      <c r="V3188" s="1"/>
    </row>
    <row r="3189" ht="24.0" customHeight="1">
      <c r="A3189" s="1"/>
      <c r="B3189" s="24" t="str">
        <f>HYPERLINK("https://www.compass.com/listing/98-morningside-avenue-unit-66-manhattan-ny-10027/815281404379008985/view?agent_id=610d3f3370540700019b0833","98 Morningside Avenue, Unit 66")</f>
        <v>98 Morningside Avenue, Unit 66</v>
      </c>
      <c r="C3189" s="25" t="s">
        <v>364</v>
      </c>
      <c r="D3189" s="26" t="s">
        <v>23</v>
      </c>
      <c r="E3189" s="27" t="str">
        <f>HYPERLINK("https://www.compass.com/building/98-morningside-ave-manhattan-ny-10027/281926480458456757/","98 Morningside Ave")</f>
        <v>98 Morningside Ave</v>
      </c>
      <c r="F3189" s="25" t="s">
        <v>45</v>
      </c>
      <c r="G3189" s="28">
        <v>3200.0</v>
      </c>
      <c r="H3189" s="28">
        <v>0.0</v>
      </c>
      <c r="I3189" s="28">
        <v>0.0</v>
      </c>
      <c r="J3189" s="28">
        <v>0.0</v>
      </c>
      <c r="K3189" s="25" t="s">
        <v>149</v>
      </c>
      <c r="L3189" s="26">
        <v>5.0</v>
      </c>
      <c r="M3189" s="26">
        <v>2.0</v>
      </c>
      <c r="N3189" s="26">
        <v>1.0</v>
      </c>
      <c r="O3189" s="26">
        <v>0.0</v>
      </c>
      <c r="P3189" s="34">
        <v>65800.0</v>
      </c>
      <c r="Q3189" s="35">
        <v>0.0</v>
      </c>
      <c r="R3189" s="32">
        <v>44377.0</v>
      </c>
      <c r="S3189" s="32">
        <v>44376.0</v>
      </c>
      <c r="T3189" s="29"/>
      <c r="U3189" s="33"/>
      <c r="V3189" s="1"/>
    </row>
    <row r="3190" ht="24.0" customHeight="1">
      <c r="A3190" s="1"/>
      <c r="B3190" s="24" t="str">
        <f>HYPERLINK("https://www.compass.com/listing/400-east-54th-street-unit-6a-manhattan-ny-10022/921839358952120577/view?agent_id=610d3f3370540700019b0833","400 East 54th Street, Unit 6A")</f>
        <v>400 East 54th Street, Unit 6A</v>
      </c>
      <c r="C3190" s="25" t="s">
        <v>370</v>
      </c>
      <c r="D3190" s="26" t="s">
        <v>23</v>
      </c>
      <c r="E3190" s="27" t="str">
        <f>HYPERLINK("https://www.compass.com/building/the-revere-condominium-manhattan-ny/281954831604714805/","The Revere Condominium")</f>
        <v>The Revere Condominium</v>
      </c>
      <c r="F3190" s="25" t="s">
        <v>73</v>
      </c>
      <c r="G3190" s="28">
        <v>1650000.0</v>
      </c>
      <c r="H3190" s="28">
        <v>1567.0</v>
      </c>
      <c r="I3190" s="28">
        <v>2034.0</v>
      </c>
      <c r="J3190" s="28">
        <v>14424.0</v>
      </c>
      <c r="K3190" s="25" t="s">
        <v>28</v>
      </c>
      <c r="L3190" s="26">
        <v>4.0</v>
      </c>
      <c r="M3190" s="26">
        <v>2.0</v>
      </c>
      <c r="N3190" s="26">
        <v>0.0</v>
      </c>
      <c r="O3190" s="26">
        <v>0.0</v>
      </c>
      <c r="P3190" s="34">
        <v>1053.0</v>
      </c>
      <c r="Q3190" s="35">
        <v>110.0</v>
      </c>
      <c r="R3190" s="32">
        <v>45636.0</v>
      </c>
      <c r="S3190" s="32">
        <v>42741.0</v>
      </c>
      <c r="T3190" s="29"/>
      <c r="U3190" s="33"/>
      <c r="V3190" s="1"/>
    </row>
    <row r="3191" ht="24.0" customHeight="1">
      <c r="A3191" s="1"/>
      <c r="B3191" s="24" t="str">
        <f>HYPERLINK("https://www.compass.com/listing/306-west-116th-street-unit-4a-manhattan-ny-10026/4852270459867114849/view?agent_id=610d3f3370540700019b0833","306 West 116th Street, Unit 4A")</f>
        <v>306 West 116th Street, Unit 4A</v>
      </c>
      <c r="C3191" s="25" t="s">
        <v>364</v>
      </c>
      <c r="D3191" s="26" t="s">
        <v>23</v>
      </c>
      <c r="E3191" s="27" t="str">
        <f>HYPERLINK("https://www.compass.com/building/the-morningside-condominiums-manhattan-ny/281976338292763717/","The Morningside Condominiums")</f>
        <v>The Morningside Condominiums</v>
      </c>
      <c r="F3191" s="25" t="s">
        <v>45</v>
      </c>
      <c r="G3191" s="28">
        <v>1200000.0</v>
      </c>
      <c r="H3191" s="28">
        <v>1271.0</v>
      </c>
      <c r="I3191" s="28">
        <v>1187.0</v>
      </c>
      <c r="J3191" s="28">
        <v>696.0</v>
      </c>
      <c r="K3191" s="25" t="s">
        <v>28</v>
      </c>
      <c r="L3191" s="26">
        <v>4.0</v>
      </c>
      <c r="M3191" s="26">
        <v>2.0</v>
      </c>
      <c r="N3191" s="26">
        <v>0.0</v>
      </c>
      <c r="O3191" s="26">
        <v>0.0</v>
      </c>
      <c r="P3191" s="26">
        <v>944.0</v>
      </c>
      <c r="Q3191" s="35">
        <v>188.0</v>
      </c>
      <c r="R3191" s="32">
        <v>45636.0</v>
      </c>
      <c r="S3191" s="32">
        <v>41962.0</v>
      </c>
      <c r="T3191" s="29"/>
      <c r="U3191" s="33"/>
      <c r="V3191" s="1"/>
    </row>
    <row r="3192" ht="24.0" customHeight="1">
      <c r="A3192" s="1"/>
      <c r="B3192" s="24" t="str">
        <f>HYPERLINK("https://www.compass.com/listing/200-east-57th-street-unit-15l-manhattan-ny-10022/44790217382594529/view?agent_id=610d3f3370540700019b0833","200 East 57th Street, Unit 15L")</f>
        <v>200 East 57th Street, Unit 15L</v>
      </c>
      <c r="C3192" s="25" t="s">
        <v>364</v>
      </c>
      <c r="D3192" s="26" t="s">
        <v>23</v>
      </c>
      <c r="E3192" s="27" t="str">
        <f>HYPERLINK("https://www.compass.com/building/200-e-57th-st-manhattan-ny-10022/292859091028618677/","200 E 57th St")</f>
        <v>200 E 57th St</v>
      </c>
      <c r="F3192" s="25" t="s">
        <v>66</v>
      </c>
      <c r="G3192" s="28">
        <v>950000.0</v>
      </c>
      <c r="H3192" s="29"/>
      <c r="I3192" s="28">
        <v>2610.0</v>
      </c>
      <c r="J3192" s="28">
        <v>0.0</v>
      </c>
      <c r="K3192" s="25" t="s">
        <v>25</v>
      </c>
      <c r="L3192" s="26">
        <v>5.0</v>
      </c>
      <c r="M3192" s="26">
        <v>2.0</v>
      </c>
      <c r="N3192" s="30"/>
      <c r="O3192" s="30"/>
      <c r="P3192" s="30"/>
      <c r="Q3192" s="35">
        <v>118.0</v>
      </c>
      <c r="R3192" s="32">
        <v>43550.0</v>
      </c>
      <c r="S3192" s="32">
        <v>43313.0</v>
      </c>
      <c r="T3192" s="29"/>
      <c r="U3192" s="33"/>
      <c r="V3192" s="1"/>
    </row>
    <row r="3193" ht="24.0" customHeight="1">
      <c r="A3193" s="1"/>
      <c r="B3193" s="24" t="str">
        <f>HYPERLINK("https://www.compass.com/listing/1-hanson-place-unit-18l-brooklyn-ny-11243/29482318326421185/view?agent_id=610d3f3370540700019b0833","1 Hanson Place, Unit 18L")</f>
        <v>1 Hanson Place, Unit 18L</v>
      </c>
      <c r="C3193" s="25" t="s">
        <v>364</v>
      </c>
      <c r="D3193" s="26" t="s">
        <v>23</v>
      </c>
      <c r="E3193" s="27" t="str">
        <f>HYPERLINK("https://www.compass.com/building/one-hanson-place-condominium-brooklyn-ny/307446033092810661/","One Hanson Place Condominium ")</f>
        <v>One Hanson Place Condominium </v>
      </c>
      <c r="F3193" s="25" t="s">
        <v>59</v>
      </c>
      <c r="G3193" s="28">
        <v>1650000.0</v>
      </c>
      <c r="H3193" s="28">
        <v>1259.0</v>
      </c>
      <c r="I3193" s="28">
        <v>1456.0</v>
      </c>
      <c r="J3193" s="28">
        <v>2172.0</v>
      </c>
      <c r="K3193" s="25" t="s">
        <v>28</v>
      </c>
      <c r="L3193" s="26">
        <v>4.0</v>
      </c>
      <c r="M3193" s="26">
        <v>2.0</v>
      </c>
      <c r="N3193" s="30"/>
      <c r="O3193" s="30"/>
      <c r="P3193" s="34">
        <v>1311.0</v>
      </c>
      <c r="Q3193" s="35">
        <v>1.0</v>
      </c>
      <c r="R3193" s="32">
        <v>43637.0</v>
      </c>
      <c r="S3193" s="32">
        <v>43635.0</v>
      </c>
      <c r="T3193" s="29"/>
      <c r="U3193" s="33"/>
      <c r="V3193" s="1"/>
    </row>
    <row r="3194" ht="24.0" customHeight="1">
      <c r="A3194" s="1"/>
      <c r="B3194" s="24" t="str">
        <f>HYPERLINK("https://www.compass.com/listing/875-st-marks-avenue-unit-b-brooklyn-ny-11213/1838890647570984153/view?agent_id=610d3f3370540700019b0833","875 St Marks Avenue, Unit B")</f>
        <v>875 St Marks Avenue, Unit B</v>
      </c>
      <c r="C3194" s="25" t="s">
        <v>364</v>
      </c>
      <c r="D3194" s="26" t="s">
        <v>23</v>
      </c>
      <c r="E3194" s="27" t="str">
        <f t="shared" ref="E3194:E3195" si="93">HYPERLINK("https://www.compass.com/building/875-st-marks-ave-brooklyn-ny-11213/293416916490497317/","875 St Marks Ave")</f>
        <v>875 St Marks Ave</v>
      </c>
      <c r="F3194" s="25" t="s">
        <v>113</v>
      </c>
      <c r="G3194" s="28">
        <v>499000.0</v>
      </c>
      <c r="H3194" s="28">
        <v>531.0</v>
      </c>
      <c r="I3194" s="28">
        <v>423.0</v>
      </c>
      <c r="J3194" s="29"/>
      <c r="K3194" s="25" t="s">
        <v>28</v>
      </c>
      <c r="L3194" s="26">
        <v>4.0</v>
      </c>
      <c r="M3194" s="26">
        <v>2.0</v>
      </c>
      <c r="N3194" s="26">
        <v>0.0</v>
      </c>
      <c r="O3194" s="26">
        <v>0.0</v>
      </c>
      <c r="P3194" s="26">
        <v>940.0</v>
      </c>
      <c r="Q3194" s="35">
        <v>1140.0</v>
      </c>
      <c r="R3194" s="32">
        <v>44581.0</v>
      </c>
      <c r="S3194" s="32">
        <v>41738.0</v>
      </c>
      <c r="T3194" s="29"/>
      <c r="U3194" s="33"/>
      <c r="V3194" s="1"/>
    </row>
    <row r="3195" ht="24.0" customHeight="1">
      <c r="A3195" s="1"/>
      <c r="B3195" s="24" t="str">
        <f>HYPERLINK("https://www.compass.com/listing/875-st-marks-avenue-unit-1b-brooklyn-ny-11213/1838950436351153985/view?agent_id=610d3f3370540700019b0833","875 St Marks Avenue, Unit 1B")</f>
        <v>875 St Marks Avenue, Unit 1B</v>
      </c>
      <c r="C3195" s="25" t="s">
        <v>364</v>
      </c>
      <c r="D3195" s="26" t="s">
        <v>23</v>
      </c>
      <c r="E3195" s="27" t="str">
        <f t="shared" si="93"/>
        <v>875 St Marks Ave</v>
      </c>
      <c r="F3195" s="25" t="s">
        <v>113</v>
      </c>
      <c r="G3195" s="28">
        <v>549000.0</v>
      </c>
      <c r="H3195" s="28">
        <v>694.0</v>
      </c>
      <c r="I3195" s="28">
        <v>356.0</v>
      </c>
      <c r="J3195" s="29"/>
      <c r="K3195" s="25" t="s">
        <v>28</v>
      </c>
      <c r="L3195" s="26">
        <v>4.0</v>
      </c>
      <c r="M3195" s="26">
        <v>2.0</v>
      </c>
      <c r="N3195" s="26">
        <v>0.0</v>
      </c>
      <c r="O3195" s="26">
        <v>0.0</v>
      </c>
      <c r="P3195" s="26">
        <v>791.0</v>
      </c>
      <c r="Q3195" s="35">
        <v>1140.0</v>
      </c>
      <c r="R3195" s="32">
        <v>44581.0</v>
      </c>
      <c r="S3195" s="32">
        <v>41738.0</v>
      </c>
      <c r="T3195" s="29"/>
      <c r="U3195" s="33"/>
      <c r="V3195" s="1"/>
    </row>
    <row r="3196" ht="24.0" customHeight="1">
      <c r="A3196" s="1"/>
      <c r="B3196" s="24" t="str">
        <f>HYPERLINK("https://www.compass.com/listing/419-west-55th-street-unit-3c-manhattan-ny-10019/29389441655236337/view?agent_id=610d3f3370540700019b0833","419 West 55th Street, Unit 3C")</f>
        <v>419 West 55th Street, Unit 3C</v>
      </c>
      <c r="C3196" s="25" t="s">
        <v>370</v>
      </c>
      <c r="D3196" s="26" t="s">
        <v>23</v>
      </c>
      <c r="E3196" s="27" t="str">
        <f>HYPERLINK("https://www.compass.com/building/loft-55-manhattan-ny/281945652018080341/","Loft 55")</f>
        <v>Loft 55</v>
      </c>
      <c r="F3196" s="25" t="s">
        <v>47</v>
      </c>
      <c r="G3196" s="28">
        <v>1100000.0</v>
      </c>
      <c r="H3196" s="28">
        <v>863.0</v>
      </c>
      <c r="I3196" s="28">
        <v>3350.0</v>
      </c>
      <c r="J3196" s="29"/>
      <c r="K3196" s="25" t="s">
        <v>49</v>
      </c>
      <c r="L3196" s="26">
        <v>4.0</v>
      </c>
      <c r="M3196" s="26">
        <v>2.0</v>
      </c>
      <c r="N3196" s="26">
        <v>0.0</v>
      </c>
      <c r="O3196" s="26">
        <v>0.0</v>
      </c>
      <c r="P3196" s="34">
        <v>1274.0</v>
      </c>
      <c r="Q3196" s="35">
        <v>212.0</v>
      </c>
      <c r="R3196" s="32">
        <v>45636.0</v>
      </c>
      <c r="S3196" s="32">
        <v>42983.0</v>
      </c>
      <c r="T3196" s="29"/>
      <c r="U3196" s="33"/>
      <c r="V3196" s="1"/>
    </row>
    <row r="3197" ht="24.0" customHeight="1">
      <c r="A3197" s="1"/>
      <c r="B3197" s="24" t="str">
        <f>HYPERLINK("https://www.compass.com/listing/72-morningside-avenue-unit-53-manhattan-ny-10027/29432822108303697/view?agent_id=610d3f3370540700019b0833","72 Morningside Avenue, Unit 53")</f>
        <v>72 Morningside Avenue, Unit 53</v>
      </c>
      <c r="C3197" s="25" t="s">
        <v>370</v>
      </c>
      <c r="D3197" s="26" t="s">
        <v>23</v>
      </c>
      <c r="E3197" s="27" t="str">
        <f>HYPERLINK("https://www.compass.com/building/72-morningside-ave-manhattan-ny-10027/281983515896157189/","72 Morningside Ave")</f>
        <v>72 Morningside Ave</v>
      </c>
      <c r="F3197" s="25" t="s">
        <v>45</v>
      </c>
      <c r="G3197" s="28">
        <v>519000.0</v>
      </c>
      <c r="H3197" s="29"/>
      <c r="I3197" s="28">
        <v>431.0</v>
      </c>
      <c r="J3197" s="29"/>
      <c r="K3197" s="25" t="s">
        <v>25</v>
      </c>
      <c r="L3197" s="26">
        <v>5.0</v>
      </c>
      <c r="M3197" s="26">
        <v>2.0</v>
      </c>
      <c r="N3197" s="26">
        <v>1.0</v>
      </c>
      <c r="O3197" s="26">
        <v>0.0</v>
      </c>
      <c r="P3197" s="30"/>
      <c r="Q3197" s="35">
        <v>0.0</v>
      </c>
      <c r="R3197" s="32">
        <v>44581.0</v>
      </c>
      <c r="S3197" s="32">
        <v>41538.0</v>
      </c>
      <c r="T3197" s="29"/>
      <c r="U3197" s="33"/>
      <c r="V3197" s="1"/>
    </row>
    <row r="3198" ht="24.0" customHeight="1">
      <c r="A3198" s="1"/>
      <c r="B3198" s="24" t="str">
        <f>HYPERLINK("https://www.compass.com/listing/2235-frederick-douglass-boulevard-unit-4f-manhattan-ny-10027/29432815414194305/view?agent_id=610d3f3370540700019b0833","2235 Frederick Douglass Boulevard, Unit 4F")</f>
        <v>2235 Frederick Douglass Boulevard, Unit 4F</v>
      </c>
      <c r="C3198" s="25" t="s">
        <v>370</v>
      </c>
      <c r="D3198" s="26" t="s">
        <v>23</v>
      </c>
      <c r="E3198" s="27" t="str">
        <f>HYPERLINK("https://www.compass.com/building/harriet-tubman-gardens-apartment-corporation-manhattan-ny/389266423256813893/","Harriet Tubman Gardens Apartment Corporation")</f>
        <v>Harriet Tubman Gardens Apartment Corporation</v>
      </c>
      <c r="F3198" s="25" t="s">
        <v>45</v>
      </c>
      <c r="G3198" s="28">
        <v>695000.0</v>
      </c>
      <c r="H3198" s="29"/>
      <c r="I3198" s="28">
        <v>700.0</v>
      </c>
      <c r="J3198" s="29"/>
      <c r="K3198" s="25" t="s">
        <v>49</v>
      </c>
      <c r="L3198" s="26">
        <v>4.0</v>
      </c>
      <c r="M3198" s="26">
        <v>2.0</v>
      </c>
      <c r="N3198" s="26">
        <v>0.0</v>
      </c>
      <c r="O3198" s="26">
        <v>0.0</v>
      </c>
      <c r="P3198" s="30"/>
      <c r="Q3198" s="35">
        <v>181.0</v>
      </c>
      <c r="R3198" s="32">
        <v>45636.0</v>
      </c>
      <c r="S3198" s="32">
        <v>42103.0</v>
      </c>
      <c r="T3198" s="29"/>
      <c r="U3198" s="33"/>
      <c r="V3198" s="1"/>
    </row>
    <row r="3199" ht="24.0" customHeight="1">
      <c r="A3199" s="1"/>
      <c r="B3199" s="24" t="str">
        <f>HYPERLINK("https://www.compass.com/listing/1608-amsterdam-avenue-unit-1b-manhattan-ny-10031/132413270119155089/view?agent_id=610d3f3370540700019b0833","1608 Amsterdam Avenue, Unit 1B")</f>
        <v>1608 Amsterdam Avenue, Unit 1B</v>
      </c>
      <c r="C3199" s="25" t="s">
        <v>364</v>
      </c>
      <c r="D3199" s="26" t="s">
        <v>23</v>
      </c>
      <c r="E3199" s="27" t="str">
        <f>HYPERLINK("https://www.compass.com/building/1608-amsterdam-ave-manhattan-ny-10031/281995988497977829/","1608 Amsterdam Ave")</f>
        <v>1608 Amsterdam Ave</v>
      </c>
      <c r="F3199" s="25" t="s">
        <v>71</v>
      </c>
      <c r="G3199" s="28">
        <v>430000.0</v>
      </c>
      <c r="H3199" s="29"/>
      <c r="I3199" s="28">
        <v>531.0</v>
      </c>
      <c r="J3199" s="28">
        <v>374.0</v>
      </c>
      <c r="K3199" s="25" t="s">
        <v>25</v>
      </c>
      <c r="L3199" s="26">
        <v>5.0</v>
      </c>
      <c r="M3199" s="26">
        <v>2.0</v>
      </c>
      <c r="N3199" s="26">
        <v>1.0</v>
      </c>
      <c r="O3199" s="30"/>
      <c r="P3199" s="30"/>
      <c r="Q3199" s="35">
        <v>171.0</v>
      </c>
      <c r="R3199" s="32">
        <v>43647.0</v>
      </c>
      <c r="S3199" s="32">
        <v>43476.0</v>
      </c>
      <c r="T3199" s="29"/>
      <c r="U3199" s="33"/>
      <c r="V3199" s="1"/>
    </row>
    <row r="3200" ht="24.0" customHeight="1">
      <c r="A3200" s="1"/>
      <c r="B3200" s="24" t="str">
        <f>HYPERLINK("https://www.compass.com/listing/450-west-147th-street-unit-21-manhattan-ny-10031/1411612674019988625/view?agent_id=610d3f3370540700019b0833","450 West 147th Street, Unit 21")</f>
        <v>450 West 147th Street, Unit 21</v>
      </c>
      <c r="C3200" s="25" t="s">
        <v>364</v>
      </c>
      <c r="D3200" s="26" t="s">
        <v>23</v>
      </c>
      <c r="E3200" s="27" t="str">
        <f>HYPERLINK("https://www.compass.com/building/450-w-147th-st-manhattan-ny-10031/281997499059788405/","450 W 147th St")</f>
        <v>450 W 147th St</v>
      </c>
      <c r="F3200" s="25" t="s">
        <v>71</v>
      </c>
      <c r="G3200" s="28">
        <v>665000.0</v>
      </c>
      <c r="H3200" s="29"/>
      <c r="I3200" s="28">
        <v>1184.0</v>
      </c>
      <c r="J3200" s="28">
        <v>0.0</v>
      </c>
      <c r="K3200" s="25" t="s">
        <v>25</v>
      </c>
      <c r="L3200" s="26">
        <v>5.0</v>
      </c>
      <c r="M3200" s="26">
        <v>2.0</v>
      </c>
      <c r="N3200" s="26">
        <v>1.0</v>
      </c>
      <c r="O3200" s="30"/>
      <c r="P3200" s="30"/>
      <c r="Q3200" s="35">
        <v>114.0</v>
      </c>
      <c r="R3200" s="32">
        <v>45313.0</v>
      </c>
      <c r="S3200" s="32">
        <v>45199.0</v>
      </c>
      <c r="T3200" s="29"/>
      <c r="U3200" s="33"/>
      <c r="V3200" s="1"/>
    </row>
    <row r="3201" ht="24.0" customHeight="1">
      <c r="A3201" s="1"/>
      <c r="B3201" s="24" t="str">
        <f>HYPERLINK("https://www.compass.com/listing/100-hamilton-place-unit-2f-manhattan-ny-10031/1657513453004277793/view?agent_id=610d3f3370540700019b0833","100 Hamilton Place, Unit 2F")</f>
        <v>100 Hamilton Place, Unit 2F</v>
      </c>
      <c r="C3201" s="25" t="s">
        <v>364</v>
      </c>
      <c r="D3201" s="26" t="s">
        <v>23</v>
      </c>
      <c r="E3201" s="27" t="str">
        <f>HYPERLINK("https://www.compass.com/building/100-hamilton-pl-manhattan-ny-10031/294841463023969173/","100 Hamilton Pl")</f>
        <v>100 Hamilton Pl</v>
      </c>
      <c r="F3201" s="25" t="s">
        <v>71</v>
      </c>
      <c r="G3201" s="28">
        <v>524900.0</v>
      </c>
      <c r="H3201" s="29"/>
      <c r="I3201" s="28">
        <v>1189.0</v>
      </c>
      <c r="J3201" s="28">
        <v>0.0</v>
      </c>
      <c r="K3201" s="25" t="s">
        <v>25</v>
      </c>
      <c r="L3201" s="26">
        <v>4.0</v>
      </c>
      <c r="M3201" s="26">
        <v>2.0</v>
      </c>
      <c r="N3201" s="26">
        <v>1.0</v>
      </c>
      <c r="O3201" s="30"/>
      <c r="P3201" s="30"/>
      <c r="Q3201" s="35">
        <v>17.0</v>
      </c>
      <c r="R3201" s="32">
        <v>45744.0</v>
      </c>
      <c r="S3201" s="32">
        <v>45726.0</v>
      </c>
      <c r="T3201" s="29"/>
      <c r="U3201" s="33"/>
      <c r="V3201" s="1"/>
    </row>
    <row r="3202" ht="24.0" customHeight="1">
      <c r="A3202" s="1"/>
      <c r="B3202" s="24" t="str">
        <f>HYPERLINK("https://www.compass.com/listing/875-saint-marks-avenue-unit-1b-brooklyn-ny-11213/1236856934564638881/view?agent_id=610d3f3370540700019b0833","875 Saint Marks Avenue, Unit 1B")</f>
        <v>875 Saint Marks Avenue, Unit 1B</v>
      </c>
      <c r="C3202" s="25" t="s">
        <v>364</v>
      </c>
      <c r="D3202" s="26" t="s">
        <v>23</v>
      </c>
      <c r="E3202" s="27" t="str">
        <f t="shared" ref="E3202:E3203" si="94">HYPERLINK("https://www.compass.com/building/875-saint-marks-ave-brooklyn-ny-11213/293416916490497317/","875 Saint Marks Ave")</f>
        <v>875 Saint Marks Ave</v>
      </c>
      <c r="F3202" s="25" t="s">
        <v>113</v>
      </c>
      <c r="G3202" s="28">
        <v>925000.0</v>
      </c>
      <c r="H3202" s="29"/>
      <c r="I3202" s="28">
        <v>586.0</v>
      </c>
      <c r="J3202" s="28">
        <v>2083.0</v>
      </c>
      <c r="K3202" s="25" t="s">
        <v>28</v>
      </c>
      <c r="L3202" s="26">
        <v>1.0</v>
      </c>
      <c r="M3202" s="26">
        <v>2.0</v>
      </c>
      <c r="N3202" s="26">
        <v>1.0</v>
      </c>
      <c r="O3202" s="26">
        <v>0.0</v>
      </c>
      <c r="P3202" s="30"/>
      <c r="Q3202" s="35">
        <v>86.0</v>
      </c>
      <c r="R3202" s="32">
        <v>45182.0</v>
      </c>
      <c r="S3202" s="32">
        <v>44958.0</v>
      </c>
      <c r="T3202" s="29"/>
      <c r="U3202" s="33"/>
      <c r="V3202" s="1"/>
    </row>
    <row r="3203" ht="24.0" customHeight="1">
      <c r="A3203" s="1"/>
      <c r="B3203" s="24" t="str">
        <f>HYPERLINK("https://www.compass.com/listing/875-saint-marks-avenue-unit-1b-brooklyn-ny-11213/587642884596193417/view?agent_id=610d3f3370540700019b0833","875 Saint Marks Avenue, Unit 1B")</f>
        <v>875 Saint Marks Avenue, Unit 1B</v>
      </c>
      <c r="C3203" s="25" t="s">
        <v>365</v>
      </c>
      <c r="D3203" s="26" t="s">
        <v>23</v>
      </c>
      <c r="E3203" s="27" t="str">
        <f t="shared" si="94"/>
        <v>875 Saint Marks Ave</v>
      </c>
      <c r="F3203" s="25" t="s">
        <v>113</v>
      </c>
      <c r="G3203" s="28">
        <v>925000.0</v>
      </c>
      <c r="H3203" s="28">
        <v>1169.0</v>
      </c>
      <c r="I3203" s="28">
        <v>516.0</v>
      </c>
      <c r="J3203" s="28">
        <v>1896.0</v>
      </c>
      <c r="K3203" s="25" t="s">
        <v>28</v>
      </c>
      <c r="L3203" s="26">
        <v>4.0</v>
      </c>
      <c r="M3203" s="26">
        <v>2.0</v>
      </c>
      <c r="N3203" s="26">
        <v>1.0</v>
      </c>
      <c r="O3203" s="26">
        <v>0.0</v>
      </c>
      <c r="P3203" s="26">
        <v>791.0</v>
      </c>
      <c r="Q3203" s="35">
        <v>83.0</v>
      </c>
      <c r="R3203" s="32">
        <v>44145.0</v>
      </c>
      <c r="S3203" s="32">
        <v>44062.0</v>
      </c>
      <c r="T3203" s="29"/>
      <c r="U3203" s="33"/>
      <c r="V3203" s="1"/>
    </row>
    <row r="3204" ht="24.0" customHeight="1">
      <c r="A3204" s="1"/>
      <c r="B3204" s="24" t="str">
        <f>HYPERLINK("https://www.compass.com/listing/25-columbus-circle-unit-65b-manhattan-ny-10019/4820460030325172801/view?agent_id=610d3f3370540700019b0833","25 Columbus Circle, Unit 65B")</f>
        <v>25 Columbus Circle, Unit 65B</v>
      </c>
      <c r="C3204" s="25" t="s">
        <v>364</v>
      </c>
      <c r="D3204" s="26" t="s">
        <v>23</v>
      </c>
      <c r="E3204" s="27" t="str">
        <f>HYPERLINK("https://www.compass.com/building/deutsche-bank-center-manhattan-ny/567743935499919821/","Deutsche Bank Center")</f>
        <v>Deutsche Bank Center</v>
      </c>
      <c r="F3204" s="25" t="s">
        <v>29</v>
      </c>
      <c r="G3204" s="28">
        <v>1.0E7</v>
      </c>
      <c r="H3204" s="28">
        <v>5464.0</v>
      </c>
      <c r="I3204" s="28">
        <v>6809.0</v>
      </c>
      <c r="J3204" s="28">
        <v>33480.0</v>
      </c>
      <c r="K3204" s="25" t="s">
        <v>28</v>
      </c>
      <c r="L3204" s="26">
        <v>4.0</v>
      </c>
      <c r="M3204" s="26">
        <v>2.0</v>
      </c>
      <c r="N3204" s="26">
        <v>0.0</v>
      </c>
      <c r="O3204" s="26">
        <v>0.0</v>
      </c>
      <c r="P3204" s="34">
        <v>1830.0</v>
      </c>
      <c r="Q3204" s="35">
        <v>169.0</v>
      </c>
      <c r="R3204" s="32">
        <v>45636.0</v>
      </c>
      <c r="S3204" s="32">
        <v>42912.0</v>
      </c>
      <c r="T3204" s="29"/>
      <c r="U3204" s="33"/>
      <c r="V3204" s="1"/>
    </row>
    <row r="3205" ht="24.0" customHeight="1">
      <c r="A3205" s="1"/>
      <c r="B3205" s="24" t="str">
        <f>HYPERLINK("https://www.compass.com/listing/509-west-122nd-street-unit-5-manhattan-ny-10027/850807543377795041/view?agent_id=610d3f3370540700019b0833","509 West 122nd Street, Unit 5")</f>
        <v>509 West 122nd Street, Unit 5</v>
      </c>
      <c r="C3205" s="25" t="s">
        <v>370</v>
      </c>
      <c r="D3205" s="26" t="s">
        <v>23</v>
      </c>
      <c r="E3205" s="27" t="str">
        <f>HYPERLINK("https://www.compass.com/building/509-w-122nd-st-manhattan-ny-10027/294848102070480805/","509 W 122nd St")</f>
        <v>509 W 122nd St</v>
      </c>
      <c r="F3205" s="25" t="s">
        <v>41</v>
      </c>
      <c r="G3205" s="28">
        <v>599000.0</v>
      </c>
      <c r="H3205" s="29"/>
      <c r="I3205" s="28">
        <v>945.0</v>
      </c>
      <c r="J3205" s="28">
        <v>0.0</v>
      </c>
      <c r="K3205" s="25" t="s">
        <v>25</v>
      </c>
      <c r="L3205" s="26">
        <v>4.0</v>
      </c>
      <c r="M3205" s="26">
        <v>2.0</v>
      </c>
      <c r="N3205" s="26">
        <v>1.0</v>
      </c>
      <c r="O3205" s="26">
        <v>0.0</v>
      </c>
      <c r="P3205" s="30"/>
      <c r="Q3205" s="35">
        <v>174.0</v>
      </c>
      <c r="R3205" s="32">
        <v>44601.0</v>
      </c>
      <c r="S3205" s="32">
        <v>44426.0</v>
      </c>
      <c r="T3205" s="29"/>
      <c r="U3205" s="33"/>
      <c r="V3205" s="1"/>
    </row>
    <row r="3206" ht="24.0" customHeight="1">
      <c r="A3206" s="1"/>
      <c r="B3206" s="24" t="str">
        <f>HYPERLINK("https://www.compass.com/listing/400-east-54th-street-unit-28f-manhattan-ny-10022/50864880302950401/view?agent_id=610d3f3370540700019b0833","400 East 54th Street, Unit 28F")</f>
        <v>400 East 54th Street, Unit 28F</v>
      </c>
      <c r="C3206" s="25" t="s">
        <v>370</v>
      </c>
      <c r="D3206" s="26" t="s">
        <v>23</v>
      </c>
      <c r="E3206" s="27" t="str">
        <f t="shared" ref="E3206:E3207" si="95">HYPERLINK("https://www.compass.com/building/the-revere-condominium-manhattan-ny/281954831604714805/","The Revere Condominium")</f>
        <v>The Revere Condominium</v>
      </c>
      <c r="F3206" s="25" t="s">
        <v>73</v>
      </c>
      <c r="G3206" s="28">
        <v>1850000.0</v>
      </c>
      <c r="H3206" s="28">
        <v>1844.0</v>
      </c>
      <c r="I3206" s="28">
        <v>2020.0</v>
      </c>
      <c r="J3206" s="28">
        <v>15324.0</v>
      </c>
      <c r="K3206" s="25" t="s">
        <v>28</v>
      </c>
      <c r="L3206" s="26">
        <v>4.0</v>
      </c>
      <c r="M3206" s="26">
        <v>2.0</v>
      </c>
      <c r="N3206" s="26">
        <v>0.0</v>
      </c>
      <c r="O3206" s="26">
        <v>0.0</v>
      </c>
      <c r="P3206" s="34">
        <v>1003.0</v>
      </c>
      <c r="Q3206" s="35">
        <v>119.0</v>
      </c>
      <c r="R3206" s="32">
        <v>44581.0</v>
      </c>
      <c r="S3206" s="32">
        <v>42717.0</v>
      </c>
      <c r="T3206" s="29"/>
      <c r="U3206" s="33"/>
      <c r="V3206" s="1"/>
    </row>
    <row r="3207" ht="24.0" customHeight="1">
      <c r="A3207" s="1"/>
      <c r="B3207" s="24" t="str">
        <f>HYPERLINK("https://www.compass.com/listing/400-east-54th-street-unit-25a-manhattan-ny-10022/921805542544713833/view?agent_id=610d3f3370540700019b0833","400 East 54th Street, Unit 25A")</f>
        <v>400 East 54th Street, Unit 25A</v>
      </c>
      <c r="C3207" s="25" t="s">
        <v>370</v>
      </c>
      <c r="D3207" s="26" t="s">
        <v>23</v>
      </c>
      <c r="E3207" s="27" t="str">
        <f t="shared" si="95"/>
        <v>The Revere Condominium</v>
      </c>
      <c r="F3207" s="25" t="s">
        <v>73</v>
      </c>
      <c r="G3207" s="28">
        <v>1850000.0</v>
      </c>
      <c r="H3207" s="28">
        <v>1757.0</v>
      </c>
      <c r="I3207" s="28">
        <v>2049.0</v>
      </c>
      <c r="J3207" s="28">
        <v>15228.0</v>
      </c>
      <c r="K3207" s="25" t="s">
        <v>28</v>
      </c>
      <c r="L3207" s="26">
        <v>4.0</v>
      </c>
      <c r="M3207" s="26">
        <v>2.0</v>
      </c>
      <c r="N3207" s="26">
        <v>0.0</v>
      </c>
      <c r="O3207" s="26">
        <v>0.0</v>
      </c>
      <c r="P3207" s="34">
        <v>1053.0</v>
      </c>
      <c r="Q3207" s="35">
        <v>119.0</v>
      </c>
      <c r="R3207" s="32">
        <v>45636.0</v>
      </c>
      <c r="S3207" s="32">
        <v>42717.0</v>
      </c>
      <c r="T3207" s="29"/>
      <c r="U3207" s="33"/>
      <c r="V3207" s="1"/>
    </row>
    <row r="3208" ht="24.0" customHeight="1">
      <c r="A3208" s="1"/>
      <c r="B3208" s="24" t="str">
        <f>HYPERLINK("https://www.compass.com/listing/302-convent-avenue-unit-65-manhattan-ny-10031/29510401985119153/view?agent_id=610d3f3370540700019b0833","302 Convent Avenue, Unit 65")</f>
        <v>302 Convent Avenue, Unit 65</v>
      </c>
      <c r="C3208" s="25" t="s">
        <v>364</v>
      </c>
      <c r="D3208" s="26" t="s">
        <v>23</v>
      </c>
      <c r="E3208" s="27" t="str">
        <f>HYPERLINK("https://www.compass.com/building/302-convent-ave-manhattan-ny-10031/281996393374145253/","302 Convent Ave")</f>
        <v>302 Convent Ave</v>
      </c>
      <c r="F3208" s="25" t="s">
        <v>71</v>
      </c>
      <c r="G3208" s="28">
        <v>450000.0</v>
      </c>
      <c r="H3208" s="29"/>
      <c r="I3208" s="28">
        <v>848.0</v>
      </c>
      <c r="J3208" s="29"/>
      <c r="K3208" s="25" t="s">
        <v>25</v>
      </c>
      <c r="L3208" s="26">
        <v>4.0</v>
      </c>
      <c r="M3208" s="26">
        <v>2.0</v>
      </c>
      <c r="N3208" s="26">
        <v>1.0</v>
      </c>
      <c r="O3208" s="26">
        <v>0.0</v>
      </c>
      <c r="P3208" s="30"/>
      <c r="Q3208" s="35">
        <v>438.0</v>
      </c>
      <c r="R3208" s="32">
        <v>45636.0</v>
      </c>
      <c r="S3208" s="32">
        <v>43013.0</v>
      </c>
      <c r="T3208" s="29"/>
      <c r="U3208" s="33"/>
      <c r="V3208" s="1"/>
    </row>
    <row r="3209" ht="24.0" customHeight="1">
      <c r="A3209" s="1"/>
      <c r="B3209" s="24" t="str">
        <f>HYPERLINK("https://www.compass.com/listing/357-east-57th-street-unit-20c-manhattan-ny-10022/964452160722144385/view?agent_id=610d3f3370540700019b0833","357 East 57th Street, Unit 20C")</f>
        <v>357 East 57th Street, Unit 20C</v>
      </c>
      <c r="C3209" s="25" t="s">
        <v>365</v>
      </c>
      <c r="D3209" s="26" t="s">
        <v>23</v>
      </c>
      <c r="E3209" s="27" t="str">
        <f>HYPERLINK("https://www.compass.com/building/357-e-57th-st-manhattan-ny-10022/292858059380827925/","357 E 57th St")</f>
        <v>357 E 57th St</v>
      </c>
      <c r="F3209" s="25" t="s">
        <v>73</v>
      </c>
      <c r="G3209" s="28">
        <v>565000.0</v>
      </c>
      <c r="H3209" s="29"/>
      <c r="I3209" s="28">
        <v>2269.0</v>
      </c>
      <c r="J3209" s="28">
        <v>0.0</v>
      </c>
      <c r="K3209" s="25" t="s">
        <v>25</v>
      </c>
      <c r="L3209" s="26">
        <v>4.0</v>
      </c>
      <c r="M3209" s="26">
        <v>2.0</v>
      </c>
      <c r="N3209" s="26">
        <v>1.0</v>
      </c>
      <c r="O3209" s="26">
        <v>0.0</v>
      </c>
      <c r="P3209" s="30"/>
      <c r="Q3209" s="35">
        <v>294.0</v>
      </c>
      <c r="R3209" s="32">
        <v>44938.0</v>
      </c>
      <c r="S3209" s="32">
        <v>44582.0</v>
      </c>
      <c r="T3209" s="29"/>
      <c r="U3209" s="33"/>
      <c r="V3209" s="1"/>
    </row>
    <row r="3210" ht="24.0" customHeight="1">
      <c r="A3210" s="1"/>
      <c r="B3210" s="24" t="str">
        <f>HYPERLINK("https://www.compass.com/listing/2082-frederick-douglass-boulevard-unit-5a-manhattan-ny-10026/1222540777335093577/view?agent_id=610d3f3370540700019b0833","2082 Frederick Douglass Boulevard, Unit 5A")</f>
        <v>2082 Frederick Douglass Boulevard, Unit 5A</v>
      </c>
      <c r="C3210" s="25" t="s">
        <v>370</v>
      </c>
      <c r="D3210" s="26" t="s">
        <v>23</v>
      </c>
      <c r="E3210" s="27" t="str">
        <f>HYPERLINK("https://www.compass.com/building/2082-frederick-douglass-blvd-manhattan-ny-10026/389274438362430309/","2082 Frederick Douglass Blvd")</f>
        <v>2082 Frederick Douglass Blvd</v>
      </c>
      <c r="F3210" s="25" t="s">
        <v>45</v>
      </c>
      <c r="G3210" s="28">
        <v>725000.0</v>
      </c>
      <c r="H3210" s="28">
        <v>1082.0</v>
      </c>
      <c r="I3210" s="28">
        <v>868.0</v>
      </c>
      <c r="J3210" s="29"/>
      <c r="K3210" s="25" t="s">
        <v>28</v>
      </c>
      <c r="L3210" s="26">
        <v>4.0</v>
      </c>
      <c r="M3210" s="26">
        <v>2.0</v>
      </c>
      <c r="N3210" s="26">
        <v>1.0</v>
      </c>
      <c r="O3210" s="26">
        <v>0.0</v>
      </c>
      <c r="P3210" s="26">
        <v>670.0</v>
      </c>
      <c r="Q3210" s="35">
        <v>38.0</v>
      </c>
      <c r="R3210" s="32">
        <v>45067.0</v>
      </c>
      <c r="S3210" s="32">
        <v>45028.0</v>
      </c>
      <c r="T3210" s="29"/>
      <c r="U3210" s="33"/>
      <c r="V3210" s="1"/>
    </row>
    <row r="3211" ht="24.0" customHeight="1">
      <c r="A3211" s="1"/>
      <c r="B3211" s="24" t="str">
        <f>HYPERLINK("https://www.compass.com/listing/330-east-38th-street-unit-39k-manhattan-ny-10016/29382791670087921/view?agent_id=610d3f3370540700019b0833","330 East 38th Street, Unit 39K")</f>
        <v>330 East 38th Street, Unit 39K</v>
      </c>
      <c r="C3211" s="25" t="s">
        <v>370</v>
      </c>
      <c r="D3211" s="26" t="s">
        <v>23</v>
      </c>
      <c r="E3211" s="27" t="str">
        <f>HYPERLINK("https://www.compass.com/building/the-corinthian-manhattan-ny/281939947756249461/","The Corinthian")</f>
        <v>The Corinthian</v>
      </c>
      <c r="F3211" s="25" t="s">
        <v>72</v>
      </c>
      <c r="G3211" s="28">
        <v>1200000.0</v>
      </c>
      <c r="H3211" s="28">
        <v>1039.0</v>
      </c>
      <c r="I3211" s="28">
        <v>1312.0</v>
      </c>
      <c r="J3211" s="28">
        <v>8340.0</v>
      </c>
      <c r="K3211" s="25" t="s">
        <v>28</v>
      </c>
      <c r="L3211" s="26">
        <v>5.0</v>
      </c>
      <c r="M3211" s="26">
        <v>2.0</v>
      </c>
      <c r="N3211" s="26">
        <v>0.0</v>
      </c>
      <c r="O3211" s="26">
        <v>0.0</v>
      </c>
      <c r="P3211" s="34">
        <v>1155.0</v>
      </c>
      <c r="Q3211" s="35">
        <v>0.0</v>
      </c>
      <c r="R3211" s="32">
        <v>44581.0</v>
      </c>
      <c r="S3211" s="32">
        <v>41538.0</v>
      </c>
      <c r="T3211" s="29"/>
      <c r="U3211" s="33"/>
      <c r="V3211" s="1"/>
    </row>
    <row r="3212" ht="24.0" customHeight="1">
      <c r="A3212" s="1"/>
      <c r="B3212" s="24" t="str">
        <f>HYPERLINK("https://www.compass.com/listing/439-east-51st-street-unit-2c-manhattan-ny-10022/29408790214371777/view?agent_id=610d3f3370540700019b0833","439 East 51st Street, Unit 2C")</f>
        <v>439 East 51st Street, Unit 2C</v>
      </c>
      <c r="C3212" s="25" t="s">
        <v>370</v>
      </c>
      <c r="D3212" s="26" t="s">
        <v>23</v>
      </c>
      <c r="E3212" s="27" t="str">
        <f>HYPERLINK("https://www.compass.com/building/beekman-mansion-manhattan-ny/281955230902455973/","Beekman Mansion")</f>
        <v>Beekman Mansion</v>
      </c>
      <c r="F3212" s="25" t="s">
        <v>66</v>
      </c>
      <c r="G3212" s="28">
        <v>829000.0</v>
      </c>
      <c r="H3212" s="29"/>
      <c r="I3212" s="28">
        <v>1377.0</v>
      </c>
      <c r="J3212" s="29"/>
      <c r="K3212" s="25" t="s">
        <v>25</v>
      </c>
      <c r="L3212" s="26">
        <v>4.0</v>
      </c>
      <c r="M3212" s="26">
        <v>2.0</v>
      </c>
      <c r="N3212" s="26">
        <v>0.0</v>
      </c>
      <c r="O3212" s="26">
        <v>0.0</v>
      </c>
      <c r="P3212" s="30"/>
      <c r="Q3212" s="35">
        <v>121.0</v>
      </c>
      <c r="R3212" s="32">
        <v>44581.0</v>
      </c>
      <c r="S3212" s="32">
        <v>41207.0</v>
      </c>
      <c r="T3212" s="29"/>
      <c r="U3212" s="33"/>
      <c r="V3212" s="1"/>
    </row>
    <row r="3213" ht="24.0" customHeight="1">
      <c r="A3213" s="1"/>
      <c r="B3213" s="24" t="str">
        <f>HYPERLINK("https://www.compass.com/listing/415-east-52nd-street-unit-1cb-manhattan-ny-10022/979644987457114737/view?agent_id=610d3f3370540700019b0833","415 East 52nd Street, Unit 1CB")</f>
        <v>415 East 52nd Street, Unit 1CB</v>
      </c>
      <c r="C3213" s="25" t="s">
        <v>365</v>
      </c>
      <c r="D3213" s="26" t="s">
        <v>23</v>
      </c>
      <c r="E3213" s="27" t="str">
        <f>HYPERLINK("https://www.compass.com/building/the-sutton-house-manhattan-ny/281955016388974133/","The Sutton House")</f>
        <v>The Sutton House</v>
      </c>
      <c r="F3213" s="25" t="s">
        <v>66</v>
      </c>
      <c r="G3213" s="28">
        <v>899000.0</v>
      </c>
      <c r="H3213" s="28">
        <v>869.0</v>
      </c>
      <c r="I3213" s="28">
        <v>1516.0</v>
      </c>
      <c r="J3213" s="28">
        <v>0.0</v>
      </c>
      <c r="K3213" s="25" t="s">
        <v>25</v>
      </c>
      <c r="L3213" s="26">
        <v>4.0</v>
      </c>
      <c r="M3213" s="26">
        <v>2.0</v>
      </c>
      <c r="N3213" s="26">
        <v>1.0</v>
      </c>
      <c r="O3213" s="26">
        <v>0.0</v>
      </c>
      <c r="P3213" s="34">
        <v>1035.0</v>
      </c>
      <c r="Q3213" s="35">
        <v>169.0</v>
      </c>
      <c r="R3213" s="32">
        <v>44776.0</v>
      </c>
      <c r="S3213" s="32">
        <v>44606.0</v>
      </c>
      <c r="T3213" s="29"/>
      <c r="U3213" s="33"/>
      <c r="V3213" s="1"/>
    </row>
    <row r="3214" ht="24.0" customHeight="1">
      <c r="A3214" s="1"/>
      <c r="B3214" s="24" t="str">
        <f>HYPERLINK("https://www.compass.com/listing/400-east-56th-street-unit-11h-manhattan-ny-10022/192565800085833985/view?agent_id=610d3f3370540700019b0833","400 East 56th Street, Unit 11H")</f>
        <v>400 East 56th Street, Unit 11H</v>
      </c>
      <c r="C3214" s="25" t="s">
        <v>364</v>
      </c>
      <c r="D3214" s="26" t="s">
        <v>23</v>
      </c>
      <c r="E3214" s="27" t="str">
        <f>HYPERLINK("https://www.compass.com/building/plaza-400-manhattan-ny/281954893722357557/","Plaza 400")</f>
        <v>Plaza 400</v>
      </c>
      <c r="F3214" s="25" t="s">
        <v>73</v>
      </c>
      <c r="G3214" s="28">
        <v>1150000.0</v>
      </c>
      <c r="H3214" s="29"/>
      <c r="I3214" s="28">
        <v>2023.0</v>
      </c>
      <c r="J3214" s="29"/>
      <c r="K3214" s="25" t="s">
        <v>25</v>
      </c>
      <c r="L3214" s="26">
        <v>5.0</v>
      </c>
      <c r="M3214" s="26">
        <v>2.0</v>
      </c>
      <c r="N3214" s="26">
        <v>0.0</v>
      </c>
      <c r="O3214" s="26">
        <v>0.0</v>
      </c>
      <c r="P3214" s="30"/>
      <c r="Q3214" s="35">
        <v>686.0</v>
      </c>
      <c r="R3214" s="32">
        <v>44581.0</v>
      </c>
      <c r="S3214" s="32">
        <v>41242.0</v>
      </c>
      <c r="T3214" s="29"/>
      <c r="U3214" s="33"/>
      <c r="V3214" s="1"/>
    </row>
    <row r="3215" ht="24.0" customHeight="1">
      <c r="A3215" s="1"/>
      <c r="B3215" s="24" t="str">
        <f>HYPERLINK("https://www.compass.com/listing/425-east-50th-street-unit-2-manhattan-ny-10022/29509486947410993/view?agent_id=610d3f3370540700019b0833","425 East 50th Street, Unit 2")</f>
        <v>425 East 50th Street, Unit 2</v>
      </c>
      <c r="C3215" s="25" t="s">
        <v>364</v>
      </c>
      <c r="D3215" s="26" t="s">
        <v>23</v>
      </c>
      <c r="E3215" s="27" t="str">
        <f>HYPERLINK("https://www.compass.com/building/425-e-50th-st-manhattan-ny-10022/281955140389377685/","425 E 50th St")</f>
        <v>425 E 50th St</v>
      </c>
      <c r="F3215" s="25" t="s">
        <v>66</v>
      </c>
      <c r="G3215" s="28">
        <v>1195000.0</v>
      </c>
      <c r="H3215" s="29"/>
      <c r="I3215" s="28">
        <v>1899.0</v>
      </c>
      <c r="J3215" s="29"/>
      <c r="K3215" s="25" t="s">
        <v>25</v>
      </c>
      <c r="L3215" s="26">
        <v>4.0</v>
      </c>
      <c r="M3215" s="26">
        <v>2.0</v>
      </c>
      <c r="N3215" s="26">
        <v>0.0</v>
      </c>
      <c r="O3215" s="26">
        <v>0.0</v>
      </c>
      <c r="P3215" s="30"/>
      <c r="Q3215" s="35">
        <v>82.0</v>
      </c>
      <c r="R3215" s="32">
        <v>45636.0</v>
      </c>
      <c r="S3215" s="32">
        <v>42655.0</v>
      </c>
      <c r="T3215" s="29"/>
      <c r="U3215" s="33"/>
      <c r="V3215" s="1"/>
    </row>
    <row r="3216" ht="24.0" customHeight="1">
      <c r="A3216" s="1"/>
      <c r="B3216" s="24" t="str">
        <f>HYPERLINK("https://www.compass.com/listing/52-carroll-street-unit-551-brooklyn-ny-11231/29462521597438177/view?agent_id=610d3f3370540700019b0833","52 Carroll Street, Unit 551")</f>
        <v>52 Carroll Street, Unit 551</v>
      </c>
      <c r="C3216" s="25" t="s">
        <v>364</v>
      </c>
      <c r="D3216" s="26" t="s">
        <v>23</v>
      </c>
      <c r="E3216" s="27" t="str">
        <f>HYPERLINK("https://www.compass.com/building/52-carroll-st-brooklyn-ny-11231/307453086905590645/","52 Carroll St")</f>
        <v>52 Carroll St</v>
      </c>
      <c r="F3216" s="25" t="s">
        <v>122</v>
      </c>
      <c r="G3216" s="28">
        <v>595000.0</v>
      </c>
      <c r="H3216" s="28">
        <v>744.0</v>
      </c>
      <c r="I3216" s="28">
        <v>721.0</v>
      </c>
      <c r="J3216" s="28">
        <v>2584.0</v>
      </c>
      <c r="K3216" s="25" t="s">
        <v>28</v>
      </c>
      <c r="L3216" s="26">
        <v>4.0</v>
      </c>
      <c r="M3216" s="26">
        <v>2.0</v>
      </c>
      <c r="N3216" s="26">
        <v>1.0</v>
      </c>
      <c r="O3216" s="26">
        <v>0.0</v>
      </c>
      <c r="P3216" s="26">
        <v>800.0</v>
      </c>
      <c r="Q3216" s="35">
        <v>524.0</v>
      </c>
      <c r="R3216" s="32">
        <v>44581.0</v>
      </c>
      <c r="S3216" s="32">
        <v>42578.0</v>
      </c>
      <c r="T3216" s="29"/>
      <c r="U3216" s="33"/>
      <c r="V3216" s="1"/>
    </row>
    <row r="3217" ht="24.0" customHeight="1">
      <c r="A3217" s="1"/>
      <c r="B3217" s="24" t="str">
        <f>HYPERLINK("https://www.compass.com/listing/2-east-55th-street-unit-903-manhattan-ny-10022/70921469516865649/view?agent_id=610d3f3370540700019b0833","2 East 55th Street, Unit 903")</f>
        <v>2 East 55th Street, Unit 903</v>
      </c>
      <c r="C3217" s="25" t="s">
        <v>365</v>
      </c>
      <c r="D3217" s="26" t="s">
        <v>23</v>
      </c>
      <c r="E3217" s="27" t="str">
        <f>HYPERLINK("https://www.compass.com/building/the-st-regis-hotel-manhattan-ny/281952835258615365/","The St. Regis Hotel")</f>
        <v>The St. Regis Hotel</v>
      </c>
      <c r="F3217" s="25" t="s">
        <v>66</v>
      </c>
      <c r="G3217" s="28">
        <v>250000.0</v>
      </c>
      <c r="H3217" s="28">
        <v>181.0</v>
      </c>
      <c r="I3217" s="28">
        <v>2122.0</v>
      </c>
      <c r="J3217" s="28">
        <v>4332.0</v>
      </c>
      <c r="K3217" s="25" t="s">
        <v>28</v>
      </c>
      <c r="L3217" s="26">
        <v>4.0</v>
      </c>
      <c r="M3217" s="26">
        <v>2.0</v>
      </c>
      <c r="N3217" s="30"/>
      <c r="O3217" s="30"/>
      <c r="P3217" s="34">
        <v>1382.0</v>
      </c>
      <c r="Q3217" s="31"/>
      <c r="R3217" s="32">
        <v>44053.0</v>
      </c>
      <c r="S3217" s="33"/>
      <c r="T3217" s="29"/>
      <c r="U3217" s="33"/>
      <c r="V3217" s="1"/>
    </row>
    <row r="3218" ht="24.0" customHeight="1">
      <c r="A3218" s="1"/>
      <c r="B3218" s="24" t="str">
        <f>HYPERLINK("https://www.compass.com/listing/415-east-52nd-street-unit-9aa-manhattan-ny-10022/1190041365118299329/view?agent_id=610d3f3370540700019b0833","415 East 52nd Street, Unit 9AA")</f>
        <v>415 East 52nd Street, Unit 9AA</v>
      </c>
      <c r="C3218" s="25" t="s">
        <v>370</v>
      </c>
      <c r="D3218" s="26" t="s">
        <v>23</v>
      </c>
      <c r="E3218" s="27" t="str">
        <f>HYPERLINK("https://www.compass.com/building/the-sutton-house-manhattan-ny/281955016388974133/","The Sutton House")</f>
        <v>The Sutton House</v>
      </c>
      <c r="F3218" s="25" t="s">
        <v>66</v>
      </c>
      <c r="G3218" s="28">
        <v>750000.0</v>
      </c>
      <c r="H3218" s="28">
        <v>750.0</v>
      </c>
      <c r="I3218" s="28">
        <v>1967.0</v>
      </c>
      <c r="J3218" s="29"/>
      <c r="K3218" s="25" t="s">
        <v>25</v>
      </c>
      <c r="L3218" s="26">
        <v>4.0</v>
      </c>
      <c r="M3218" s="26">
        <v>2.0</v>
      </c>
      <c r="N3218" s="26">
        <v>1.0</v>
      </c>
      <c r="O3218" s="26">
        <v>0.0</v>
      </c>
      <c r="P3218" s="34">
        <v>1000.0</v>
      </c>
      <c r="Q3218" s="35">
        <v>110.0</v>
      </c>
      <c r="R3218" s="32">
        <v>45636.0</v>
      </c>
      <c r="S3218" s="32">
        <v>45062.0</v>
      </c>
      <c r="T3218" s="29"/>
      <c r="U3218" s="33"/>
      <c r="V3218" s="1"/>
    </row>
    <row r="3219" ht="24.0" customHeight="1">
      <c r="A3219" s="1"/>
      <c r="B3219" s="24" t="str">
        <f>HYPERLINK("https://www.compass.com/listing/114-morningside-drive-unit-45-manhattan-ny-10027/967466531081895561/view?agent_id=610d3f3370540700019b0833","114 Morningside Drive, Unit 45")</f>
        <v>114 Morningside Drive, Unit 45</v>
      </c>
      <c r="C3219" s="25" t="s">
        <v>364</v>
      </c>
      <c r="D3219" s="26" t="s">
        <v>23</v>
      </c>
      <c r="E3219" s="27" t="str">
        <f>HYPERLINK("https://www.compass.com/building/114-morningside-dr-manhattan-ny-10027/281977777886950245/","114 Morningside Dr")</f>
        <v>114 Morningside Dr</v>
      </c>
      <c r="F3219" s="25" t="s">
        <v>41</v>
      </c>
      <c r="G3219" s="28">
        <v>670000.0</v>
      </c>
      <c r="H3219" s="28">
        <v>893.0</v>
      </c>
      <c r="I3219" s="28">
        <v>1113.0</v>
      </c>
      <c r="J3219" s="28">
        <v>0.0</v>
      </c>
      <c r="K3219" s="25" t="s">
        <v>25</v>
      </c>
      <c r="L3219" s="26">
        <v>5.0</v>
      </c>
      <c r="M3219" s="26">
        <v>2.0</v>
      </c>
      <c r="N3219" s="26">
        <v>1.0</v>
      </c>
      <c r="O3219" s="26">
        <v>0.0</v>
      </c>
      <c r="P3219" s="26">
        <v>750.0</v>
      </c>
      <c r="Q3219" s="35">
        <v>209.0</v>
      </c>
      <c r="R3219" s="32">
        <v>44810.0</v>
      </c>
      <c r="S3219" s="32">
        <v>44600.0</v>
      </c>
      <c r="T3219" s="29"/>
      <c r="U3219" s="33"/>
      <c r="V3219" s="1"/>
    </row>
    <row r="3220" ht="24.0" customHeight="1">
      <c r="A3220" s="1"/>
      <c r="B3220" s="24" t="str">
        <f>HYPERLINK("https://www.compass.com/listing/211-east-53rd-street-unit-10k-manhattan-ny-10022/803320927022258825/view?agent_id=610d3f3370540700019b0833","211 East 53rd Street, Unit 10K")</f>
        <v>211 East 53rd Street, Unit 10K</v>
      </c>
      <c r="C3220" s="25" t="s">
        <v>364</v>
      </c>
      <c r="D3220" s="26" t="s">
        <v>23</v>
      </c>
      <c r="E3220" s="27" t="str">
        <f>HYPERLINK("https://www.compass.com/building/the-hawthorne-manhattan-ny/281923864303277573/","The Hawthorne")</f>
        <v>The Hawthorne</v>
      </c>
      <c r="F3220" s="25" t="s">
        <v>66</v>
      </c>
      <c r="G3220" s="28">
        <v>1380000.0</v>
      </c>
      <c r="H3220" s="29"/>
      <c r="I3220" s="28">
        <v>2518.0</v>
      </c>
      <c r="J3220" s="29"/>
      <c r="K3220" s="25" t="s">
        <v>49</v>
      </c>
      <c r="L3220" s="26">
        <v>4.0</v>
      </c>
      <c r="M3220" s="26">
        <v>2.0</v>
      </c>
      <c r="N3220" s="26">
        <v>0.0</v>
      </c>
      <c r="O3220" s="26">
        <v>0.0</v>
      </c>
      <c r="P3220" s="30"/>
      <c r="Q3220" s="35">
        <v>49.0</v>
      </c>
      <c r="R3220" s="32">
        <v>45636.0</v>
      </c>
      <c r="S3220" s="32">
        <v>43122.0</v>
      </c>
      <c r="T3220" s="29"/>
      <c r="U3220" s="33"/>
      <c r="V3220" s="1"/>
    </row>
    <row r="3221" ht="24.0" customHeight="1">
      <c r="A3221" s="1"/>
      <c r="B3221" s="24" t="str">
        <f>HYPERLINK("https://www.compass.com/listing/69-tiemann-place-unit-56-manhattan-ny-10027/192565850039971953/view?agent_id=610d3f3370540700019b0833","69 Tiemann Place, Unit 56")</f>
        <v>69 Tiemann Place, Unit 56</v>
      </c>
      <c r="C3221" s="25" t="s">
        <v>364</v>
      </c>
      <c r="D3221" s="26" t="s">
        <v>23</v>
      </c>
      <c r="E3221" s="27" t="str">
        <f>HYPERLINK("https://www.compass.com/building/69-tiemann-pl-manhattan-ny-10027/307452271113447413/","69 Tiemann Pl")</f>
        <v>69 Tiemann Pl</v>
      </c>
      <c r="F3221" s="25" t="s">
        <v>41</v>
      </c>
      <c r="G3221" s="28">
        <v>499000.0</v>
      </c>
      <c r="H3221" s="29"/>
      <c r="I3221" s="28">
        <v>1021.0</v>
      </c>
      <c r="J3221" s="29"/>
      <c r="K3221" s="25" t="s">
        <v>25</v>
      </c>
      <c r="L3221" s="26">
        <v>5.0</v>
      </c>
      <c r="M3221" s="26">
        <v>2.0</v>
      </c>
      <c r="N3221" s="26">
        <v>0.0</v>
      </c>
      <c r="O3221" s="26">
        <v>0.0</v>
      </c>
      <c r="P3221" s="30"/>
      <c r="Q3221" s="35">
        <v>0.0</v>
      </c>
      <c r="R3221" s="32">
        <v>44581.0</v>
      </c>
      <c r="S3221" s="32">
        <v>41335.0</v>
      </c>
      <c r="T3221" s="29"/>
      <c r="U3221" s="33"/>
      <c r="V3221" s="1"/>
    </row>
    <row r="3222" ht="24.0" customHeight="1">
      <c r="A3222" s="1"/>
      <c r="B3222" s="24" t="str">
        <f>HYPERLINK("https://www.compass.com/listing/216-east-52nd-street-unit-12-manhattan-ny-10022/4852319376096892977/view?agent_id=610d3f3370540700019b0833","216 East 52nd Street, Unit 12")</f>
        <v>216 East 52nd Street, Unit 12</v>
      </c>
      <c r="C3222" s="25" t="s">
        <v>364</v>
      </c>
      <c r="D3222" s="26" t="s">
        <v>23</v>
      </c>
      <c r="E3222" s="27" t="str">
        <f>HYPERLINK("https://www.compass.com/building/the-pantheon-manhattan-ny/292856012753413173/","The Pantheon")</f>
        <v>The Pantheon</v>
      </c>
      <c r="F3222" s="25" t="s">
        <v>66</v>
      </c>
      <c r="G3222" s="28">
        <v>2799000.0</v>
      </c>
      <c r="H3222" s="28">
        <v>1800.0</v>
      </c>
      <c r="I3222" s="28">
        <v>2943.0</v>
      </c>
      <c r="J3222" s="28">
        <v>24264.0</v>
      </c>
      <c r="K3222" s="25" t="s">
        <v>28</v>
      </c>
      <c r="L3222" s="26">
        <v>4.0</v>
      </c>
      <c r="M3222" s="26">
        <v>2.0</v>
      </c>
      <c r="N3222" s="26">
        <v>0.0</v>
      </c>
      <c r="O3222" s="26">
        <v>0.0</v>
      </c>
      <c r="P3222" s="34">
        <v>1555.0</v>
      </c>
      <c r="Q3222" s="35">
        <v>88.0</v>
      </c>
      <c r="R3222" s="32">
        <v>45636.0</v>
      </c>
      <c r="S3222" s="32">
        <v>42103.0</v>
      </c>
      <c r="T3222" s="29"/>
      <c r="U3222" s="33"/>
      <c r="V3222" s="1"/>
    </row>
    <row r="3223" ht="24.0" customHeight="1">
      <c r="A3223" s="1"/>
      <c r="B3223" s="24" t="str">
        <f>HYPERLINK("https://www.compass.com/listing/300-east-55th-street-unit-6d-manhattan-ny-10022/29408059851921473/view?agent_id=610d3f3370540700019b0833","300 East 55th Street, Unit 6D")</f>
        <v>300 East 55th Street, Unit 6D</v>
      </c>
      <c r="C3223" s="25" t="s">
        <v>364</v>
      </c>
      <c r="D3223" s="26" t="s">
        <v>23</v>
      </c>
      <c r="E3223" s="27" t="str">
        <f>HYPERLINK("https://www.compass.com/building/milan-condominium-manhattan-ny/281953557450656453/","Milan Condominium")</f>
        <v>Milan Condominium</v>
      </c>
      <c r="F3223" s="25" t="s">
        <v>73</v>
      </c>
      <c r="G3223" s="28">
        <v>1999999.0</v>
      </c>
      <c r="H3223" s="29"/>
      <c r="I3223" s="28">
        <v>2238.0</v>
      </c>
      <c r="J3223" s="28">
        <v>11004.0</v>
      </c>
      <c r="K3223" s="25" t="s">
        <v>28</v>
      </c>
      <c r="L3223" s="26">
        <v>4.0</v>
      </c>
      <c r="M3223" s="26">
        <v>2.0</v>
      </c>
      <c r="N3223" s="26">
        <v>0.0</v>
      </c>
      <c r="O3223" s="26">
        <v>0.0</v>
      </c>
      <c r="P3223" s="30"/>
      <c r="Q3223" s="35">
        <v>42.0</v>
      </c>
      <c r="R3223" s="32">
        <v>44581.0</v>
      </c>
      <c r="S3223" s="32">
        <v>41493.0</v>
      </c>
      <c r="T3223" s="29"/>
      <c r="U3223" s="33"/>
      <c r="V3223" s="1"/>
    </row>
    <row r="3224" ht="24.0" customHeight="1">
      <c r="A3224" s="1"/>
      <c r="B3224" s="24" t="str">
        <f>HYPERLINK("https://www.compass.com/listing/259-21st-street-unit-2j-brooklyn-ny-11215/4852266765876473969/view?agent_id=610d3f3370540700019b0833","259 21st Street, Unit 2J")</f>
        <v>259 21st Street, Unit 2J</v>
      </c>
      <c r="C3224" s="25" t="s">
        <v>364</v>
      </c>
      <c r="D3224" s="26" t="s">
        <v>23</v>
      </c>
      <c r="E3224" s="27" t="str">
        <f>HYPERLINK("https://www.compass.com/building/259-21st-st-brooklyn-ny-11215/282510958851612917/","259 21st St")</f>
        <v>259 21st St</v>
      </c>
      <c r="F3224" s="25" t="s">
        <v>155</v>
      </c>
      <c r="G3224" s="28">
        <v>995000.0</v>
      </c>
      <c r="H3224" s="28">
        <v>796.0</v>
      </c>
      <c r="I3224" s="28">
        <v>605.0</v>
      </c>
      <c r="J3224" s="28">
        <v>12.0</v>
      </c>
      <c r="K3224" s="25" t="s">
        <v>28</v>
      </c>
      <c r="L3224" s="26">
        <v>4.0</v>
      </c>
      <c r="M3224" s="26">
        <v>2.0</v>
      </c>
      <c r="N3224" s="26">
        <v>0.0</v>
      </c>
      <c r="O3224" s="26">
        <v>0.0</v>
      </c>
      <c r="P3224" s="34">
        <v>1250.0</v>
      </c>
      <c r="Q3224" s="35">
        <v>27.0</v>
      </c>
      <c r="R3224" s="32">
        <v>45636.0</v>
      </c>
      <c r="S3224" s="32">
        <v>42151.0</v>
      </c>
      <c r="T3224" s="29"/>
      <c r="U3224" s="33"/>
      <c r="V3224" s="1"/>
    </row>
    <row r="3225" ht="24.0" customHeight="1">
      <c r="A3225" s="1"/>
      <c r="B3225" s="24" t="str">
        <f>HYPERLINK("https://www.compass.com/listing/301-west-53rd-street-unit-14c-manhattan-ny-10019/1708020713782053065/view?agent_id=610d3f3370540700019b0833","301 West 53rd Street, Unit 14C")</f>
        <v>301 West 53rd Street, Unit 14C</v>
      </c>
      <c r="C3225" s="25" t="s">
        <v>365</v>
      </c>
      <c r="D3225" s="26" t="s">
        <v>23</v>
      </c>
      <c r="E3225" s="27" t="str">
        <f>HYPERLINK("https://www.compass.com/building/fifty-third-and-eighth-manhattan-ny/281944545158031557/","Fifty Third and Eighth")</f>
        <v>Fifty Third and Eighth</v>
      </c>
      <c r="F3225" s="25" t="s">
        <v>47</v>
      </c>
      <c r="G3225" s="28">
        <v>1395000.0</v>
      </c>
      <c r="H3225" s="28">
        <v>1620.0</v>
      </c>
      <c r="I3225" s="28">
        <v>2386.0</v>
      </c>
      <c r="J3225" s="28">
        <v>11976.0</v>
      </c>
      <c r="K3225" s="25" t="s">
        <v>28</v>
      </c>
      <c r="L3225" s="26">
        <v>3.0</v>
      </c>
      <c r="M3225" s="26">
        <v>2.0</v>
      </c>
      <c r="N3225" s="26">
        <v>1.0</v>
      </c>
      <c r="O3225" s="26">
        <v>0.0</v>
      </c>
      <c r="P3225" s="26">
        <v>861.0</v>
      </c>
      <c r="Q3225" s="35">
        <v>211.0</v>
      </c>
      <c r="R3225" s="32">
        <v>45826.0</v>
      </c>
      <c r="S3225" s="32">
        <v>45608.0</v>
      </c>
      <c r="T3225" s="29"/>
      <c r="U3225" s="33"/>
      <c r="V3225" s="1"/>
    </row>
    <row r="3226" ht="24.0" customHeight="1">
      <c r="A3226" s="1"/>
      <c r="B3226" s="24" t="str">
        <f>HYPERLINK("https://www.compass.com/listing/501-west-122nd-street-unit-d2-manhattan-ny-10027/1618241863707874921/view?agent_id=610d3f3370540700019b0833","501 West 122nd Street, Unit D2")</f>
        <v>501 West 122nd Street, Unit D2</v>
      </c>
      <c r="C3226" s="25" t="s">
        <v>365</v>
      </c>
      <c r="D3226" s="26" t="s">
        <v>23</v>
      </c>
      <c r="E3226" s="27" t="str">
        <f>HYPERLINK("https://www.compass.com/building/501-w-122nd-st-manhattan-ny-10027/292885361540042613/","501 W 122nd St")</f>
        <v>501 W 122nd St</v>
      </c>
      <c r="F3226" s="25" t="s">
        <v>41</v>
      </c>
      <c r="G3226" s="28">
        <v>645000.0</v>
      </c>
      <c r="H3226" s="29"/>
      <c r="I3226" s="28">
        <v>880.0</v>
      </c>
      <c r="J3226" s="28">
        <v>0.0</v>
      </c>
      <c r="K3226" s="25" t="s">
        <v>25</v>
      </c>
      <c r="L3226" s="26">
        <v>4.0</v>
      </c>
      <c r="M3226" s="26">
        <v>2.0</v>
      </c>
      <c r="N3226" s="26">
        <v>1.0</v>
      </c>
      <c r="O3226" s="30"/>
      <c r="P3226" s="30"/>
      <c r="Q3226" s="35">
        <v>144.0</v>
      </c>
      <c r="R3226" s="32">
        <v>45629.0</v>
      </c>
      <c r="S3226" s="32">
        <v>45484.0</v>
      </c>
      <c r="T3226" s="29"/>
      <c r="U3226" s="33"/>
      <c r="V3226" s="1"/>
    </row>
    <row r="3227" ht="24.0" customHeight="1">
      <c r="A3227" s="1"/>
      <c r="B3227" s="24" t="str">
        <f>HYPERLINK("https://www.compass.com/listing/100-west-58th-street-unit-3f-manhattan-ny-10019/29383954154976225/view?agent_id=610d3f3370540700019b0833","100 West 58th Street, Unit 3F")</f>
        <v>100 West 58th Street, Unit 3F</v>
      </c>
      <c r="C3227" s="25" t="s">
        <v>370</v>
      </c>
      <c r="D3227" s="26" t="s">
        <v>23</v>
      </c>
      <c r="E3227" s="27" t="str">
        <f>HYPERLINK("https://www.compass.com/building/windsor-park-manhattan-ny/281943594519029509/","Windsor Park")</f>
        <v>Windsor Park</v>
      </c>
      <c r="F3227" s="25" t="s">
        <v>195</v>
      </c>
      <c r="G3227" s="28">
        <v>1550000.0</v>
      </c>
      <c r="H3227" s="28">
        <v>1318.0</v>
      </c>
      <c r="I3227" s="28">
        <v>2086.0</v>
      </c>
      <c r="J3227" s="28">
        <v>11268.0</v>
      </c>
      <c r="K3227" s="25" t="s">
        <v>28</v>
      </c>
      <c r="L3227" s="26">
        <v>4.0</v>
      </c>
      <c r="M3227" s="26">
        <v>2.0</v>
      </c>
      <c r="N3227" s="26">
        <v>0.0</v>
      </c>
      <c r="O3227" s="26">
        <v>0.0</v>
      </c>
      <c r="P3227" s="34">
        <v>1176.0</v>
      </c>
      <c r="Q3227" s="35">
        <v>0.0</v>
      </c>
      <c r="R3227" s="32">
        <v>44581.0</v>
      </c>
      <c r="S3227" s="32">
        <v>41538.0</v>
      </c>
      <c r="T3227" s="29"/>
      <c r="U3227" s="33"/>
      <c r="V3227" s="1"/>
    </row>
    <row r="3228" ht="24.0" customHeight="1">
      <c r="A3228" s="1"/>
      <c r="B3228" s="24" t="str">
        <f>HYPERLINK("https://www.compass.com/listing/430-east-57th-street-unit-11b-manhattan-ny-10022/919051683518367513/view?agent_id=610d3f3370540700019b0833","430 East 57th Street, Unit 11B")</f>
        <v>430 East 57th Street, Unit 11B</v>
      </c>
      <c r="C3228" s="25" t="s">
        <v>364</v>
      </c>
      <c r="D3228" s="26" t="s">
        <v>23</v>
      </c>
      <c r="E3228" s="27" t="str">
        <f>HYPERLINK("https://www.compass.com/building/430-e-57th-st-manhattan-ny-10022/281955192751067237/","430 E 57th St")</f>
        <v>430 E 57th St</v>
      </c>
      <c r="F3228" s="25" t="s">
        <v>73</v>
      </c>
      <c r="G3228" s="28">
        <v>1240000.0</v>
      </c>
      <c r="H3228" s="29"/>
      <c r="I3228" s="28">
        <v>2923.0</v>
      </c>
      <c r="J3228" s="29"/>
      <c r="K3228" s="25" t="s">
        <v>25</v>
      </c>
      <c r="L3228" s="26">
        <v>4.0</v>
      </c>
      <c r="M3228" s="26">
        <v>2.0</v>
      </c>
      <c r="N3228" s="26">
        <v>0.0</v>
      </c>
      <c r="O3228" s="26">
        <v>0.0</v>
      </c>
      <c r="P3228" s="30"/>
      <c r="Q3228" s="35">
        <v>261.0</v>
      </c>
      <c r="R3228" s="32">
        <v>45636.0</v>
      </c>
      <c r="S3228" s="32">
        <v>41695.0</v>
      </c>
      <c r="T3228" s="29"/>
      <c r="U3228" s="33"/>
      <c r="V3228" s="1"/>
    </row>
    <row r="3229" ht="24.0" customHeight="1">
      <c r="A3229" s="1"/>
      <c r="B3229" s="24" t="str">
        <f>HYPERLINK("https://www.compass.com/listing/319-18th-street-unit-3c-brooklyn-ny-11215/588370073268522721/view?agent_id=610d3f3370540700019b0833","319 18th Street, Unit 3C")</f>
        <v>319 18th Street, Unit 3C</v>
      </c>
      <c r="C3229" s="25" t="s">
        <v>365</v>
      </c>
      <c r="D3229" s="26" t="s">
        <v>23</v>
      </c>
      <c r="E3229" s="27" t="str">
        <f>HYPERLINK("https://www.compass.com/building/319-18th-st-brooklyn-ny-11215/282507607653043973/","319 18th St")</f>
        <v>319 18th St</v>
      </c>
      <c r="F3229" s="25" t="s">
        <v>155</v>
      </c>
      <c r="G3229" s="28">
        <v>880000.0</v>
      </c>
      <c r="H3229" s="28">
        <v>1060.0</v>
      </c>
      <c r="I3229" s="28">
        <v>213.0</v>
      </c>
      <c r="J3229" s="28">
        <v>72.0</v>
      </c>
      <c r="K3229" s="25" t="s">
        <v>28</v>
      </c>
      <c r="L3229" s="26">
        <v>4.0</v>
      </c>
      <c r="M3229" s="26">
        <v>2.0</v>
      </c>
      <c r="N3229" s="30"/>
      <c r="O3229" s="30"/>
      <c r="P3229" s="26">
        <v>830.0</v>
      </c>
      <c r="Q3229" s="35">
        <v>14.0</v>
      </c>
      <c r="R3229" s="32">
        <v>44078.0</v>
      </c>
      <c r="S3229" s="32">
        <v>44063.0</v>
      </c>
      <c r="T3229" s="29"/>
      <c r="U3229" s="33"/>
      <c r="V3229" s="1"/>
    </row>
    <row r="3230" ht="24.0" customHeight="1">
      <c r="A3230" s="1"/>
      <c r="B3230" s="24" t="str">
        <f>HYPERLINK("https://www.compass.com/listing/410-east-57th-street-unit-7c-manhattan-ny-10022/4852276356513277425/view?agent_id=610d3f3370540700019b0833","410 East 57th Street, Unit 7C")</f>
        <v>410 East 57th Street, Unit 7C</v>
      </c>
      <c r="C3230" s="25" t="s">
        <v>364</v>
      </c>
      <c r="D3230" s="26" t="s">
        <v>23</v>
      </c>
      <c r="E3230" s="27" t="str">
        <f>HYPERLINK("https://www.compass.com/building/410-e-57th-st-manhattan-ny-10022/281954963431691749/","410 E 57th St")</f>
        <v>410 E 57th St</v>
      </c>
      <c r="F3230" s="25" t="s">
        <v>73</v>
      </c>
      <c r="G3230" s="28">
        <v>1395000.0</v>
      </c>
      <c r="H3230" s="28">
        <v>821.0</v>
      </c>
      <c r="I3230" s="28">
        <v>3495.0</v>
      </c>
      <c r="J3230" s="29"/>
      <c r="K3230" s="25" t="s">
        <v>25</v>
      </c>
      <c r="L3230" s="26">
        <v>6.0</v>
      </c>
      <c r="M3230" s="26">
        <v>2.0</v>
      </c>
      <c r="N3230" s="26">
        <v>0.0</v>
      </c>
      <c r="O3230" s="26">
        <v>0.0</v>
      </c>
      <c r="P3230" s="34">
        <v>1700.0</v>
      </c>
      <c r="Q3230" s="35">
        <v>749.0</v>
      </c>
      <c r="R3230" s="32">
        <v>45636.0</v>
      </c>
      <c r="S3230" s="32">
        <v>41178.0</v>
      </c>
      <c r="T3230" s="29"/>
      <c r="U3230" s="33"/>
      <c r="V3230" s="1"/>
    </row>
    <row r="3231" ht="24.0" customHeight="1">
      <c r="A3231" s="1"/>
      <c r="B3231" s="24" t="str">
        <f>HYPERLINK("https://www.compass.com/listing/1-hanson-place-unit-16j-brooklyn-ny-11243/29482301943520337/view?agent_id=610d3f3370540700019b0833","1 Hanson Place, Unit 16J")</f>
        <v>1 Hanson Place, Unit 16J</v>
      </c>
      <c r="C3231" s="25" t="s">
        <v>370</v>
      </c>
      <c r="D3231" s="26" t="s">
        <v>23</v>
      </c>
      <c r="E3231" s="27" t="str">
        <f>HYPERLINK("https://www.compass.com/building/one-hanson-place-condominium-brooklyn-ny/307446033092810661/","One Hanson Place Condominium ")</f>
        <v>One Hanson Place Condominium </v>
      </c>
      <c r="F3231" s="25" t="s">
        <v>59</v>
      </c>
      <c r="G3231" s="28">
        <v>1000000.0</v>
      </c>
      <c r="H3231" s="28">
        <v>769.0</v>
      </c>
      <c r="I3231" s="28">
        <v>1302.0</v>
      </c>
      <c r="J3231" s="28">
        <v>1356.0</v>
      </c>
      <c r="K3231" s="25" t="s">
        <v>28</v>
      </c>
      <c r="L3231" s="26">
        <v>5.0</v>
      </c>
      <c r="M3231" s="26">
        <v>2.0</v>
      </c>
      <c r="N3231" s="26">
        <v>0.0</v>
      </c>
      <c r="O3231" s="26">
        <v>0.0</v>
      </c>
      <c r="P3231" s="34">
        <v>1300.0</v>
      </c>
      <c r="Q3231" s="35">
        <v>0.0</v>
      </c>
      <c r="R3231" s="32">
        <v>44581.0</v>
      </c>
      <c r="S3231" s="32">
        <v>41512.0</v>
      </c>
      <c r="T3231" s="29"/>
      <c r="U3231" s="33"/>
      <c r="V3231" s="1"/>
    </row>
    <row r="3232" ht="24.0" customHeight="1">
      <c r="A3232" s="1"/>
      <c r="B3232" s="24" t="str">
        <f>HYPERLINK("https://www.compass.com/listing/248-17th-street-unit-4-brooklyn-ny-11215/918958754677895345/view?agent_id=610d3f3370540700019b0833","248 17th Street, Unit 4")</f>
        <v>248 17th Street, Unit 4</v>
      </c>
      <c r="C3232" s="25" t="s">
        <v>364</v>
      </c>
      <c r="D3232" s="26" t="s">
        <v>23</v>
      </c>
      <c r="E3232" s="27" t="str">
        <f>HYPERLINK("https://www.compass.com/building/248-17th-st-brooklyn-ny-11215/282506225596319477/","248 17th St")</f>
        <v>248 17th St</v>
      </c>
      <c r="F3232" s="25" t="s">
        <v>155</v>
      </c>
      <c r="G3232" s="28">
        <v>950000.0</v>
      </c>
      <c r="H3232" s="28">
        <v>885.0</v>
      </c>
      <c r="I3232" s="28">
        <v>936.0</v>
      </c>
      <c r="J3232" s="28">
        <v>2664.0</v>
      </c>
      <c r="K3232" s="25" t="s">
        <v>28</v>
      </c>
      <c r="L3232" s="26">
        <v>3.0</v>
      </c>
      <c r="M3232" s="26">
        <v>2.0</v>
      </c>
      <c r="N3232" s="26">
        <v>0.0</v>
      </c>
      <c r="O3232" s="26">
        <v>0.0</v>
      </c>
      <c r="P3232" s="34">
        <v>1074.0</v>
      </c>
      <c r="Q3232" s="35">
        <v>76.0</v>
      </c>
      <c r="R3232" s="32">
        <v>45636.0</v>
      </c>
      <c r="S3232" s="32">
        <v>42469.0</v>
      </c>
      <c r="T3232" s="29"/>
      <c r="U3232" s="33"/>
      <c r="V3232" s="1"/>
    </row>
    <row r="3233" ht="24.0" customHeight="1">
      <c r="A3233" s="1"/>
      <c r="B3233" s="24" t="str">
        <f>HYPERLINK("https://www.compass.com/listing/150-hawthorne-street-unit-4c-brooklyn-ny-11225/4848541729785127073/view?agent_id=610d3f3370540700019b0833","150 Hawthorne Street, Unit 4C")</f>
        <v>150 Hawthorne Street, Unit 4C</v>
      </c>
      <c r="C3233" s="25" t="s">
        <v>364</v>
      </c>
      <c r="D3233" s="26" t="s">
        <v>23</v>
      </c>
      <c r="E3233" s="27" t="str">
        <f>HYPERLINK("https://www.compass.com/building/arden-house-brooklyn-ny/293416651326597925/","Arden House")</f>
        <v>Arden House</v>
      </c>
      <c r="F3233" s="25" t="s">
        <v>108</v>
      </c>
      <c r="G3233" s="28">
        <v>349000.0</v>
      </c>
      <c r="H3233" s="28">
        <v>317.0</v>
      </c>
      <c r="I3233" s="28">
        <v>796.0</v>
      </c>
      <c r="J3233" s="29"/>
      <c r="K3233" s="25" t="s">
        <v>25</v>
      </c>
      <c r="L3233" s="26">
        <v>4.0</v>
      </c>
      <c r="M3233" s="26">
        <v>2.0</v>
      </c>
      <c r="N3233" s="26">
        <v>0.0</v>
      </c>
      <c r="O3233" s="26">
        <v>0.0</v>
      </c>
      <c r="P3233" s="34">
        <v>1100.0</v>
      </c>
      <c r="Q3233" s="35">
        <v>211.0</v>
      </c>
      <c r="R3233" s="32">
        <v>44581.0</v>
      </c>
      <c r="S3233" s="32">
        <v>41185.0</v>
      </c>
      <c r="T3233" s="29"/>
      <c r="U3233" s="33"/>
      <c r="V3233" s="1"/>
    </row>
    <row r="3234" ht="24.0" customHeight="1">
      <c r="A3234" s="1"/>
      <c r="B3234" s="24" t="str">
        <f>HYPERLINK("https://www.compass.com/listing/325-east-57th-street-unit-9bstu4-manhattan-ny-10022/29608500413902289/view?agent_id=610d3f3370540700019b0833","325 East 57th Street, Unit 9BSTU4")</f>
        <v>325 East 57th Street, Unit 9BSTU4</v>
      </c>
      <c r="C3234" s="25" t="s">
        <v>370</v>
      </c>
      <c r="D3234" s="26" t="s">
        <v>23</v>
      </c>
      <c r="E3234" s="27" t="str">
        <f>HYPERLINK("https://www.compass.com/building/325-e-57th-st-manhattan-ny-10022/292857047773423445/","325 E 57th St")</f>
        <v>325 E 57th St</v>
      </c>
      <c r="F3234" s="25" t="s">
        <v>73</v>
      </c>
      <c r="G3234" s="28">
        <v>1200000.0</v>
      </c>
      <c r="H3234" s="29"/>
      <c r="I3234" s="28">
        <v>2740.0</v>
      </c>
      <c r="J3234" s="29"/>
      <c r="K3234" s="25" t="s">
        <v>25</v>
      </c>
      <c r="L3234" s="26">
        <v>6.0</v>
      </c>
      <c r="M3234" s="26">
        <v>2.0</v>
      </c>
      <c r="N3234" s="26">
        <v>1.0</v>
      </c>
      <c r="O3234" s="26">
        <v>0.0</v>
      </c>
      <c r="P3234" s="30"/>
      <c r="Q3234" s="35">
        <v>181.0</v>
      </c>
      <c r="R3234" s="32">
        <v>45636.0</v>
      </c>
      <c r="S3234" s="32">
        <v>43291.0</v>
      </c>
      <c r="T3234" s="29"/>
      <c r="U3234" s="33"/>
      <c r="V3234" s="1"/>
    </row>
    <row r="3235" ht="24.0" customHeight="1">
      <c r="A3235" s="1"/>
      <c r="B3235" s="24" t="str">
        <f>HYPERLINK("https://www.compass.com/listing/70-la-salle-street-unit-9c-manhattan-ny-10027/997874322510569737/view?agent_id=610d3f3370540700019b0833","70 La Salle Street, Unit 9C")</f>
        <v>70 La Salle Street, Unit 9C</v>
      </c>
      <c r="C3235" s="25" t="s">
        <v>364</v>
      </c>
      <c r="D3235" s="26" t="s">
        <v>23</v>
      </c>
      <c r="E3235" s="27" t="str">
        <f>HYPERLINK("https://www.compass.com/building/morningside-gardens-manhattan-ny/282060710542869237/","Morningside Gardens")</f>
        <v>Morningside Gardens</v>
      </c>
      <c r="F3235" s="25" t="s">
        <v>41</v>
      </c>
      <c r="G3235" s="28">
        <v>650000.0</v>
      </c>
      <c r="H3235" s="29"/>
      <c r="I3235" s="28">
        <v>1369.0</v>
      </c>
      <c r="J3235" s="28">
        <v>0.0</v>
      </c>
      <c r="K3235" s="25" t="s">
        <v>25</v>
      </c>
      <c r="L3235" s="26">
        <v>4.0</v>
      </c>
      <c r="M3235" s="26">
        <v>2.0</v>
      </c>
      <c r="N3235" s="26">
        <v>1.0</v>
      </c>
      <c r="O3235" s="26">
        <v>0.0</v>
      </c>
      <c r="P3235" s="30"/>
      <c r="Q3235" s="35">
        <v>103.0</v>
      </c>
      <c r="R3235" s="32">
        <v>44733.0</v>
      </c>
      <c r="S3235" s="32">
        <v>44630.0</v>
      </c>
      <c r="T3235" s="29"/>
      <c r="U3235" s="33"/>
      <c r="V3235" s="1"/>
    </row>
    <row r="3236" ht="24.0" customHeight="1">
      <c r="A3236" s="1"/>
      <c r="B3236" s="24" t="str">
        <f>HYPERLINK("https://www.compass.com/listing/433-east-51st-street-unit-4e-manhattan-ny-10022/1521227684570063345/view?agent_id=610d3f3370540700019b0833","433 East 51st Street, Unit 4E")</f>
        <v>433 East 51st Street, Unit 4E</v>
      </c>
      <c r="C3236" s="25" t="s">
        <v>365</v>
      </c>
      <c r="D3236" s="26" t="s">
        <v>23</v>
      </c>
      <c r="E3236" s="27" t="str">
        <f>HYPERLINK("https://www.compass.com/building/southgate-manhattan-ny/281955206248339157/","Southgate")</f>
        <v>Southgate</v>
      </c>
      <c r="F3236" s="25" t="s">
        <v>66</v>
      </c>
      <c r="G3236" s="28">
        <v>750000.0</v>
      </c>
      <c r="H3236" s="29"/>
      <c r="I3236" s="28">
        <v>2350.0</v>
      </c>
      <c r="J3236" s="28">
        <v>0.0</v>
      </c>
      <c r="K3236" s="25" t="s">
        <v>25</v>
      </c>
      <c r="L3236" s="26">
        <v>4.0</v>
      </c>
      <c r="M3236" s="26">
        <v>2.0</v>
      </c>
      <c r="N3236" s="26">
        <v>1.0</v>
      </c>
      <c r="O3236" s="30"/>
      <c r="P3236" s="30"/>
      <c r="Q3236" s="35">
        <v>272.0</v>
      </c>
      <c r="R3236" s="32">
        <v>45645.0</v>
      </c>
      <c r="S3236" s="32">
        <v>45364.0</v>
      </c>
      <c r="T3236" s="29"/>
      <c r="U3236" s="33"/>
      <c r="V3236" s="1"/>
    </row>
    <row r="3237" ht="24.0" customHeight="1">
      <c r="A3237" s="1"/>
      <c r="B3237" s="24" t="str">
        <f>HYPERLINK("https://www.compass.com/listing/450-west-147th-street-unit-2-manhattan-ny-10031/586787890666229265/view?agent_id=610d3f3370540700019b0833","450 West 147th Street, Unit 2")</f>
        <v>450 West 147th Street, Unit 2</v>
      </c>
      <c r="C3237" s="25" t="s">
        <v>365</v>
      </c>
      <c r="D3237" s="26" t="s">
        <v>23</v>
      </c>
      <c r="E3237" s="27" t="str">
        <f>HYPERLINK("https://www.compass.com/building/450-w-147th-st-manhattan-ny-10031/281997499059788405/","450 W 147th St")</f>
        <v>450 W 147th St</v>
      </c>
      <c r="F3237" s="25" t="s">
        <v>71</v>
      </c>
      <c r="G3237" s="28">
        <v>519000.0</v>
      </c>
      <c r="H3237" s="29"/>
      <c r="I3237" s="28">
        <v>939.0</v>
      </c>
      <c r="J3237" s="28">
        <v>0.0</v>
      </c>
      <c r="K3237" s="25" t="s">
        <v>25</v>
      </c>
      <c r="L3237" s="26">
        <v>5.0</v>
      </c>
      <c r="M3237" s="26">
        <v>2.0</v>
      </c>
      <c r="N3237" s="26">
        <v>1.0</v>
      </c>
      <c r="O3237" s="26">
        <v>0.0</v>
      </c>
      <c r="P3237" s="30"/>
      <c r="Q3237" s="35">
        <v>192.0</v>
      </c>
      <c r="R3237" s="32">
        <v>44267.0</v>
      </c>
      <c r="S3237" s="32">
        <v>44061.0</v>
      </c>
      <c r="T3237" s="29"/>
      <c r="U3237" s="33"/>
      <c r="V3237" s="1"/>
    </row>
    <row r="3238" ht="24.0" customHeight="1">
      <c r="A3238" s="1"/>
      <c r="B3238" s="24" t="str">
        <f>HYPERLINK("https://www.compass.com/listing/425-west-50th-street-unit-16a-manhattan-ny-10019/803315939290133881/view?agent_id=610d3f3370540700019b0833","425 West 50th Street, Unit 16A")</f>
        <v>425 West 50th Street, Unit 16A</v>
      </c>
      <c r="C3238" s="25" t="s">
        <v>370</v>
      </c>
      <c r="D3238" s="26" t="s">
        <v>23</v>
      </c>
      <c r="E3238" s="27" t="str">
        <f>HYPERLINK("https://www.compass.com/building/stella-tower-manhattan-ny/281945855710262181/","Stella Tower")</f>
        <v>Stella Tower</v>
      </c>
      <c r="F3238" s="25" t="s">
        <v>47</v>
      </c>
      <c r="G3238" s="28">
        <v>9200000.0</v>
      </c>
      <c r="H3238" s="28">
        <v>4040.0</v>
      </c>
      <c r="I3238" s="28">
        <v>4503.0</v>
      </c>
      <c r="J3238" s="28">
        <v>20520.0</v>
      </c>
      <c r="K3238" s="25" t="s">
        <v>28</v>
      </c>
      <c r="L3238" s="26">
        <v>4.0</v>
      </c>
      <c r="M3238" s="26">
        <v>2.0</v>
      </c>
      <c r="N3238" s="26">
        <v>0.0</v>
      </c>
      <c r="O3238" s="26">
        <v>0.0</v>
      </c>
      <c r="P3238" s="34">
        <v>2277.0</v>
      </c>
      <c r="Q3238" s="35">
        <v>232.0</v>
      </c>
      <c r="R3238" s="32">
        <v>45636.0</v>
      </c>
      <c r="S3238" s="32">
        <v>42091.0</v>
      </c>
      <c r="T3238" s="29"/>
      <c r="U3238" s="33"/>
      <c r="V3238" s="1"/>
    </row>
    <row r="3239" ht="24.0" customHeight="1">
      <c r="A3239" s="1"/>
      <c r="B3239" s="24" t="str">
        <f>HYPERLINK("https://www.compass.com/listing/350-west-50th-street-unit-5c-manhattan-ny-10019/919984940653480065/view?agent_id=610d3f3370540700019b0833","350 West 50th Street, Unit 5C")</f>
        <v>350 West 50th Street, Unit 5C</v>
      </c>
      <c r="C3239" s="25" t="s">
        <v>364</v>
      </c>
      <c r="D3239" s="26" t="s">
        <v>23</v>
      </c>
      <c r="E3239" s="27" t="str">
        <f>HYPERLINK("https://www.compass.com/building/two-worldwide-plaza-manhattan-ny/281945239046908053/","Two WorldWide Plaza")</f>
        <v>Two WorldWide Plaza</v>
      </c>
      <c r="F3239" s="25" t="s">
        <v>47</v>
      </c>
      <c r="G3239" s="28">
        <v>1950000.0</v>
      </c>
      <c r="H3239" s="29"/>
      <c r="I3239" s="28">
        <v>3725.0</v>
      </c>
      <c r="J3239" s="28">
        <v>22728.0</v>
      </c>
      <c r="K3239" s="25" t="s">
        <v>28</v>
      </c>
      <c r="L3239" s="26">
        <v>5.0</v>
      </c>
      <c r="M3239" s="26">
        <v>2.0</v>
      </c>
      <c r="N3239" s="26">
        <v>0.0</v>
      </c>
      <c r="O3239" s="26">
        <v>0.0</v>
      </c>
      <c r="P3239" s="30"/>
      <c r="Q3239" s="35">
        <v>29.0</v>
      </c>
      <c r="R3239" s="32">
        <v>44581.0</v>
      </c>
      <c r="S3239" s="32">
        <v>41366.0</v>
      </c>
      <c r="T3239" s="29"/>
      <c r="U3239" s="33"/>
      <c r="V3239" s="1"/>
    </row>
    <row r="3240" ht="24.0" customHeight="1">
      <c r="A3240" s="1"/>
      <c r="B3240" s="24" t="str">
        <f>HYPERLINK("https://www.compass.com/listing/400-east-54th-street-unit-3b-manhattan-ny-10022/4852268776709699073/view?agent_id=610d3f3370540700019b0833","400 East 54th Street, Unit 3B")</f>
        <v>400 East 54th Street, Unit 3B</v>
      </c>
      <c r="C3240" s="25" t="s">
        <v>370</v>
      </c>
      <c r="D3240" s="26" t="s">
        <v>23</v>
      </c>
      <c r="E3240" s="27" t="str">
        <f>HYPERLINK("https://www.compass.com/building/the-revere-condominium-manhattan-ny/281954831604714805/","The Revere Condominium")</f>
        <v>The Revere Condominium</v>
      </c>
      <c r="F3240" s="25" t="s">
        <v>73</v>
      </c>
      <c r="G3240" s="28">
        <v>1585000.0</v>
      </c>
      <c r="H3240" s="28">
        <v>1787.0</v>
      </c>
      <c r="I3240" s="28">
        <v>1631.0</v>
      </c>
      <c r="J3240" s="28">
        <v>11172.0</v>
      </c>
      <c r="K3240" s="25" t="s">
        <v>28</v>
      </c>
      <c r="L3240" s="26">
        <v>3.0</v>
      </c>
      <c r="M3240" s="26">
        <v>2.0</v>
      </c>
      <c r="N3240" s="26">
        <v>0.0</v>
      </c>
      <c r="O3240" s="26">
        <v>0.0</v>
      </c>
      <c r="P3240" s="26">
        <v>887.0</v>
      </c>
      <c r="Q3240" s="35">
        <v>111.0</v>
      </c>
      <c r="R3240" s="32">
        <v>44581.0</v>
      </c>
      <c r="S3240" s="32">
        <v>42740.0</v>
      </c>
      <c r="T3240" s="29"/>
      <c r="U3240" s="33"/>
      <c r="V3240" s="1"/>
    </row>
    <row r="3241" ht="24.0" customHeight="1">
      <c r="A3241" s="1"/>
      <c r="B3241" s="24" t="str">
        <f>HYPERLINK("https://www.compass.com/listing/100-la-salle-street-unit-5a-manhattan-ny-10027/30944971301439281/view?agent_id=610d3f3370540700019b0833","100 La Salle Street, Unit 5A")</f>
        <v>100 La Salle Street, Unit 5A</v>
      </c>
      <c r="C3241" s="25" t="s">
        <v>364</v>
      </c>
      <c r="D3241" s="26" t="s">
        <v>23</v>
      </c>
      <c r="E3241" s="27" t="str">
        <f>HYPERLINK("https://www.compass.com/building/morningside-gardens-manhattan-ny/282059026127160645/","Morningside Gardens")</f>
        <v>Morningside Gardens</v>
      </c>
      <c r="F3241" s="25" t="s">
        <v>41</v>
      </c>
      <c r="G3241" s="28">
        <v>745000.0</v>
      </c>
      <c r="H3241" s="28">
        <v>824.0</v>
      </c>
      <c r="I3241" s="28">
        <v>1205.0</v>
      </c>
      <c r="J3241" s="29"/>
      <c r="K3241" s="25" t="s">
        <v>25</v>
      </c>
      <c r="L3241" s="26">
        <v>5.0</v>
      </c>
      <c r="M3241" s="26">
        <v>2.0</v>
      </c>
      <c r="N3241" s="26">
        <v>1.0</v>
      </c>
      <c r="O3241" s="26">
        <v>0.0</v>
      </c>
      <c r="P3241" s="26">
        <v>904.0</v>
      </c>
      <c r="Q3241" s="35">
        <v>90.0</v>
      </c>
      <c r="R3241" s="32">
        <v>45636.0</v>
      </c>
      <c r="S3241" s="32">
        <v>43293.0</v>
      </c>
      <c r="T3241" s="29"/>
      <c r="U3241" s="33"/>
      <c r="V3241" s="1"/>
    </row>
    <row r="3242" ht="24.0" customHeight="1">
      <c r="A3242" s="1"/>
      <c r="B3242" s="24" t="str">
        <f>HYPERLINK("https://www.compass.com/listing/2-sutton-place-south-unit-2f-manhattan-ny-10022/1838893911779713881/view?agent_id=610d3f3370540700019b0833","2 Sutton Place South, Unit 2F")</f>
        <v>2 Sutton Place South, Unit 2F</v>
      </c>
      <c r="C3242" s="25" t="s">
        <v>364</v>
      </c>
      <c r="D3242" s="26" t="s">
        <v>23</v>
      </c>
      <c r="E3242" s="27" t="str">
        <f>HYPERLINK("https://www.compass.com/building/2-sutton-pl-s-manhattan-ny-10022/281952838781832853/","2 Sutton Pl S")</f>
        <v>2 Sutton Pl S</v>
      </c>
      <c r="F3242" s="25" t="s">
        <v>73</v>
      </c>
      <c r="G3242" s="28">
        <v>1285000.0</v>
      </c>
      <c r="H3242" s="29"/>
      <c r="I3242" s="28">
        <v>2054.0</v>
      </c>
      <c r="J3242" s="29"/>
      <c r="K3242" s="25" t="s">
        <v>25</v>
      </c>
      <c r="L3242" s="26">
        <v>4.0</v>
      </c>
      <c r="M3242" s="26">
        <v>2.0</v>
      </c>
      <c r="N3242" s="26">
        <v>0.0</v>
      </c>
      <c r="O3242" s="26">
        <v>0.0</v>
      </c>
      <c r="P3242" s="30"/>
      <c r="Q3242" s="35">
        <v>146.0</v>
      </c>
      <c r="R3242" s="32">
        <v>45636.0</v>
      </c>
      <c r="S3242" s="32">
        <v>43025.0</v>
      </c>
      <c r="T3242" s="29"/>
      <c r="U3242" s="33"/>
      <c r="V3242" s="1"/>
    </row>
    <row r="3243" ht="24.0" customHeight="1">
      <c r="A3243" s="1"/>
      <c r="B3243" s="24" t="str">
        <f>HYPERLINK("https://www.compass.com/listing/301-west-53rd-street-unit-4c-manhattan-ny-10019/825431271525507177/view?agent_id=610d3f3370540700019b0833","301 West 53rd Street, Unit 4C")</f>
        <v>301 West 53rd Street, Unit 4C</v>
      </c>
      <c r="C3243" s="25" t="s">
        <v>364</v>
      </c>
      <c r="D3243" s="26" t="s">
        <v>23</v>
      </c>
      <c r="E3243" s="27" t="str">
        <f t="shared" ref="E3243:E3244" si="96">HYPERLINK("https://www.compass.com/building/fifty-third-and-eighth-manhattan-ny/281944545158031557/","Fifty Third and Eighth")</f>
        <v>Fifty Third and Eighth</v>
      </c>
      <c r="F3243" s="25" t="s">
        <v>47</v>
      </c>
      <c r="G3243" s="28">
        <v>1495000.0</v>
      </c>
      <c r="H3243" s="28">
        <v>1736.0</v>
      </c>
      <c r="I3243" s="28">
        <v>2124.0</v>
      </c>
      <c r="J3243" s="28">
        <v>16332.0</v>
      </c>
      <c r="K3243" s="25" t="s">
        <v>28</v>
      </c>
      <c r="L3243" s="26">
        <v>3.0</v>
      </c>
      <c r="M3243" s="26">
        <v>2.0</v>
      </c>
      <c r="N3243" s="26">
        <v>1.0</v>
      </c>
      <c r="O3243" s="26">
        <v>0.0</v>
      </c>
      <c r="P3243" s="26">
        <v>861.0</v>
      </c>
      <c r="Q3243" s="35">
        <v>51.0</v>
      </c>
      <c r="R3243" s="32">
        <v>45636.0</v>
      </c>
      <c r="S3243" s="32">
        <v>44396.0</v>
      </c>
      <c r="T3243" s="29"/>
      <c r="U3243" s="33"/>
      <c r="V3243" s="1"/>
    </row>
    <row r="3244" ht="24.0" customHeight="1">
      <c r="A3244" s="1"/>
      <c r="B3244" s="24" t="str">
        <f>HYPERLINK("https://www.compass.com/listing/301-west-53rd-street-unit-5d-manhattan-ny-10019/829730565691065225/view?agent_id=610d3f3370540700019b0833","301 West 53rd Street, Unit 5D")</f>
        <v>301 West 53rd Street, Unit 5D</v>
      </c>
      <c r="C3244" s="25" t="s">
        <v>364</v>
      </c>
      <c r="D3244" s="26" t="s">
        <v>23</v>
      </c>
      <c r="E3244" s="27" t="str">
        <f t="shared" si="96"/>
        <v>Fifty Third and Eighth</v>
      </c>
      <c r="F3244" s="25" t="s">
        <v>47</v>
      </c>
      <c r="G3244" s="28">
        <v>1475000.0</v>
      </c>
      <c r="H3244" s="28">
        <v>1869.0</v>
      </c>
      <c r="I3244" s="28">
        <v>1953.0</v>
      </c>
      <c r="J3244" s="28">
        <v>15036.0</v>
      </c>
      <c r="K3244" s="25" t="s">
        <v>28</v>
      </c>
      <c r="L3244" s="26">
        <v>4.0</v>
      </c>
      <c r="M3244" s="26">
        <v>2.0</v>
      </c>
      <c r="N3244" s="26">
        <v>1.0</v>
      </c>
      <c r="O3244" s="26">
        <v>0.0</v>
      </c>
      <c r="P3244" s="26">
        <v>789.0</v>
      </c>
      <c r="Q3244" s="35">
        <v>51.0</v>
      </c>
      <c r="R3244" s="32">
        <v>45636.0</v>
      </c>
      <c r="S3244" s="32">
        <v>44396.0</v>
      </c>
      <c r="T3244" s="29"/>
      <c r="U3244" s="33"/>
      <c r="V3244" s="1"/>
    </row>
    <row r="3245" ht="24.0" customHeight="1">
      <c r="A3245" s="1"/>
      <c r="B3245" s="24" t="str">
        <f>HYPERLINK("https://www.compass.com/listing/130-lenox-avenue-unit-329-manhattan-ny-10026/1845760031739100873/view?agent_id=610d3f3370540700019b0833","130 Lenox Avenue, Unit 329")</f>
        <v>130 Lenox Avenue, Unit 329</v>
      </c>
      <c r="C3245" s="25" t="s">
        <v>365</v>
      </c>
      <c r="D3245" s="26" t="s">
        <v>23</v>
      </c>
      <c r="E3245" s="27" t="str">
        <f>HYPERLINK("https://www.compass.com/building/the-renaissance-manhattan-ny/281974458774807237/","The Renaissance")</f>
        <v>The Renaissance</v>
      </c>
      <c r="F3245" s="25" t="s">
        <v>45</v>
      </c>
      <c r="G3245" s="28">
        <v>449000.0</v>
      </c>
      <c r="H3245" s="29"/>
      <c r="I3245" s="28">
        <v>1283.0</v>
      </c>
      <c r="J3245" s="28">
        <v>0.0</v>
      </c>
      <c r="K3245" s="25" t="s">
        <v>25</v>
      </c>
      <c r="L3245" s="26">
        <v>4.0</v>
      </c>
      <c r="M3245" s="26">
        <v>2.0</v>
      </c>
      <c r="N3245" s="26">
        <v>1.0</v>
      </c>
      <c r="O3245" s="30"/>
      <c r="P3245" s="30"/>
      <c r="Q3245" s="35">
        <v>51.0</v>
      </c>
      <c r="R3245" s="32">
        <v>45850.0</v>
      </c>
      <c r="S3245" s="32">
        <v>45798.0</v>
      </c>
      <c r="T3245" s="29"/>
      <c r="U3245" s="33"/>
      <c r="V3245" s="1"/>
    </row>
    <row r="3246" ht="24.0" customHeight="1">
      <c r="A3246" s="1"/>
      <c r="B3246" s="24" t="str">
        <f>HYPERLINK("https://www.compass.com/listing/25-sutton-place-south-unit-5k-manhattan-ny-10022/920978959461703377/view?agent_id=610d3f3370540700019b0833","25 Sutton Place South, Unit 5K")</f>
        <v>25 Sutton Place South, Unit 5K</v>
      </c>
      <c r="C3246" s="25" t="s">
        <v>364</v>
      </c>
      <c r="D3246" s="26" t="s">
        <v>23</v>
      </c>
      <c r="E3246" s="27" t="str">
        <f>HYPERLINK("https://www.compass.com/building/cannon-point-north-manhattan-ny/281953471601643749/","Cannon Point North")</f>
        <v>Cannon Point North</v>
      </c>
      <c r="F3246" s="25" t="s">
        <v>73</v>
      </c>
      <c r="G3246" s="28">
        <v>2200000.0</v>
      </c>
      <c r="H3246" s="28">
        <v>1375.0</v>
      </c>
      <c r="I3246" s="28">
        <v>2384.0</v>
      </c>
      <c r="J3246" s="29"/>
      <c r="K3246" s="25" t="s">
        <v>25</v>
      </c>
      <c r="L3246" s="26">
        <v>5.0</v>
      </c>
      <c r="M3246" s="26">
        <v>2.0</v>
      </c>
      <c r="N3246" s="26">
        <v>0.0</v>
      </c>
      <c r="O3246" s="26">
        <v>0.0</v>
      </c>
      <c r="P3246" s="34">
        <v>1600.0</v>
      </c>
      <c r="Q3246" s="35">
        <v>299.0</v>
      </c>
      <c r="R3246" s="32">
        <v>45636.0</v>
      </c>
      <c r="S3246" s="32">
        <v>42746.0</v>
      </c>
      <c r="T3246" s="29"/>
      <c r="U3246" s="33"/>
      <c r="V3246" s="1"/>
    </row>
    <row r="3247" ht="24.0" customHeight="1">
      <c r="A3247" s="1"/>
      <c r="B3247" s="24" t="str">
        <f>HYPERLINK("https://www.compass.com/listing/420-east-55th-street-unit-9r-manhattan-ny-10022/1243433158316938889/view?agent_id=610d3f3370540700019b0833","420 East 55th Street, Unit 9R")</f>
        <v>420 East 55th Street, Unit 9R</v>
      </c>
      <c r="C3247" s="25" t="s">
        <v>370</v>
      </c>
      <c r="D3247" s="26" t="s">
        <v>23</v>
      </c>
      <c r="E3247" s="27" t="str">
        <f>HYPERLINK("https://www.compass.com/building/420-e-55th-st-manhattan-ny-10022/292858555877370357/","420 E 55th St")</f>
        <v>420 E 55th St</v>
      </c>
      <c r="F3247" s="25" t="s">
        <v>73</v>
      </c>
      <c r="G3247" s="28">
        <v>699000.0</v>
      </c>
      <c r="H3247" s="28">
        <v>822.0</v>
      </c>
      <c r="I3247" s="28">
        <v>1786.0</v>
      </c>
      <c r="J3247" s="28">
        <v>0.0</v>
      </c>
      <c r="K3247" s="25" t="s">
        <v>25</v>
      </c>
      <c r="L3247" s="26">
        <v>4.0</v>
      </c>
      <c r="M3247" s="26">
        <v>2.0</v>
      </c>
      <c r="N3247" s="26">
        <v>1.0</v>
      </c>
      <c r="O3247" s="30"/>
      <c r="P3247" s="26">
        <v>850.0</v>
      </c>
      <c r="Q3247" s="35">
        <v>174.0</v>
      </c>
      <c r="R3247" s="32">
        <v>45142.0</v>
      </c>
      <c r="S3247" s="32">
        <v>44967.0</v>
      </c>
      <c r="T3247" s="29"/>
      <c r="U3247" s="33"/>
      <c r="V3247" s="1"/>
    </row>
    <row r="3248" ht="24.0" customHeight="1">
      <c r="A3248" s="1"/>
      <c r="B3248" s="24" t="str">
        <f>HYPERLINK("https://www.compass.com/listing/1264-amsterdam-avenue-unit-2b-new-york-ny-10027/872993419998322905/view?agent_id=610d3f3370540700019b0833","1264 Amsterdam Avenue, Unit 2B")</f>
        <v>1264 Amsterdam Avenue, Unit 2B</v>
      </c>
      <c r="C3248" s="25" t="s">
        <v>364</v>
      </c>
      <c r="D3248" s="26" t="s">
        <v>23</v>
      </c>
      <c r="E3248" s="27" t="str">
        <f>HYPERLINK("https://www.compass.com/building/1264-amsterdam-ave-new-york-ny-10027/281978213926796725/","1264 Amsterdam Ave")</f>
        <v>1264 Amsterdam Ave</v>
      </c>
      <c r="F3248" s="25" t="s">
        <v>41</v>
      </c>
      <c r="G3248" s="28">
        <v>615000.0</v>
      </c>
      <c r="H3248" s="29"/>
      <c r="I3248" s="28">
        <v>682.0</v>
      </c>
      <c r="J3248" s="28">
        <v>0.0</v>
      </c>
      <c r="K3248" s="25" t="s">
        <v>25</v>
      </c>
      <c r="L3248" s="26">
        <v>4.0</v>
      </c>
      <c r="M3248" s="26">
        <v>2.0</v>
      </c>
      <c r="N3248" s="26">
        <v>1.0</v>
      </c>
      <c r="O3248" s="30"/>
      <c r="P3248" s="30"/>
      <c r="Q3248" s="35">
        <v>84.0</v>
      </c>
      <c r="R3248" s="32">
        <v>44540.0</v>
      </c>
      <c r="S3248" s="32">
        <v>44456.0</v>
      </c>
      <c r="T3248" s="29"/>
      <c r="U3248" s="33"/>
      <c r="V3248" s="1"/>
    </row>
    <row r="3249" ht="24.0" customHeight="1">
      <c r="A3249" s="1"/>
      <c r="B3249" s="24" t="str">
        <f>HYPERLINK("https://www.compass.com/listing/523-west-121st-street-unit-32-manhattan-ny-10027/353493541133010561/view?agent_id=610d3f3370540700019b0833","523 West 121st Street, Unit 32")</f>
        <v>523 West 121st Street, Unit 32</v>
      </c>
      <c r="C3249" s="25" t="s">
        <v>364</v>
      </c>
      <c r="D3249" s="26" t="s">
        <v>23</v>
      </c>
      <c r="E3249" s="27" t="str">
        <f>HYPERLINK("https://www.compass.com/building/523-w-121st-st-manhattan-ny-10027/281983057400008693/","523 W 121st St")</f>
        <v>523 W 121st St</v>
      </c>
      <c r="F3249" s="25" t="s">
        <v>41</v>
      </c>
      <c r="G3249" s="28">
        <v>799000.0</v>
      </c>
      <c r="H3249" s="29"/>
      <c r="I3249" s="28">
        <v>1657.0</v>
      </c>
      <c r="J3249" s="28">
        <v>0.0</v>
      </c>
      <c r="K3249" s="25" t="s">
        <v>25</v>
      </c>
      <c r="L3249" s="26">
        <v>5.0</v>
      </c>
      <c r="M3249" s="26">
        <v>2.0</v>
      </c>
      <c r="N3249" s="26">
        <v>1.0</v>
      </c>
      <c r="O3249" s="26">
        <v>0.0</v>
      </c>
      <c r="P3249" s="30"/>
      <c r="Q3249" s="35">
        <v>95.0</v>
      </c>
      <c r="R3249" s="32">
        <v>43837.0</v>
      </c>
      <c r="S3249" s="32">
        <v>43741.0</v>
      </c>
      <c r="T3249" s="29"/>
      <c r="U3249" s="33"/>
      <c r="V3249" s="1"/>
    </row>
    <row r="3250" ht="24.0" customHeight="1">
      <c r="A3250" s="1"/>
      <c r="B3250" s="24" t="str">
        <f>HYPERLINK("https://www.compass.com/listing/314-23rd-street-unit-3c-brooklyn-ny-11215/51243294033716929/view?agent_id=610d3f3370540700019b0833","314 23rd Street, Unit 3C")</f>
        <v>314 23rd Street, Unit 3C</v>
      </c>
      <c r="C3250" s="25" t="s">
        <v>370</v>
      </c>
      <c r="D3250" s="26" t="s">
        <v>23</v>
      </c>
      <c r="E3250" s="27" t="str">
        <f>HYPERLINK("https://www.compass.com/building/314-23rd-st-brooklyn-ny-11215/294846392077965109/","314 23rd St")</f>
        <v>314 23rd St</v>
      </c>
      <c r="F3250" s="25" t="s">
        <v>155</v>
      </c>
      <c r="G3250" s="28">
        <v>670000.0</v>
      </c>
      <c r="H3250" s="28">
        <v>887.0</v>
      </c>
      <c r="I3250" s="28">
        <v>115.0</v>
      </c>
      <c r="J3250" s="28">
        <v>65.0</v>
      </c>
      <c r="K3250" s="25" t="s">
        <v>28</v>
      </c>
      <c r="L3250" s="26">
        <v>4.0</v>
      </c>
      <c r="M3250" s="26">
        <v>2.0</v>
      </c>
      <c r="N3250" s="30"/>
      <c r="O3250" s="30"/>
      <c r="P3250" s="26">
        <v>755.0</v>
      </c>
      <c r="Q3250" s="35">
        <v>100.0</v>
      </c>
      <c r="R3250" s="32">
        <v>43423.0</v>
      </c>
      <c r="S3250" s="32">
        <v>43322.0</v>
      </c>
      <c r="T3250" s="29"/>
      <c r="U3250" s="33"/>
      <c r="V3250" s="1"/>
    </row>
    <row r="3251" ht="24.0" customHeight="1">
      <c r="A3251" s="1"/>
      <c r="B3251" s="24" t="str">
        <f>HYPERLINK("https://www.compass.com/listing/310-east-53rd-street-unit-4-5g-manhattan-ny-10022/921522050795291913/view?agent_id=610d3f3370540700019b0833","310 East 53rd Street, Unit 4/5G")</f>
        <v>310 East 53rd Street, Unit 4/5G</v>
      </c>
      <c r="C3251" s="25" t="s">
        <v>370</v>
      </c>
      <c r="D3251" s="26" t="s">
        <v>23</v>
      </c>
      <c r="E3251" s="27" t="str">
        <f>HYPERLINK("https://www.compass.com/building/three-ten-manhattan-ny/281953754121571141/","Three Ten")</f>
        <v>Three Ten</v>
      </c>
      <c r="F3251" s="25" t="s">
        <v>66</v>
      </c>
      <c r="G3251" s="28">
        <v>2750000.0</v>
      </c>
      <c r="H3251" s="28">
        <v>1249.0</v>
      </c>
      <c r="I3251" s="28">
        <v>4429.0</v>
      </c>
      <c r="J3251" s="28">
        <v>20904.0</v>
      </c>
      <c r="K3251" s="25" t="s">
        <v>28</v>
      </c>
      <c r="L3251" s="26">
        <v>4.0</v>
      </c>
      <c r="M3251" s="26">
        <v>2.0</v>
      </c>
      <c r="N3251" s="26">
        <v>0.0</v>
      </c>
      <c r="O3251" s="26">
        <v>0.0</v>
      </c>
      <c r="P3251" s="34">
        <v>2201.0</v>
      </c>
      <c r="Q3251" s="35">
        <v>159.0</v>
      </c>
      <c r="R3251" s="32">
        <v>45695.0</v>
      </c>
      <c r="S3251" s="32">
        <v>43243.0</v>
      </c>
      <c r="T3251" s="29"/>
      <c r="U3251" s="33"/>
      <c r="V3251" s="1"/>
    </row>
    <row r="3252" ht="24.0" customHeight="1">
      <c r="A3252" s="1"/>
      <c r="B3252" s="24" t="str">
        <f>HYPERLINK("https://www.compass.com/listing/120-west-58th-street-unit-3c-manhattan-ny-10019/460115722027828385/view?agent_id=610d3f3370540700019b0833","120 West 58th Street, Unit 3C")</f>
        <v>120 West 58th Street, Unit 3C</v>
      </c>
      <c r="C3252" s="25" t="s">
        <v>370</v>
      </c>
      <c r="D3252" s="26" t="s">
        <v>23</v>
      </c>
      <c r="E3252" s="27" t="str">
        <f>HYPERLINK("https://www.compass.com/building/park-south-manhattan-ny/281943708696373045/","Park South")</f>
        <v>Park South</v>
      </c>
      <c r="F3252" s="25" t="s">
        <v>195</v>
      </c>
      <c r="G3252" s="28">
        <v>960000.0</v>
      </c>
      <c r="H3252" s="28">
        <v>1444.0</v>
      </c>
      <c r="I3252" s="28">
        <v>1404.0</v>
      </c>
      <c r="J3252" s="28">
        <v>7537.0</v>
      </c>
      <c r="K3252" s="25" t="s">
        <v>28</v>
      </c>
      <c r="L3252" s="26">
        <v>3.0</v>
      </c>
      <c r="M3252" s="26">
        <v>2.0</v>
      </c>
      <c r="N3252" s="26">
        <v>1.0</v>
      </c>
      <c r="O3252" s="26">
        <v>0.0</v>
      </c>
      <c r="P3252" s="26">
        <v>665.0</v>
      </c>
      <c r="Q3252" s="31"/>
      <c r="R3252" s="32">
        <v>44057.0</v>
      </c>
      <c r="S3252" s="33"/>
      <c r="T3252" s="29"/>
      <c r="U3252" s="33"/>
      <c r="V3252" s="1"/>
    </row>
    <row r="3253" ht="24.0" customHeight="1">
      <c r="A3253" s="1"/>
      <c r="B3253" s="24" t="str">
        <f>HYPERLINK("https://www.compass.com/listing/425-east-50th-street-unit-2-manhattan-ny-10022/1838949145151610641/view?agent_id=610d3f3370540700019b0833","425 East 50th Street, Unit 2")</f>
        <v>425 East 50th Street, Unit 2</v>
      </c>
      <c r="C3253" s="25" t="s">
        <v>364</v>
      </c>
      <c r="D3253" s="26" t="s">
        <v>23</v>
      </c>
      <c r="E3253" s="27" t="str">
        <f>HYPERLINK("https://www.compass.com/building/425-e-50th-st-manhattan-ny-10022/281955140389377685/","425 E 50th St")</f>
        <v>425 E 50th St</v>
      </c>
      <c r="F3253" s="25" t="s">
        <v>66</v>
      </c>
      <c r="G3253" s="28">
        <v>1495000.0</v>
      </c>
      <c r="H3253" s="29"/>
      <c r="I3253" s="28">
        <v>2233.0</v>
      </c>
      <c r="J3253" s="29"/>
      <c r="K3253" s="25" t="s">
        <v>25</v>
      </c>
      <c r="L3253" s="26">
        <v>4.0</v>
      </c>
      <c r="M3253" s="26">
        <v>2.0</v>
      </c>
      <c r="N3253" s="26">
        <v>0.0</v>
      </c>
      <c r="O3253" s="26">
        <v>0.0</v>
      </c>
      <c r="P3253" s="30"/>
      <c r="Q3253" s="35">
        <v>363.0</v>
      </c>
      <c r="R3253" s="32">
        <v>45636.0</v>
      </c>
      <c r="S3253" s="32">
        <v>42809.0</v>
      </c>
      <c r="T3253" s="29"/>
      <c r="U3253" s="33"/>
      <c r="V3253" s="1"/>
    </row>
    <row r="3254" ht="24.0" customHeight="1">
      <c r="A3254" s="1"/>
      <c r="B3254" s="24" t="str">
        <f>HYPERLINK("https://www.compass.com/listing/345-east-56th-street-unit-15f-manhattan-ny-10022/29408264995218241/view?agent_id=610d3f3370540700019b0833","345 East 56th Street, Unit 15F")</f>
        <v>345 East 56th Street, Unit 15F</v>
      </c>
      <c r="C3254" s="25" t="s">
        <v>370</v>
      </c>
      <c r="D3254" s="26" t="s">
        <v>23</v>
      </c>
      <c r="E3254" s="27" t="str">
        <f>HYPERLINK("https://www.compass.com/building/sutton-east-manhattan-ny/281954565367075957/","Sutton East")</f>
        <v>Sutton East</v>
      </c>
      <c r="F3254" s="25" t="s">
        <v>73</v>
      </c>
      <c r="G3254" s="28">
        <v>1349000.0</v>
      </c>
      <c r="H3254" s="28">
        <v>964.0</v>
      </c>
      <c r="I3254" s="28">
        <v>2579.0</v>
      </c>
      <c r="J3254" s="29"/>
      <c r="K3254" s="25" t="s">
        <v>25</v>
      </c>
      <c r="L3254" s="26">
        <v>5.0</v>
      </c>
      <c r="M3254" s="26">
        <v>2.0</v>
      </c>
      <c r="N3254" s="26">
        <v>0.0</v>
      </c>
      <c r="O3254" s="26">
        <v>0.0</v>
      </c>
      <c r="P3254" s="34">
        <v>1400.0</v>
      </c>
      <c r="Q3254" s="35">
        <v>31.0</v>
      </c>
      <c r="R3254" s="32">
        <v>45636.0</v>
      </c>
      <c r="S3254" s="32">
        <v>41900.0</v>
      </c>
      <c r="T3254" s="29"/>
      <c r="U3254" s="33"/>
      <c r="V3254" s="1"/>
    </row>
    <row r="3255" ht="24.0" customHeight="1">
      <c r="A3255" s="1"/>
      <c r="B3255" s="24" t="str">
        <f>HYPERLINK("https://www.compass.com/listing/340-west-57th-street-unit-7g-manhattan-ny-10019/1063890063151882841/view?agent_id=610d3f3370540700019b0833","340 West 57th Street, Unit 7G")</f>
        <v>340 West 57th Street, Unit 7G</v>
      </c>
      <c r="C3255" s="25" t="s">
        <v>364</v>
      </c>
      <c r="D3255" s="26" t="s">
        <v>23</v>
      </c>
      <c r="E3255" s="27" t="str">
        <f t="shared" ref="E3255:E3256" si="97">HYPERLINK("https://www.compass.com/building/the-parc-vendome-manhattan-ny/281945031412083285/","The Parc Vendome")</f>
        <v>The Parc Vendome</v>
      </c>
      <c r="F3255" s="25" t="s">
        <v>47</v>
      </c>
      <c r="G3255" s="28">
        <v>1825000.0</v>
      </c>
      <c r="H3255" s="28">
        <v>1567.0</v>
      </c>
      <c r="I3255" s="28">
        <v>3018.0</v>
      </c>
      <c r="J3255" s="28">
        <v>19862.0</v>
      </c>
      <c r="K3255" s="25" t="s">
        <v>28</v>
      </c>
      <c r="L3255" s="26">
        <v>4.0</v>
      </c>
      <c r="M3255" s="26">
        <v>2.0</v>
      </c>
      <c r="N3255" s="26">
        <v>1.0</v>
      </c>
      <c r="O3255" s="30"/>
      <c r="P3255" s="34">
        <v>1165.0</v>
      </c>
      <c r="Q3255" s="35">
        <v>65.0</v>
      </c>
      <c r="R3255" s="32">
        <v>44900.0</v>
      </c>
      <c r="S3255" s="32">
        <v>44720.0</v>
      </c>
      <c r="T3255" s="29"/>
      <c r="U3255" s="33"/>
      <c r="V3255" s="1"/>
    </row>
    <row r="3256" ht="24.0" customHeight="1">
      <c r="A3256" s="1"/>
      <c r="B3256" s="24" t="str">
        <f>HYPERLINK("https://www.compass.com/listing/340-west-57th-street-unit-7g-manhattan-ny-10019/565946923503356473/view?agent_id=610d3f3370540700019b0833","340 West 57th Street, Unit 7G")</f>
        <v>340 West 57th Street, Unit 7G</v>
      </c>
      <c r="C3256" s="25" t="s">
        <v>365</v>
      </c>
      <c r="D3256" s="26" t="s">
        <v>23</v>
      </c>
      <c r="E3256" s="27" t="str">
        <f t="shared" si="97"/>
        <v>The Parc Vendome</v>
      </c>
      <c r="F3256" s="25" t="s">
        <v>47</v>
      </c>
      <c r="G3256" s="28">
        <v>1895000.0</v>
      </c>
      <c r="H3256" s="28">
        <v>1627.0</v>
      </c>
      <c r="I3256" s="28">
        <v>2995.0</v>
      </c>
      <c r="J3256" s="28">
        <v>16080.0</v>
      </c>
      <c r="K3256" s="25" t="s">
        <v>28</v>
      </c>
      <c r="L3256" s="26">
        <v>4.0</v>
      </c>
      <c r="M3256" s="26">
        <v>2.0</v>
      </c>
      <c r="N3256" s="26">
        <v>1.0</v>
      </c>
      <c r="O3256" s="30"/>
      <c r="P3256" s="34">
        <v>1165.0</v>
      </c>
      <c r="Q3256" s="35">
        <v>132.0</v>
      </c>
      <c r="R3256" s="32">
        <v>44169.0</v>
      </c>
      <c r="S3256" s="32">
        <v>44036.0</v>
      </c>
      <c r="T3256" s="29"/>
      <c r="U3256" s="33"/>
      <c r="V3256" s="1"/>
    </row>
    <row r="3257" ht="24.0" customHeight="1">
      <c r="A3257" s="1"/>
      <c r="B3257" s="24" t="str">
        <f>HYPERLINK("https://www.compass.com/listing/513-west-135th-street-unit-5a-manhattan-ny-10031/335361756268450433/view?agent_id=610d3f3370540700019b0833","513 West 135th Street, Unit 5A")</f>
        <v>513 West 135th Street, Unit 5A</v>
      </c>
      <c r="C3257" s="25" t="s">
        <v>364</v>
      </c>
      <c r="D3257" s="26" t="s">
        <v>23</v>
      </c>
      <c r="E3257" s="27" t="str">
        <f>HYPERLINK("https://www.compass.com/building/513-w-135th-st-manhattan-ny-10031/281999074490705717/","513 W 135th St")</f>
        <v>513 W 135th St</v>
      </c>
      <c r="F3257" s="25" t="s">
        <v>71</v>
      </c>
      <c r="G3257" s="28">
        <v>399000.0</v>
      </c>
      <c r="H3257" s="29"/>
      <c r="I3257" s="28">
        <v>754.0</v>
      </c>
      <c r="J3257" s="28">
        <v>0.0</v>
      </c>
      <c r="K3257" s="25" t="s">
        <v>25</v>
      </c>
      <c r="L3257" s="26">
        <v>1.0</v>
      </c>
      <c r="M3257" s="26">
        <v>2.0</v>
      </c>
      <c r="N3257" s="26">
        <v>1.0</v>
      </c>
      <c r="O3257" s="26">
        <v>0.0</v>
      </c>
      <c r="P3257" s="30"/>
      <c r="Q3257" s="31"/>
      <c r="R3257" s="32">
        <v>43714.0</v>
      </c>
      <c r="S3257" s="33"/>
      <c r="T3257" s="29"/>
      <c r="U3257" s="33"/>
      <c r="V3257" s="1"/>
    </row>
    <row r="3258" ht="24.0" customHeight="1">
      <c r="A3258" s="1"/>
      <c r="B3258" s="24" t="str">
        <f>HYPERLINK("https://www.compass.com/listing/250-east-53rd-street-unit-1202-manhattan-ny-10022/1838981074995118945/view?agent_id=610d3f3370540700019b0833","250 East 53rd Street, Unit 1202")</f>
        <v>250 East 53rd Street, Unit 1202</v>
      </c>
      <c r="C3258" s="25" t="s">
        <v>370</v>
      </c>
      <c r="D3258" s="26" t="s">
        <v>23</v>
      </c>
      <c r="E3258" s="27" t="str">
        <f>HYPERLINK("https://www.compass.com/building/the-veneto-manhattan-ny/281953512487717525/","The Veneto")</f>
        <v>The Veneto</v>
      </c>
      <c r="F3258" s="25" t="s">
        <v>66</v>
      </c>
      <c r="G3258" s="28">
        <v>2400000.0</v>
      </c>
      <c r="H3258" s="28">
        <v>1778.0</v>
      </c>
      <c r="I3258" s="28">
        <v>2269.0</v>
      </c>
      <c r="J3258" s="28">
        <v>10032.0</v>
      </c>
      <c r="K3258" s="25" t="s">
        <v>28</v>
      </c>
      <c r="L3258" s="26">
        <v>5.0</v>
      </c>
      <c r="M3258" s="26">
        <v>2.0</v>
      </c>
      <c r="N3258" s="26">
        <v>0.0</v>
      </c>
      <c r="O3258" s="26">
        <v>0.0</v>
      </c>
      <c r="P3258" s="34">
        <v>1350.0</v>
      </c>
      <c r="Q3258" s="35">
        <v>233.0</v>
      </c>
      <c r="R3258" s="32">
        <v>45636.0</v>
      </c>
      <c r="S3258" s="32">
        <v>42622.0</v>
      </c>
      <c r="T3258" s="29"/>
      <c r="U3258" s="33"/>
      <c r="V3258" s="1"/>
    </row>
    <row r="3259" ht="24.0" customHeight="1">
      <c r="A3259" s="1"/>
      <c r="B3259" s="24" t="str">
        <f>HYPERLINK("https://www.compass.com/listing/212-east-57th-street-unit-8c-manhattan-ny-10022/29405796227906577/view?agent_id=610d3f3370540700019b0833","212 East 57th Street, Unit 8C")</f>
        <v>212 East 57th Street, Unit 8C</v>
      </c>
      <c r="C3259" s="25" t="s">
        <v>370</v>
      </c>
      <c r="D3259" s="26" t="s">
        <v>23</v>
      </c>
      <c r="E3259" s="27" t="str">
        <f>HYPERLINK("https://www.compass.com/building/sutton-57-manhattan-ny/281953014523168917/","Sutton 57")</f>
        <v>Sutton 57</v>
      </c>
      <c r="F3259" s="25" t="s">
        <v>66</v>
      </c>
      <c r="G3259" s="28">
        <v>1450000.0</v>
      </c>
      <c r="H3259" s="28">
        <v>1151.0</v>
      </c>
      <c r="I3259" s="28">
        <v>2297.0</v>
      </c>
      <c r="J3259" s="28">
        <v>3360.0</v>
      </c>
      <c r="K3259" s="25" t="s">
        <v>28</v>
      </c>
      <c r="L3259" s="26">
        <v>4.0</v>
      </c>
      <c r="M3259" s="26">
        <v>2.0</v>
      </c>
      <c r="N3259" s="26">
        <v>0.0</v>
      </c>
      <c r="O3259" s="26">
        <v>0.0</v>
      </c>
      <c r="P3259" s="34">
        <v>1260.0</v>
      </c>
      <c r="Q3259" s="35">
        <v>0.0</v>
      </c>
      <c r="R3259" s="32">
        <v>44581.0</v>
      </c>
      <c r="S3259" s="32">
        <v>41538.0</v>
      </c>
      <c r="T3259" s="29"/>
      <c r="U3259" s="33"/>
      <c r="V3259" s="1"/>
    </row>
    <row r="3260" ht="24.0" customHeight="1">
      <c r="A3260" s="1"/>
      <c r="B3260" s="24" t="str">
        <f>HYPERLINK("https://www.compass.com/listing/77-west-55th-street-unit-3b-manhattan-ny-10019/50859626165456353/view?agent_id=610d3f3370540700019b0833","77 W 55th St, Unit 3B")</f>
        <v>77 W 55th St, Unit 3B</v>
      </c>
      <c r="C3260" s="25" t="s">
        <v>370</v>
      </c>
      <c r="D3260" s="26" t="s">
        <v>23</v>
      </c>
      <c r="E3260" s="27" t="str">
        <f>HYPERLINK("https://www.compass.com/building/the-gallery-house-manhattan-ny/281947003850649509/","The Gallery House")</f>
        <v>The Gallery House</v>
      </c>
      <c r="F3260" s="25" t="s">
        <v>195</v>
      </c>
      <c r="G3260" s="28">
        <v>1450000.0</v>
      </c>
      <c r="H3260" s="28">
        <v>1160.0</v>
      </c>
      <c r="I3260" s="28">
        <v>2138.0</v>
      </c>
      <c r="J3260" s="28">
        <v>12432.0</v>
      </c>
      <c r="K3260" s="25" t="s">
        <v>28</v>
      </c>
      <c r="L3260" s="26">
        <v>5.0</v>
      </c>
      <c r="M3260" s="26">
        <v>2.0</v>
      </c>
      <c r="N3260" s="26">
        <v>0.0</v>
      </c>
      <c r="O3260" s="26">
        <v>0.0</v>
      </c>
      <c r="P3260" s="34">
        <v>1250.0</v>
      </c>
      <c r="Q3260" s="35">
        <v>342.0</v>
      </c>
      <c r="R3260" s="32">
        <v>45636.0</v>
      </c>
      <c r="S3260" s="32">
        <v>42198.0</v>
      </c>
      <c r="T3260" s="29"/>
      <c r="U3260" s="33"/>
      <c r="V3260" s="1"/>
    </row>
    <row r="3261" ht="24.0" customHeight="1">
      <c r="A3261" s="1"/>
      <c r="B3261" s="24" t="str">
        <f>HYPERLINK("https://www.compass.com/listing/832-classon-avenue-unit-4l-brooklyn-ny-11238/1022026644365180801/view?agent_id=610d3f3370540700019b0833","832 Classon Ave, Unit 4L")</f>
        <v>832 Classon Ave, Unit 4L</v>
      </c>
      <c r="C3261" s="25" t="s">
        <v>364</v>
      </c>
      <c r="D3261" s="26" t="s">
        <v>23</v>
      </c>
      <c r="E3261" s="27" t="str">
        <f>HYPERLINK("https://www.compass.com/building/832-classon-ave-brooklyn-ny-11238/293530664202963301/","832 Classon Ave")</f>
        <v>832 Classon Ave</v>
      </c>
      <c r="F3261" s="25" t="s">
        <v>113</v>
      </c>
      <c r="G3261" s="28">
        <v>598000.0</v>
      </c>
      <c r="H3261" s="29"/>
      <c r="I3261" s="28">
        <v>829.0</v>
      </c>
      <c r="J3261" s="28">
        <v>6353.0</v>
      </c>
      <c r="K3261" s="25" t="s">
        <v>28</v>
      </c>
      <c r="L3261" s="26">
        <v>4.0</v>
      </c>
      <c r="M3261" s="26">
        <v>2.0</v>
      </c>
      <c r="N3261" s="26">
        <v>1.0</v>
      </c>
      <c r="O3261" s="26">
        <v>0.0</v>
      </c>
      <c r="P3261" s="30"/>
      <c r="Q3261" s="35">
        <v>29.0</v>
      </c>
      <c r="R3261" s="32">
        <v>44727.0</v>
      </c>
      <c r="S3261" s="32">
        <v>44665.0</v>
      </c>
      <c r="T3261" s="29"/>
      <c r="U3261" s="33"/>
      <c r="V3261" s="1"/>
    </row>
    <row r="3262" ht="24.0" customHeight="1">
      <c r="A3262" s="1"/>
      <c r="B3262" s="24" t="str">
        <f>HYPERLINK("https://www.compass.com/listing/111-east-56th-street-unit-1106-manhattan-ny-10022/803320386695614017/view?agent_id=610d3f3370540700019b0833","111 E 56th St, Unit 1106")</f>
        <v>111 E 56th St, Unit 1106</v>
      </c>
      <c r="C3262" s="25" t="s">
        <v>364</v>
      </c>
      <c r="D3262" s="26" t="s">
        <v>23</v>
      </c>
      <c r="E3262" s="27" t="str">
        <f>HYPERLINK("https://www.compass.com/building/the-lombardy-manhattan-ny/282058902437133173/","The Lombardy")</f>
        <v>The Lombardy</v>
      </c>
      <c r="F3262" s="25" t="s">
        <v>66</v>
      </c>
      <c r="G3262" s="28">
        <v>1250000.0</v>
      </c>
      <c r="H3262" s="29"/>
      <c r="I3262" s="28">
        <v>5665.0</v>
      </c>
      <c r="J3262" s="29"/>
      <c r="K3262" s="25" t="s">
        <v>25</v>
      </c>
      <c r="L3262" s="26">
        <v>4.0</v>
      </c>
      <c r="M3262" s="26">
        <v>2.0</v>
      </c>
      <c r="N3262" s="26">
        <v>0.0</v>
      </c>
      <c r="O3262" s="26">
        <v>0.0</v>
      </c>
      <c r="P3262" s="30"/>
      <c r="Q3262" s="31"/>
      <c r="R3262" s="32">
        <v>44581.0</v>
      </c>
      <c r="S3262" s="33"/>
      <c r="T3262" s="29"/>
      <c r="U3262" s="33"/>
      <c r="V3262" s="1"/>
    </row>
    <row r="3263" ht="24.0" customHeight="1">
      <c r="A3263" s="1"/>
      <c r="B3263" s="24" t="str">
        <f>HYPERLINK("https://www.compass.com/listing/70-la-salle-street-unit-12d-manhattan-ny-10027/1303780417660578633/view?agent_id=610d3f3370540700019b0833","70 La Salle St, Unit 12D")</f>
        <v>70 La Salle St, Unit 12D</v>
      </c>
      <c r="C3263" s="25" t="s">
        <v>364</v>
      </c>
      <c r="D3263" s="26" t="s">
        <v>23</v>
      </c>
      <c r="E3263" s="27" t="str">
        <f>HYPERLINK("https://www.compass.com/building/morningside-gardens-manhattan-ny/282060710542869237/","Morningside Gardens")</f>
        <v>Morningside Gardens</v>
      </c>
      <c r="F3263" s="25" t="s">
        <v>41</v>
      </c>
      <c r="G3263" s="28">
        <v>695000.0</v>
      </c>
      <c r="H3263" s="29"/>
      <c r="I3263" s="28">
        <v>1547.0</v>
      </c>
      <c r="J3263" s="28">
        <v>0.0</v>
      </c>
      <c r="K3263" s="25" t="s">
        <v>25</v>
      </c>
      <c r="L3263" s="26">
        <v>5.0</v>
      </c>
      <c r="M3263" s="26">
        <v>2.0</v>
      </c>
      <c r="N3263" s="26">
        <v>1.0</v>
      </c>
      <c r="O3263" s="30"/>
      <c r="P3263" s="30"/>
      <c r="Q3263" s="35">
        <v>180.0</v>
      </c>
      <c r="R3263" s="32">
        <v>45231.0</v>
      </c>
      <c r="S3263" s="32">
        <v>45050.0</v>
      </c>
      <c r="T3263" s="29"/>
      <c r="U3263" s="33"/>
      <c r="V3263" s="1"/>
    </row>
    <row r="3264" ht="24.0" customHeight="1">
      <c r="A3264" s="1"/>
      <c r="B3264" s="24" t="str">
        <f>HYPERLINK("https://www.compass.com/listing/400-east-56th-street-unit-19b-manhattan-ny-10022/921243672749796665/view?agent_id=610d3f3370540700019b0833","400 E 56th St, Unit 19B")</f>
        <v>400 E 56th St, Unit 19B</v>
      </c>
      <c r="C3264" s="25" t="s">
        <v>370</v>
      </c>
      <c r="D3264" s="26" t="s">
        <v>23</v>
      </c>
      <c r="E3264" s="27" t="str">
        <f>HYPERLINK("https://www.compass.com/building/plaza-400-manhattan-ny/281954893722357557/","Plaza 400")</f>
        <v>Plaza 400</v>
      </c>
      <c r="F3264" s="25" t="s">
        <v>73</v>
      </c>
      <c r="G3264" s="28">
        <v>1599000.0</v>
      </c>
      <c r="H3264" s="29"/>
      <c r="I3264" s="28">
        <v>2512.0</v>
      </c>
      <c r="J3264" s="29"/>
      <c r="K3264" s="25" t="s">
        <v>25</v>
      </c>
      <c r="L3264" s="26">
        <v>5.0</v>
      </c>
      <c r="M3264" s="26">
        <v>2.0</v>
      </c>
      <c r="N3264" s="26">
        <v>0.0</v>
      </c>
      <c r="O3264" s="26">
        <v>0.0</v>
      </c>
      <c r="P3264" s="30"/>
      <c r="Q3264" s="35">
        <v>177.0</v>
      </c>
      <c r="R3264" s="32">
        <v>45636.0</v>
      </c>
      <c r="S3264" s="32">
        <v>43212.0</v>
      </c>
      <c r="T3264" s="29"/>
      <c r="U3264" s="33"/>
      <c r="V3264" s="1"/>
    </row>
    <row r="3265" ht="24.0" customHeight="1">
      <c r="A3265" s="1"/>
      <c r="B3265" s="24" t="str">
        <f>HYPERLINK("https://www.compass.com/listing/150-east-56th-street-unit-7g-manhattan-ny-10022/627421427726951065/view?agent_id=610d3f3370540700019b0833","150 E 56th St, Unit 7G")</f>
        <v>150 E 56th St, Unit 7G</v>
      </c>
      <c r="C3265" s="25" t="s">
        <v>364</v>
      </c>
      <c r="D3265" s="26" t="s">
        <v>23</v>
      </c>
      <c r="E3265" s="27" t="str">
        <f>HYPERLINK("https://www.compass.com/building/150-e-56th-st-manhattan-ny-10022/281923771231674005/","150 E 56th St")</f>
        <v>150 E 56th St</v>
      </c>
      <c r="F3265" s="25" t="s">
        <v>66</v>
      </c>
      <c r="G3265" s="28">
        <v>1200000.0</v>
      </c>
      <c r="H3265" s="28">
        <v>1519.0</v>
      </c>
      <c r="I3265" s="28">
        <v>2199.0</v>
      </c>
      <c r="J3265" s="28">
        <v>12792.0</v>
      </c>
      <c r="K3265" s="25" t="s">
        <v>28</v>
      </c>
      <c r="L3265" s="26">
        <v>4.0</v>
      </c>
      <c r="M3265" s="26">
        <v>2.0</v>
      </c>
      <c r="N3265" s="26">
        <v>1.0</v>
      </c>
      <c r="O3265" s="30"/>
      <c r="P3265" s="26">
        <v>790.0</v>
      </c>
      <c r="Q3265" s="35">
        <v>82.0</v>
      </c>
      <c r="R3265" s="32">
        <v>44200.0</v>
      </c>
      <c r="S3265" s="32">
        <v>44117.0</v>
      </c>
      <c r="T3265" s="29"/>
      <c r="U3265" s="33"/>
      <c r="V3265" s="1"/>
    </row>
    <row r="3266" ht="24.0" customHeight="1">
      <c r="A3266" s="1"/>
      <c r="B3266" s="24" t="str">
        <f>HYPERLINK("https://www.compass.com/listing/310-east-51st-street-unit-2-manhattan-ny-10022/1838984640874895393/view?agent_id=610d3f3370540700019b0833","310 E 51st St, Unit 2")</f>
        <v>310 E 51st St, Unit 2</v>
      </c>
      <c r="C3266" s="25" t="s">
        <v>364</v>
      </c>
      <c r="D3266" s="26" t="s">
        <v>23</v>
      </c>
      <c r="E3266" s="27" t="str">
        <f>HYPERLINK("https://www.compass.com/building/310-e-51st-st-manhattan-ny-10022/281953723100500373/","310 E 51st St")</f>
        <v>310 E 51st St</v>
      </c>
      <c r="F3266" s="25" t="s">
        <v>66</v>
      </c>
      <c r="G3266" s="28">
        <v>1299000.0</v>
      </c>
      <c r="H3266" s="28">
        <v>1339.0</v>
      </c>
      <c r="I3266" s="28">
        <v>1400.0</v>
      </c>
      <c r="J3266" s="29"/>
      <c r="K3266" s="25" t="s">
        <v>25</v>
      </c>
      <c r="L3266" s="26">
        <v>5.0</v>
      </c>
      <c r="M3266" s="26">
        <v>2.0</v>
      </c>
      <c r="N3266" s="26">
        <v>0.0</v>
      </c>
      <c r="O3266" s="26">
        <v>0.0</v>
      </c>
      <c r="P3266" s="26">
        <v>970.0</v>
      </c>
      <c r="Q3266" s="35">
        <v>179.0</v>
      </c>
      <c r="R3266" s="32">
        <v>45636.0</v>
      </c>
      <c r="S3266" s="32">
        <v>42153.0</v>
      </c>
      <c r="T3266" s="29"/>
      <c r="U3266" s="33"/>
      <c r="V3266" s="1"/>
    </row>
    <row r="3267" ht="24.0" customHeight="1">
      <c r="A3267" s="1"/>
      <c r="B3267" s="24" t="str">
        <f>HYPERLINK("https://www.compass.com/listing/348-west-36th-street-unit-6n-manhattan-ny-10018/1622407477618991905/view?agent_id=610d3f3370540700019b0833","348 W 36th St, Unit 6N")</f>
        <v>348 W 36th St, Unit 6N</v>
      </c>
      <c r="C3267" s="25" t="s">
        <v>364</v>
      </c>
      <c r="D3267" s="26" t="s">
        <v>23</v>
      </c>
      <c r="E3267" s="27" t="str">
        <f>HYPERLINK("https://www.compass.com/building/348-w-36th-st-manhattan-ny-10018/281943110194357429/","348 W 36th St")</f>
        <v>348 W 36th St</v>
      </c>
      <c r="F3267" s="25" t="s">
        <v>206</v>
      </c>
      <c r="G3267" s="28">
        <v>1100000.0</v>
      </c>
      <c r="H3267" s="29"/>
      <c r="I3267" s="28">
        <v>1600.0</v>
      </c>
      <c r="J3267" s="28">
        <v>0.0</v>
      </c>
      <c r="K3267" s="25" t="s">
        <v>25</v>
      </c>
      <c r="L3267" s="26">
        <v>4.0</v>
      </c>
      <c r="M3267" s="26">
        <v>2.0</v>
      </c>
      <c r="N3267" s="26">
        <v>1.0</v>
      </c>
      <c r="O3267" s="26">
        <v>0.0</v>
      </c>
      <c r="P3267" s="30"/>
      <c r="Q3267" s="35">
        <v>0.0</v>
      </c>
      <c r="R3267" s="32">
        <v>45736.0</v>
      </c>
      <c r="S3267" s="32">
        <v>45736.0</v>
      </c>
      <c r="T3267" s="29"/>
      <c r="U3267" s="33"/>
      <c r="V3267" s="1"/>
    </row>
    <row r="3268" ht="24.0" customHeight="1">
      <c r="A3268" s="1"/>
      <c r="B3268" s="24" t="str">
        <f>HYPERLINK("https://www.compass.com/listing/360-west-36th-street-unit-2ne-2-manhattan-ny-10018/4852282018286803617/view?agent_id=610d3f3370540700019b0833","360 W 36th St, Unit 2NE (2)")</f>
        <v>360 W 36th St, Unit 2NE (2)</v>
      </c>
      <c r="C3268" s="25" t="s">
        <v>364</v>
      </c>
      <c r="D3268" s="26" t="s">
        <v>23</v>
      </c>
      <c r="E3268" s="27" t="str">
        <f>HYPERLINK("https://www.compass.com/building/360-w-36th-st-manhattan-ny-10018/292844326508101733/","360 W 36th St")</f>
        <v>360 W 36th St</v>
      </c>
      <c r="F3268" s="25" t="s">
        <v>206</v>
      </c>
      <c r="G3268" s="28">
        <v>1975000.0</v>
      </c>
      <c r="H3268" s="28">
        <v>1519.0</v>
      </c>
      <c r="I3268" s="28">
        <v>1765.0</v>
      </c>
      <c r="J3268" s="29"/>
      <c r="K3268" s="25" t="s">
        <v>25</v>
      </c>
      <c r="L3268" s="26">
        <v>3.0</v>
      </c>
      <c r="M3268" s="26">
        <v>2.0</v>
      </c>
      <c r="N3268" s="26">
        <v>1.0</v>
      </c>
      <c r="O3268" s="26">
        <v>0.0</v>
      </c>
      <c r="P3268" s="34">
        <v>1300.0</v>
      </c>
      <c r="Q3268" s="35">
        <v>76.0</v>
      </c>
      <c r="R3268" s="32">
        <v>45636.0</v>
      </c>
      <c r="S3268" s="32">
        <v>42936.0</v>
      </c>
      <c r="T3268" s="29"/>
      <c r="U3268" s="33"/>
      <c r="V3268" s="1"/>
    </row>
    <row r="3269" ht="24.0" customHeight="1">
      <c r="A3269" s="1"/>
      <c r="B3269" s="24" t="str">
        <f>HYPERLINK("https://www.compass.com/listing/310-east-53rd-street-unit-14a-manhattan-ny-10022/1838911850398587945/view?agent_id=610d3f3370540700019b0833","310 E 53rd St, Unit 14A")</f>
        <v>310 E 53rd St, Unit 14A</v>
      </c>
      <c r="C3269" s="25" t="s">
        <v>364</v>
      </c>
      <c r="D3269" s="26" t="s">
        <v>23</v>
      </c>
      <c r="E3269" s="27" t="str">
        <f>HYPERLINK("https://www.compass.com/building/three-ten-manhattan-ny/281953754121571141/","Three Ten")</f>
        <v>Three Ten</v>
      </c>
      <c r="F3269" s="25" t="s">
        <v>66</v>
      </c>
      <c r="G3269" s="28">
        <v>3100000.0</v>
      </c>
      <c r="H3269" s="28">
        <v>1934.0</v>
      </c>
      <c r="I3269" s="28">
        <v>3219.0</v>
      </c>
      <c r="J3269" s="28">
        <v>13152.0</v>
      </c>
      <c r="K3269" s="25" t="s">
        <v>28</v>
      </c>
      <c r="L3269" s="26">
        <v>6.0</v>
      </c>
      <c r="M3269" s="26">
        <v>2.0</v>
      </c>
      <c r="N3269" s="26">
        <v>0.0</v>
      </c>
      <c r="O3269" s="26">
        <v>0.0</v>
      </c>
      <c r="P3269" s="34">
        <v>1603.0</v>
      </c>
      <c r="Q3269" s="35">
        <v>153.0</v>
      </c>
      <c r="R3269" s="32">
        <v>45636.0</v>
      </c>
      <c r="S3269" s="32">
        <v>42110.0</v>
      </c>
      <c r="T3269" s="29"/>
      <c r="U3269" s="33"/>
      <c r="V3269" s="1"/>
    </row>
    <row r="3270" ht="24.0" customHeight="1">
      <c r="A3270" s="1"/>
      <c r="B3270" s="24" t="str">
        <f>HYPERLINK("https://www.compass.com/listing/160-wadsworth-avenue-unit-501-manhattan-ny-10033/1210594427266620417/view?agent_id=610d3f3370540700019b0833","160 Wadsworth Ave, Unit 501")</f>
        <v>160 Wadsworth Ave, Unit 501</v>
      </c>
      <c r="C3270" s="25" t="s">
        <v>365</v>
      </c>
      <c r="D3270" s="26" t="s">
        <v>23</v>
      </c>
      <c r="E3270" s="27" t="str">
        <f t="shared" ref="E3270:E3273" si="98">HYPERLINK("https://www.compass.com/building/broadway-condominium-manhattan-ny/282059964812394661/","Broadway Condominium")</f>
        <v>Broadway Condominium</v>
      </c>
      <c r="F3270" s="25" t="s">
        <v>77</v>
      </c>
      <c r="G3270" s="28">
        <v>620000.0</v>
      </c>
      <c r="H3270" s="29"/>
      <c r="I3270" s="28">
        <v>778.0</v>
      </c>
      <c r="J3270" s="28">
        <v>4200.0</v>
      </c>
      <c r="K3270" s="25" t="s">
        <v>28</v>
      </c>
      <c r="L3270" s="26">
        <v>4.0</v>
      </c>
      <c r="M3270" s="26">
        <v>2.0</v>
      </c>
      <c r="N3270" s="26">
        <v>1.0</v>
      </c>
      <c r="O3270" s="30"/>
      <c r="P3270" s="30"/>
      <c r="Q3270" s="35">
        <v>125.0</v>
      </c>
      <c r="R3270" s="32">
        <v>45047.0</v>
      </c>
      <c r="S3270" s="32">
        <v>44922.0</v>
      </c>
      <c r="T3270" s="29"/>
      <c r="U3270" s="33"/>
      <c r="V3270" s="1"/>
    </row>
    <row r="3271" ht="24.0" customHeight="1">
      <c r="A3271" s="1"/>
      <c r="B3271" s="24" t="str">
        <f>HYPERLINK("https://www.compass.com/listing/160-wadsworth-avenue-unit-500-manhattan-ny-10033/1300854889306638761/view?agent_id=610d3f3370540700019b0833","160 Wadsworth Ave, Unit 500")</f>
        <v>160 Wadsworth Ave, Unit 500</v>
      </c>
      <c r="C3271" s="25" t="s">
        <v>365</v>
      </c>
      <c r="D3271" s="26" t="s">
        <v>23</v>
      </c>
      <c r="E3271" s="27" t="str">
        <f t="shared" si="98"/>
        <v>Broadway Condominium</v>
      </c>
      <c r="F3271" s="25" t="s">
        <v>77</v>
      </c>
      <c r="G3271" s="28">
        <v>599000.0</v>
      </c>
      <c r="H3271" s="29"/>
      <c r="I3271" s="28">
        <v>778.0</v>
      </c>
      <c r="J3271" s="28">
        <v>5136.0</v>
      </c>
      <c r="K3271" s="25" t="s">
        <v>28</v>
      </c>
      <c r="L3271" s="26">
        <v>4.0</v>
      </c>
      <c r="M3271" s="26">
        <v>2.0</v>
      </c>
      <c r="N3271" s="26">
        <v>1.0</v>
      </c>
      <c r="O3271" s="30"/>
      <c r="P3271" s="30"/>
      <c r="Q3271" s="35">
        <v>2.0</v>
      </c>
      <c r="R3271" s="32">
        <v>45048.0</v>
      </c>
      <c r="S3271" s="32">
        <v>45046.0</v>
      </c>
      <c r="T3271" s="29"/>
      <c r="U3271" s="33"/>
      <c r="V3271" s="1"/>
    </row>
    <row r="3272" ht="24.0" customHeight="1">
      <c r="A3272" s="1"/>
      <c r="B3272" s="24" t="str">
        <f>HYPERLINK("https://www.compass.com/listing/160-wadsworth-avenue-unit-500-manhattan-ny-10033/1301857097942771393/view?agent_id=610d3f3370540700019b0833","160 Wadsworth Ave, Unit 500")</f>
        <v>160 Wadsworth Ave, Unit 500</v>
      </c>
      <c r="C3272" s="25" t="s">
        <v>370</v>
      </c>
      <c r="D3272" s="26" t="s">
        <v>23</v>
      </c>
      <c r="E3272" s="27" t="str">
        <f t="shared" si="98"/>
        <v>Broadway Condominium</v>
      </c>
      <c r="F3272" s="25" t="s">
        <v>77</v>
      </c>
      <c r="G3272" s="28">
        <v>599000.0</v>
      </c>
      <c r="H3272" s="29"/>
      <c r="I3272" s="28">
        <v>778.0</v>
      </c>
      <c r="J3272" s="28">
        <v>5136.0</v>
      </c>
      <c r="K3272" s="25" t="s">
        <v>28</v>
      </c>
      <c r="L3272" s="26">
        <v>4.0</v>
      </c>
      <c r="M3272" s="26">
        <v>2.0</v>
      </c>
      <c r="N3272" s="26">
        <v>1.0</v>
      </c>
      <c r="O3272" s="30"/>
      <c r="P3272" s="30"/>
      <c r="Q3272" s="35">
        <v>2.0</v>
      </c>
      <c r="R3272" s="32">
        <v>45253.0</v>
      </c>
      <c r="S3272" s="32">
        <v>45047.0</v>
      </c>
      <c r="T3272" s="29"/>
      <c r="U3272" s="33"/>
      <c r="V3272" s="1"/>
    </row>
    <row r="3273" ht="24.0" customHeight="1">
      <c r="A3273" s="1"/>
      <c r="B3273" s="24" t="str">
        <f>HYPERLINK("https://www.compass.com/listing/160-wadsworth-avenue-unit-501-manhattan-ny-10033/1302330460591201049/view?agent_id=610d3f3370540700019b0833","160 Wadsworth Ave, Unit 501")</f>
        <v>160 Wadsworth Ave, Unit 501</v>
      </c>
      <c r="C3273" s="25" t="s">
        <v>365</v>
      </c>
      <c r="D3273" s="26" t="s">
        <v>23</v>
      </c>
      <c r="E3273" s="27" t="str">
        <f t="shared" si="98"/>
        <v>Broadway Condominium</v>
      </c>
      <c r="F3273" s="25" t="s">
        <v>77</v>
      </c>
      <c r="G3273" s="28">
        <v>599000.0</v>
      </c>
      <c r="H3273" s="29"/>
      <c r="I3273" s="28">
        <v>778.0</v>
      </c>
      <c r="J3273" s="28">
        <v>4200.0</v>
      </c>
      <c r="K3273" s="25" t="s">
        <v>28</v>
      </c>
      <c r="L3273" s="26">
        <v>4.0</v>
      </c>
      <c r="M3273" s="26">
        <v>2.0</v>
      </c>
      <c r="N3273" s="26">
        <v>1.0</v>
      </c>
      <c r="O3273" s="30"/>
      <c r="P3273" s="30"/>
      <c r="Q3273" s="35">
        <v>50.0</v>
      </c>
      <c r="R3273" s="32">
        <v>45099.0</v>
      </c>
      <c r="S3273" s="32">
        <v>45048.0</v>
      </c>
      <c r="T3273" s="29"/>
      <c r="U3273" s="33"/>
      <c r="V3273" s="1"/>
    </row>
    <row r="3274" ht="24.0" customHeight="1">
      <c r="A3274" s="1"/>
      <c r="B3274" s="24" t="str">
        <f>HYPERLINK("https://www.compass.com/listing/4260-broadway-unit-400-manhattan-ny-10033/841306761247270561/view?agent_id=610d3f3370540700019b0833","4260 Broadway, Unit 400")</f>
        <v>4260 Broadway, Unit 400</v>
      </c>
      <c r="C3274" s="25" t="s">
        <v>365</v>
      </c>
      <c r="D3274" s="26" t="s">
        <v>23</v>
      </c>
      <c r="E3274" s="27" t="str">
        <f>HYPERLINK("https://www.compass.com/building/the-belford-manhattan-ny/282011677954673141/","The Belford")</f>
        <v>The Belford</v>
      </c>
      <c r="F3274" s="25" t="s">
        <v>77</v>
      </c>
      <c r="G3274" s="28">
        <v>500000.0</v>
      </c>
      <c r="H3274" s="29"/>
      <c r="I3274" s="28">
        <v>1090.0</v>
      </c>
      <c r="J3274" s="28">
        <v>6168.0</v>
      </c>
      <c r="K3274" s="25" t="s">
        <v>28</v>
      </c>
      <c r="L3274" s="26">
        <v>4.0</v>
      </c>
      <c r="M3274" s="26">
        <v>2.0</v>
      </c>
      <c r="N3274" s="26">
        <v>1.0</v>
      </c>
      <c r="O3274" s="26">
        <v>0.0</v>
      </c>
      <c r="P3274" s="30"/>
      <c r="Q3274" s="35">
        <v>0.0</v>
      </c>
      <c r="R3274" s="32">
        <v>45181.0</v>
      </c>
      <c r="S3274" s="32">
        <v>44413.0</v>
      </c>
      <c r="T3274" s="29"/>
      <c r="U3274" s="33"/>
      <c r="V3274" s="1"/>
    </row>
    <row r="3275" ht="24.0" customHeight="1">
      <c r="A3275" s="1"/>
      <c r="B3275" s="24" t="str">
        <f>HYPERLINK("https://www.compass.com/listing/322-west-57th-street-unit-53k-manhattan-ny-10019/4852276771732588017/view?agent_id=610d3f3370540700019b0833","322 W 57th St, Unit 53K")</f>
        <v>322 W 57th St, Unit 53K</v>
      </c>
      <c r="C3275" s="25" t="s">
        <v>364</v>
      </c>
      <c r="D3275" s="26" t="s">
        <v>23</v>
      </c>
      <c r="E3275" s="27" t="str">
        <f>HYPERLINK("https://www.compass.com/building/the-sheffield-manhattan-ny/281944838096613477/","The Sheffield")</f>
        <v>The Sheffield</v>
      </c>
      <c r="F3275" s="25" t="s">
        <v>47</v>
      </c>
      <c r="G3275" s="28">
        <v>2095000.0</v>
      </c>
      <c r="H3275" s="28">
        <v>1752.0</v>
      </c>
      <c r="I3275" s="28">
        <v>2650.0</v>
      </c>
      <c r="J3275" s="28">
        <v>18456.0</v>
      </c>
      <c r="K3275" s="25" t="s">
        <v>28</v>
      </c>
      <c r="L3275" s="26">
        <v>4.0</v>
      </c>
      <c r="M3275" s="26">
        <v>2.0</v>
      </c>
      <c r="N3275" s="26">
        <v>0.0</v>
      </c>
      <c r="O3275" s="26">
        <v>0.0</v>
      </c>
      <c r="P3275" s="34">
        <v>1196.0</v>
      </c>
      <c r="Q3275" s="35">
        <v>441.0</v>
      </c>
      <c r="R3275" s="32">
        <v>45636.0</v>
      </c>
      <c r="S3275" s="32">
        <v>42495.0</v>
      </c>
      <c r="T3275" s="29"/>
      <c r="U3275" s="33"/>
      <c r="V3275" s="1"/>
    </row>
    <row r="3276" ht="24.0" customHeight="1">
      <c r="A3276" s="1"/>
      <c r="B3276" s="24" t="str">
        <f>HYPERLINK("https://www.compass.com/listing/300-east-55th-street-unit-9b-manhattan-ny-10022/803361861936238729/view?agent_id=610d3f3370540700019b0833","300 E 55th St, Unit 9B")</f>
        <v>300 E 55th St, Unit 9B</v>
      </c>
      <c r="C3276" s="25" t="s">
        <v>364</v>
      </c>
      <c r="D3276" s="26" t="s">
        <v>23</v>
      </c>
      <c r="E3276" s="27" t="str">
        <f>HYPERLINK("https://www.compass.com/building/milan-condominium-manhattan-ny/281953557450656453/","Milan Condominium")</f>
        <v>Milan Condominium</v>
      </c>
      <c r="F3276" s="25" t="s">
        <v>73</v>
      </c>
      <c r="G3276" s="28">
        <v>3500000.0</v>
      </c>
      <c r="H3276" s="28">
        <v>2280.0</v>
      </c>
      <c r="I3276" s="28">
        <v>3175.0</v>
      </c>
      <c r="J3276" s="28">
        <v>21852.0</v>
      </c>
      <c r="K3276" s="25" t="s">
        <v>28</v>
      </c>
      <c r="L3276" s="26">
        <v>4.0</v>
      </c>
      <c r="M3276" s="26">
        <v>2.0</v>
      </c>
      <c r="N3276" s="26">
        <v>0.0</v>
      </c>
      <c r="O3276" s="26">
        <v>0.0</v>
      </c>
      <c r="P3276" s="34">
        <v>1535.0</v>
      </c>
      <c r="Q3276" s="35">
        <v>146.0</v>
      </c>
      <c r="R3276" s="32">
        <v>45636.0</v>
      </c>
      <c r="S3276" s="32">
        <v>42303.0</v>
      </c>
      <c r="T3276" s="29"/>
      <c r="U3276" s="33"/>
      <c r="V3276" s="1"/>
    </row>
    <row r="3277" ht="24.0" customHeight="1">
      <c r="A3277" s="1"/>
      <c r="B3277" s="24" t="str">
        <f>HYPERLINK("https://www.compass.com/listing/322-west-57th-street-unit-36p-manhattan-ny-10019/4824086714836334353/view?agent_id=610d3f3370540700019b0833","322 W 57th St, Unit 36P")</f>
        <v>322 W 57th St, Unit 36P</v>
      </c>
      <c r="C3277" s="25" t="s">
        <v>364</v>
      </c>
      <c r="D3277" s="26" t="s">
        <v>23</v>
      </c>
      <c r="E3277" s="27" t="str">
        <f>HYPERLINK("https://www.compass.com/building/the-sheffield-manhattan-ny/281944838096613477/","The Sheffield")</f>
        <v>The Sheffield</v>
      </c>
      <c r="F3277" s="25" t="s">
        <v>47</v>
      </c>
      <c r="G3277" s="28">
        <v>3250000.0</v>
      </c>
      <c r="H3277" s="28">
        <v>2268.0</v>
      </c>
      <c r="I3277" s="28">
        <v>3459.0</v>
      </c>
      <c r="J3277" s="28">
        <v>25908.0</v>
      </c>
      <c r="K3277" s="25" t="s">
        <v>28</v>
      </c>
      <c r="L3277" s="26">
        <v>7.0</v>
      </c>
      <c r="M3277" s="26">
        <v>2.0</v>
      </c>
      <c r="N3277" s="26">
        <v>0.0</v>
      </c>
      <c r="O3277" s="26">
        <v>0.0</v>
      </c>
      <c r="P3277" s="34">
        <v>1433.0</v>
      </c>
      <c r="Q3277" s="35">
        <v>180.0</v>
      </c>
      <c r="R3277" s="32">
        <v>45636.0</v>
      </c>
      <c r="S3277" s="32">
        <v>42901.0</v>
      </c>
      <c r="T3277" s="29"/>
      <c r="U3277" s="33"/>
      <c r="V3277" s="1"/>
    </row>
    <row r="3278" ht="24.0" customHeight="1">
      <c r="A3278" s="1"/>
      <c r="B3278" s="24" t="str">
        <f>HYPERLINK("https://www.compass.com/listing/430-east-57th-street-unit-11a-manhattan-ny-10022/803331313461151521/view?agent_id=610d3f3370540700019b0833","430 E 57th St, Unit 11A")</f>
        <v>430 E 57th St, Unit 11A</v>
      </c>
      <c r="C3278" s="25" t="s">
        <v>364</v>
      </c>
      <c r="D3278" s="26" t="s">
        <v>23</v>
      </c>
      <c r="E3278" s="27" t="str">
        <f>HYPERLINK("https://www.compass.com/building/430-e-57th-st-manhattan-ny-10022/281955192751067237/","430 E 57th St")</f>
        <v>430 E 57th St</v>
      </c>
      <c r="F3278" s="25" t="s">
        <v>73</v>
      </c>
      <c r="G3278" s="28">
        <v>2150000.0</v>
      </c>
      <c r="H3278" s="29"/>
      <c r="I3278" s="28">
        <v>3783.0</v>
      </c>
      <c r="J3278" s="29"/>
      <c r="K3278" s="25" t="s">
        <v>110</v>
      </c>
      <c r="L3278" s="26">
        <v>6.0</v>
      </c>
      <c r="M3278" s="26">
        <v>2.0</v>
      </c>
      <c r="N3278" s="26">
        <v>0.0</v>
      </c>
      <c r="O3278" s="26">
        <v>0.0</v>
      </c>
      <c r="P3278" s="30"/>
      <c r="Q3278" s="35">
        <v>419.0</v>
      </c>
      <c r="R3278" s="32">
        <v>45636.0</v>
      </c>
      <c r="S3278" s="32">
        <v>41927.0</v>
      </c>
      <c r="T3278" s="29"/>
      <c r="U3278" s="33"/>
      <c r="V3278" s="1"/>
    </row>
    <row r="3279" ht="24.0" customHeight="1">
      <c r="A3279" s="1"/>
      <c r="B3279" s="24" t="str">
        <f>HYPERLINK("https://www.compass.com/listing/160-wadsworth-avenue-unit-501-manhattan-ny-10033/1406333494623422017/view?agent_id=610d3f3370540700019b0833","160 Wadsworth Ave, Unit 501")</f>
        <v>160 Wadsworth Ave, Unit 501</v>
      </c>
      <c r="C3279" s="25" t="s">
        <v>364</v>
      </c>
      <c r="D3279" s="26" t="s">
        <v>23</v>
      </c>
      <c r="E3279" s="27" t="str">
        <f>HYPERLINK("https://www.compass.com/building/broadway-condominium-manhattan-ny/282059964812394661/","Broadway Condominium")</f>
        <v>Broadway Condominium</v>
      </c>
      <c r="F3279" s="25" t="s">
        <v>77</v>
      </c>
      <c r="G3279" s="28">
        <v>498000.0</v>
      </c>
      <c r="H3279" s="28">
        <v>629.0</v>
      </c>
      <c r="I3279" s="28">
        <v>1054.0</v>
      </c>
      <c r="J3279" s="28">
        <v>6516.0</v>
      </c>
      <c r="K3279" s="25" t="s">
        <v>28</v>
      </c>
      <c r="L3279" s="26">
        <v>4.0</v>
      </c>
      <c r="M3279" s="26">
        <v>2.0</v>
      </c>
      <c r="N3279" s="26">
        <v>1.0</v>
      </c>
      <c r="O3279" s="30"/>
      <c r="P3279" s="26">
        <v>792.0</v>
      </c>
      <c r="Q3279" s="35">
        <v>129.0</v>
      </c>
      <c r="R3279" s="32">
        <v>45428.0</v>
      </c>
      <c r="S3279" s="32">
        <v>45192.0</v>
      </c>
      <c r="T3279" s="29"/>
      <c r="U3279" s="33"/>
      <c r="V3279" s="1"/>
    </row>
    <row r="3280" ht="24.0" customHeight="1">
      <c r="A3280" s="1"/>
      <c r="B3280" s="24" t="str">
        <f>HYPERLINK("https://www.compass.com/listing/117-east-57th-street-unit-43cd-manhattan-ny-10022/1838909053460659457/view?agent_id=610d3f3370540700019b0833","117 E 57th St, Unit 43CD")</f>
        <v>117 E 57th St, Unit 43CD</v>
      </c>
      <c r="C3280" s="25" t="s">
        <v>364</v>
      </c>
      <c r="D3280" s="26" t="s">
        <v>23</v>
      </c>
      <c r="E3280" s="27" t="str">
        <f>HYPERLINK("https://www.compass.com/building/the-galleria-manhattan-ny/281952505007506837/","The Galleria")</f>
        <v>The Galleria</v>
      </c>
      <c r="F3280" s="25" t="s">
        <v>66</v>
      </c>
      <c r="G3280" s="28">
        <v>3298000.0</v>
      </c>
      <c r="H3280" s="28">
        <v>1814.0</v>
      </c>
      <c r="I3280" s="28">
        <v>5164.0</v>
      </c>
      <c r="J3280" s="28">
        <v>28104.0</v>
      </c>
      <c r="K3280" s="25" t="s">
        <v>28</v>
      </c>
      <c r="L3280" s="26">
        <v>6.0</v>
      </c>
      <c r="M3280" s="26">
        <v>2.0</v>
      </c>
      <c r="N3280" s="26">
        <v>0.0</v>
      </c>
      <c r="O3280" s="26">
        <v>0.0</v>
      </c>
      <c r="P3280" s="34">
        <v>1818.0</v>
      </c>
      <c r="Q3280" s="35">
        <v>165.0</v>
      </c>
      <c r="R3280" s="32">
        <v>45636.0</v>
      </c>
      <c r="S3280" s="32">
        <v>43007.0</v>
      </c>
      <c r="T3280" s="29"/>
      <c r="U3280" s="33"/>
      <c r="V3280" s="1"/>
    </row>
    <row r="3281" ht="24.0" customHeight="1">
      <c r="A3281" s="1"/>
      <c r="B3281" s="24" t="str">
        <f>HYPERLINK("https://www.compass.com/listing/130-bradhurst-avenue-unit-213-manhattan-ny-10039/29433957195997665/view?agent_id=610d3f3370540700019b0833","130 Bradhurst Ave, Unit 213")</f>
        <v>130 Bradhurst Ave, Unit 213</v>
      </c>
      <c r="C3281" s="25" t="s">
        <v>364</v>
      </c>
      <c r="D3281" s="26" t="s">
        <v>23</v>
      </c>
      <c r="E3281" s="27" t="str">
        <f>HYPERLINK("https://www.compass.com/building/ellington-on-the-park-manhattan-ny/282030998839899349/","Ellington on the Park")</f>
        <v>Ellington on the Park</v>
      </c>
      <c r="F3281" s="25" t="s">
        <v>32</v>
      </c>
      <c r="G3281" s="28">
        <v>430000.0</v>
      </c>
      <c r="H3281" s="28">
        <v>516.0</v>
      </c>
      <c r="I3281" s="28">
        <v>776.0</v>
      </c>
      <c r="J3281" s="29"/>
      <c r="K3281" s="25" t="s">
        <v>49</v>
      </c>
      <c r="L3281" s="26">
        <v>4.0</v>
      </c>
      <c r="M3281" s="26">
        <v>2.0</v>
      </c>
      <c r="N3281" s="26">
        <v>1.0</v>
      </c>
      <c r="O3281" s="26">
        <v>0.0</v>
      </c>
      <c r="P3281" s="26">
        <v>833.0</v>
      </c>
      <c r="Q3281" s="35">
        <v>119.0</v>
      </c>
      <c r="R3281" s="32">
        <v>45636.0</v>
      </c>
      <c r="S3281" s="32">
        <v>42214.0</v>
      </c>
      <c r="T3281" s="29"/>
      <c r="U3281" s="33"/>
      <c r="V3281" s="1"/>
    </row>
    <row r="3282" ht="24.0" customHeight="1">
      <c r="A3282" s="1"/>
      <c r="B3282" s="24" t="str">
        <f>HYPERLINK("https://www.compass.com/listing/160-wadsworth-avenue-unit-203-manhattan-ny-10033/41854461408251569/view?agent_id=610d3f3370540700019b0833","160 Wadsworth Ave, Unit 203")</f>
        <v>160 Wadsworth Ave, Unit 203</v>
      </c>
      <c r="C3282" s="25" t="s">
        <v>364</v>
      </c>
      <c r="D3282" s="26" t="s">
        <v>23</v>
      </c>
      <c r="E3282" s="27" t="str">
        <f t="shared" ref="E3282:E3283" si="99">HYPERLINK("https://www.compass.com/building/broadway-condominium-manhattan-ny/282059964812394661/","Broadway Condominium")</f>
        <v>Broadway Condominium</v>
      </c>
      <c r="F3282" s="25" t="s">
        <v>77</v>
      </c>
      <c r="G3282" s="28">
        <v>524900.0</v>
      </c>
      <c r="H3282" s="29"/>
      <c r="I3282" s="28">
        <v>877.0</v>
      </c>
      <c r="J3282" s="28">
        <v>5124.0</v>
      </c>
      <c r="K3282" s="25" t="s">
        <v>28</v>
      </c>
      <c r="L3282" s="26">
        <v>4.0</v>
      </c>
      <c r="M3282" s="26">
        <v>2.0</v>
      </c>
      <c r="N3282" s="30"/>
      <c r="O3282" s="30"/>
      <c r="P3282" s="30"/>
      <c r="Q3282" s="35">
        <v>77.0</v>
      </c>
      <c r="R3282" s="32">
        <v>43388.0</v>
      </c>
      <c r="S3282" s="32">
        <v>43311.0</v>
      </c>
      <c r="T3282" s="29"/>
      <c r="U3282" s="33"/>
      <c r="V3282" s="1"/>
    </row>
    <row r="3283" ht="24.0" customHeight="1">
      <c r="A3283" s="1"/>
      <c r="B3283" s="24" t="str">
        <f>HYPERLINK("https://www.compass.com/listing/160-wadsworth-avenue-unit-203-manhattan-ny-10033/593471083494160337/view?agent_id=610d3f3370540700019b0833","160 Wadsworth Ave, Unit 203")</f>
        <v>160 Wadsworth Ave, Unit 203</v>
      </c>
      <c r="C3283" s="25" t="s">
        <v>364</v>
      </c>
      <c r="D3283" s="26" t="s">
        <v>23</v>
      </c>
      <c r="E3283" s="27" t="str">
        <f t="shared" si="99"/>
        <v>Broadway Condominium</v>
      </c>
      <c r="F3283" s="25" t="s">
        <v>77</v>
      </c>
      <c r="G3283" s="28">
        <v>550000.0</v>
      </c>
      <c r="H3283" s="29"/>
      <c r="I3283" s="28">
        <v>1287.0</v>
      </c>
      <c r="J3283" s="28">
        <v>7116.0</v>
      </c>
      <c r="K3283" s="25" t="s">
        <v>28</v>
      </c>
      <c r="L3283" s="26">
        <v>4.0</v>
      </c>
      <c r="M3283" s="26">
        <v>2.0</v>
      </c>
      <c r="N3283" s="26">
        <v>1.0</v>
      </c>
      <c r="O3283" s="26">
        <v>0.0</v>
      </c>
      <c r="P3283" s="30"/>
      <c r="Q3283" s="35">
        <v>26.0</v>
      </c>
      <c r="R3283" s="32">
        <v>44097.0</v>
      </c>
      <c r="S3283" s="32">
        <v>44071.0</v>
      </c>
      <c r="T3283" s="29"/>
      <c r="U3283" s="33"/>
      <c r="V3283" s="1"/>
    </row>
    <row r="3284" ht="24.0" customHeight="1">
      <c r="A3284" s="1"/>
      <c r="B3284" s="24" t="str">
        <f>HYPERLINK("https://www.compass.com/listing/157-west-57th-street-unit-40f-manhattan-ny-10019/29512836040366145/view?agent_id=610d3f3370540700019b0833","157 W 57th St, Unit 40F")</f>
        <v>157 W 57th St, Unit 40F</v>
      </c>
      <c r="C3284" s="25" t="s">
        <v>364</v>
      </c>
      <c r="D3284" s="26" t="s">
        <v>23</v>
      </c>
      <c r="E3284" s="27" t="str">
        <f>HYPERLINK("https://www.compass.com/building/one57-manhattan-ny/281944030214942309/","One57")</f>
        <v>One57</v>
      </c>
      <c r="F3284" s="25" t="s">
        <v>195</v>
      </c>
      <c r="G3284" s="28">
        <v>1.0995E7</v>
      </c>
      <c r="H3284" s="28">
        <v>4510.0</v>
      </c>
      <c r="I3284" s="28">
        <v>4022.0</v>
      </c>
      <c r="J3284" s="28">
        <v>12996.0</v>
      </c>
      <c r="K3284" s="25" t="s">
        <v>28</v>
      </c>
      <c r="L3284" s="26">
        <v>4.0</v>
      </c>
      <c r="M3284" s="26">
        <v>2.0</v>
      </c>
      <c r="N3284" s="26">
        <v>0.0</v>
      </c>
      <c r="O3284" s="26">
        <v>0.0</v>
      </c>
      <c r="P3284" s="34">
        <v>2438.0</v>
      </c>
      <c r="Q3284" s="35">
        <v>489.0</v>
      </c>
      <c r="R3284" s="32">
        <v>44581.0</v>
      </c>
      <c r="S3284" s="32">
        <v>42388.0</v>
      </c>
      <c r="T3284" s="29"/>
      <c r="U3284" s="33"/>
      <c r="V3284" s="1"/>
    </row>
    <row r="3285" ht="24.0" customHeight="1">
      <c r="A3285" s="1"/>
      <c r="B3285" s="24" t="str">
        <f>HYPERLINK("https://www.compass.com/listing/25-sutton-place-south-unit-5m-manhattan-ny-10022/793213425085309689/view?agent_id=610d3f3370540700019b0833","25 Sutton Pl S, Unit 5M")</f>
        <v>25 Sutton Pl S, Unit 5M</v>
      </c>
      <c r="C3285" s="25" t="s">
        <v>364</v>
      </c>
      <c r="D3285" s="26" t="s">
        <v>23</v>
      </c>
      <c r="E3285" s="27" t="str">
        <f>HYPERLINK("https://www.compass.com/building/cannon-point-north-manhattan-ny/281953471601643749/","Cannon Point North")</f>
        <v>Cannon Point North</v>
      </c>
      <c r="F3285" s="25" t="s">
        <v>73</v>
      </c>
      <c r="G3285" s="28">
        <v>1495000.0</v>
      </c>
      <c r="H3285" s="29"/>
      <c r="I3285" s="28">
        <v>3325.0</v>
      </c>
      <c r="J3285" s="29"/>
      <c r="K3285" s="25" t="s">
        <v>25</v>
      </c>
      <c r="L3285" s="26">
        <v>4.0</v>
      </c>
      <c r="M3285" s="26">
        <v>2.0</v>
      </c>
      <c r="N3285" s="26">
        <v>0.0</v>
      </c>
      <c r="O3285" s="26">
        <v>0.0</v>
      </c>
      <c r="P3285" s="30"/>
      <c r="Q3285" s="35">
        <v>6.0</v>
      </c>
      <c r="R3285" s="32">
        <v>45636.0</v>
      </c>
      <c r="S3285" s="32">
        <v>43146.0</v>
      </c>
      <c r="T3285" s="29"/>
      <c r="U3285" s="33"/>
      <c r="V3285" s="1"/>
    </row>
    <row r="3286" ht="24.0" customHeight="1">
      <c r="A3286" s="1"/>
      <c r="B3286" s="24" t="str">
        <f>HYPERLINK("https://www.compass.com/listing/456-west-167th-street-unit-phe-manhattan-ny-10032/1501653733056139353/view?agent_id=610d3f3370540700019b0833","456 W 167th St, Unit PHE")</f>
        <v>456 W 167th St, Unit PHE</v>
      </c>
      <c r="C3286" s="25" t="s">
        <v>364</v>
      </c>
      <c r="D3286" s="26" t="s">
        <v>23</v>
      </c>
      <c r="E3286" s="27" t="str">
        <f>HYPERLINK("https://www.compass.com/building/edgecombe-parc-manhattan-ny/282005897969005013/","Edgecombe Parc")</f>
        <v>Edgecombe Parc</v>
      </c>
      <c r="F3286" s="25" t="s">
        <v>77</v>
      </c>
      <c r="G3286" s="28">
        <v>565000.0</v>
      </c>
      <c r="H3286" s="28">
        <v>741.0</v>
      </c>
      <c r="I3286" s="28">
        <v>1868.0</v>
      </c>
      <c r="J3286" s="28">
        <v>11964.0</v>
      </c>
      <c r="K3286" s="25" t="s">
        <v>28</v>
      </c>
      <c r="L3286" s="26">
        <v>4.0</v>
      </c>
      <c r="M3286" s="26">
        <v>2.0</v>
      </c>
      <c r="N3286" s="26">
        <v>1.0</v>
      </c>
      <c r="O3286" s="30"/>
      <c r="P3286" s="26">
        <v>762.0</v>
      </c>
      <c r="Q3286" s="35">
        <v>67.0</v>
      </c>
      <c r="R3286" s="32">
        <v>45391.0</v>
      </c>
      <c r="S3286" s="32">
        <v>45323.0</v>
      </c>
      <c r="T3286" s="29"/>
      <c r="U3286" s="33"/>
      <c r="V3286" s="1"/>
    </row>
    <row r="3287" ht="24.0" customHeight="1">
      <c r="A3287" s="1"/>
      <c r="B3287" s="24" t="str">
        <f>HYPERLINK("https://www.compass.com/listing/345-east-56th-street-unit-12g-manhattan-ny-10022/4852317787386818961/view?agent_id=610d3f3370540700019b0833","345 E 56th St, Unit 12G")</f>
        <v>345 E 56th St, Unit 12G</v>
      </c>
      <c r="C3287" s="25" t="s">
        <v>370</v>
      </c>
      <c r="D3287" s="26" t="s">
        <v>23</v>
      </c>
      <c r="E3287" s="27" t="str">
        <f>HYPERLINK("https://www.compass.com/building/sutton-east-manhattan-ny/281954565367075957/","Sutton East")</f>
        <v>Sutton East</v>
      </c>
      <c r="F3287" s="25" t="s">
        <v>73</v>
      </c>
      <c r="G3287" s="28">
        <v>1400000.0</v>
      </c>
      <c r="H3287" s="28">
        <v>1037.0</v>
      </c>
      <c r="I3287" s="28">
        <v>2554.0</v>
      </c>
      <c r="J3287" s="29"/>
      <c r="K3287" s="25" t="s">
        <v>25</v>
      </c>
      <c r="L3287" s="26">
        <v>5.0</v>
      </c>
      <c r="M3287" s="26">
        <v>2.0</v>
      </c>
      <c r="N3287" s="26">
        <v>0.0</v>
      </c>
      <c r="O3287" s="26">
        <v>0.0</v>
      </c>
      <c r="P3287" s="34">
        <v>1350.0</v>
      </c>
      <c r="Q3287" s="35">
        <v>59.0</v>
      </c>
      <c r="R3287" s="32">
        <v>45636.0</v>
      </c>
      <c r="S3287" s="32">
        <v>41887.0</v>
      </c>
      <c r="T3287" s="29"/>
      <c r="U3287" s="33"/>
      <c r="V3287" s="1"/>
    </row>
    <row r="3288" ht="24.0" customHeight="1">
      <c r="A3288" s="1"/>
      <c r="B3288" s="24" t="str">
        <f>HYPERLINK("https://www.compass.com/listing/427-west-154th-street-unit-6-manhattan-ny-10032/29434548307674737/view?agent_id=610d3f3370540700019b0833","427 W 154th St, Unit 6")</f>
        <v>427 W 154th St, Unit 6</v>
      </c>
      <c r="C3288" s="25" t="s">
        <v>364</v>
      </c>
      <c r="D3288" s="26" t="s">
        <v>23</v>
      </c>
      <c r="E3288" s="27" t="str">
        <f>HYPERLINK("https://www.compass.com/building/427-w-154th-st-manhattan-ny-10032/282005560126208341/","427 W 154th St")</f>
        <v>427 W 154th St</v>
      </c>
      <c r="F3288" s="25" t="s">
        <v>71</v>
      </c>
      <c r="G3288" s="28">
        <v>610000.0</v>
      </c>
      <c r="H3288" s="28">
        <v>713.0</v>
      </c>
      <c r="I3288" s="28">
        <v>623.0</v>
      </c>
      <c r="J3288" s="28">
        <v>1432.0</v>
      </c>
      <c r="K3288" s="25" t="s">
        <v>28</v>
      </c>
      <c r="L3288" s="26">
        <v>4.0</v>
      </c>
      <c r="M3288" s="26">
        <v>2.0</v>
      </c>
      <c r="N3288" s="26">
        <v>1.0</v>
      </c>
      <c r="O3288" s="26">
        <v>0.0</v>
      </c>
      <c r="P3288" s="26">
        <v>856.0</v>
      </c>
      <c r="Q3288" s="35">
        <v>111.0</v>
      </c>
      <c r="R3288" s="32">
        <v>45636.0</v>
      </c>
      <c r="S3288" s="32">
        <v>42787.0</v>
      </c>
      <c r="T3288" s="29"/>
      <c r="U3288" s="33"/>
      <c r="V3288" s="1"/>
    </row>
    <row r="3289" ht="24.0" customHeight="1">
      <c r="A3289" s="1"/>
      <c r="B3289" s="24" t="str">
        <f>HYPERLINK("https://www.compass.com/listing/347-west-39th-street-unit-12e-manhattan-ny-10018/79563256955501713/view?agent_id=610d3f3370540700019b0833","347 W 39th St, Unit 12E")</f>
        <v>347 W 39th St, Unit 12E</v>
      </c>
      <c r="C3289" s="25" t="s">
        <v>364</v>
      </c>
      <c r="D3289" s="26" t="s">
        <v>23</v>
      </c>
      <c r="E3289" s="27" t="str">
        <f>HYPERLINK("https://www.compass.com/building/347-w-39th-st-manhattan-ny-10018/281943106788584309/","347 W 39th St")</f>
        <v>347 W 39th St</v>
      </c>
      <c r="F3289" s="25" t="s">
        <v>206</v>
      </c>
      <c r="G3289" s="28">
        <v>1350000.0</v>
      </c>
      <c r="H3289" s="29"/>
      <c r="I3289" s="28">
        <v>2561.0</v>
      </c>
      <c r="J3289" s="29"/>
      <c r="K3289" s="25" t="s">
        <v>25</v>
      </c>
      <c r="L3289" s="26">
        <v>5.0</v>
      </c>
      <c r="M3289" s="26">
        <v>2.0</v>
      </c>
      <c r="N3289" s="26">
        <v>0.0</v>
      </c>
      <c r="O3289" s="26">
        <v>0.0</v>
      </c>
      <c r="P3289" s="30"/>
      <c r="Q3289" s="35">
        <v>266.0</v>
      </c>
      <c r="R3289" s="32">
        <v>44581.0</v>
      </c>
      <c r="S3289" s="32">
        <v>41194.0</v>
      </c>
      <c r="T3289" s="29"/>
      <c r="U3289" s="33"/>
      <c r="V3289" s="1"/>
    </row>
    <row r="3290" ht="24.0" customHeight="1">
      <c r="A3290" s="1"/>
      <c r="B3290" s="24" t="str">
        <f>HYPERLINK("https://www.compass.com/listing/10-slocum-place-unit-5b-brooklyn-ny-11218/612026623816205097/view?agent_id=610d3f3370540700019b0833","10 Slocum Pl, Unit 5B")</f>
        <v>10 Slocum Pl, Unit 5B</v>
      </c>
      <c r="C3290" s="25" t="s">
        <v>364</v>
      </c>
      <c r="D3290" s="26" t="s">
        <v>23</v>
      </c>
      <c r="E3290" s="27" t="str">
        <f>HYPERLINK("https://www.compass.com/building/beverly-square-condominiums-brooklyn-ny/307443586698145829/","Beverly Square Condominiums")</f>
        <v>Beverly Square Condominiums</v>
      </c>
      <c r="F3290" s="25" t="s">
        <v>172</v>
      </c>
      <c r="G3290" s="28">
        <v>899000.0</v>
      </c>
      <c r="H3290" s="28">
        <v>921.0</v>
      </c>
      <c r="I3290" s="28">
        <v>424.0</v>
      </c>
      <c r="J3290" s="28">
        <v>1812.0</v>
      </c>
      <c r="K3290" s="25" t="s">
        <v>28</v>
      </c>
      <c r="L3290" s="26">
        <v>4.0</v>
      </c>
      <c r="M3290" s="26">
        <v>2.0</v>
      </c>
      <c r="N3290" s="26">
        <v>0.0</v>
      </c>
      <c r="O3290" s="30"/>
      <c r="P3290" s="26">
        <v>976.0</v>
      </c>
      <c r="Q3290" s="35">
        <v>83.0</v>
      </c>
      <c r="R3290" s="32">
        <v>44186.0</v>
      </c>
      <c r="S3290" s="32">
        <v>44103.0</v>
      </c>
      <c r="T3290" s="29"/>
      <c r="U3290" s="33"/>
      <c r="V3290" s="1"/>
    </row>
    <row r="3291" ht="24.0" customHeight="1">
      <c r="A3291" s="1"/>
      <c r="B3291" s="24" t="str">
        <f>HYPERLINK("https://www.compass.com/listing/801-riverside-drive-unit-4f-manhattan-ny-10032/1111558944944271801/view?agent_id=610d3f3370540700019b0833","801 Riverside Dr, Unit 4F")</f>
        <v>801 Riverside Dr, Unit 4F</v>
      </c>
      <c r="C3291" s="25" t="s">
        <v>364</v>
      </c>
      <c r="D3291" s="26" t="s">
        <v>23</v>
      </c>
      <c r="E3291" s="27" t="str">
        <f t="shared" ref="E3291:E3292" si="100">HYPERLINK("https://www.compass.com/building/801-riverside-dr-manhattan-ny-10032/282009348731831205/","801 Riverside Dr")</f>
        <v>801 Riverside Dr</v>
      </c>
      <c r="F3291" s="25" t="s">
        <v>77</v>
      </c>
      <c r="G3291" s="28">
        <v>699000.0</v>
      </c>
      <c r="H3291" s="28">
        <v>791.0</v>
      </c>
      <c r="I3291" s="28">
        <v>1239.0</v>
      </c>
      <c r="J3291" s="28">
        <v>5163.0</v>
      </c>
      <c r="K3291" s="25" t="s">
        <v>28</v>
      </c>
      <c r="L3291" s="26">
        <v>5.0</v>
      </c>
      <c r="M3291" s="26">
        <v>2.0</v>
      </c>
      <c r="N3291" s="26">
        <v>1.0</v>
      </c>
      <c r="O3291" s="26">
        <v>0.0</v>
      </c>
      <c r="P3291" s="26">
        <v>884.0</v>
      </c>
      <c r="Q3291" s="35">
        <v>106.0</v>
      </c>
      <c r="R3291" s="32">
        <v>45384.0</v>
      </c>
      <c r="S3291" s="32">
        <v>44790.0</v>
      </c>
      <c r="T3291" s="29"/>
      <c r="U3291" s="33"/>
      <c r="V3291" s="1"/>
    </row>
    <row r="3292" ht="24.0" customHeight="1">
      <c r="A3292" s="1"/>
      <c r="B3292" s="24" t="str">
        <f>HYPERLINK("https://www.compass.com/listing/801-riverside-drive-unit-4f-manhattan-ny-10032/1279235002888480193/view?agent_id=610d3f3370540700019b0833","801 Riverside Dr, Unit 4F")</f>
        <v>801 Riverside Dr, Unit 4F</v>
      </c>
      <c r="C3292" s="25" t="s">
        <v>364</v>
      </c>
      <c r="D3292" s="26" t="s">
        <v>23</v>
      </c>
      <c r="E3292" s="27" t="str">
        <f t="shared" si="100"/>
        <v>801 Riverside Dr</v>
      </c>
      <c r="F3292" s="25" t="s">
        <v>77</v>
      </c>
      <c r="G3292" s="28">
        <v>679000.0</v>
      </c>
      <c r="H3292" s="28">
        <v>768.0</v>
      </c>
      <c r="I3292" s="28">
        <v>1249.0</v>
      </c>
      <c r="J3292" s="28">
        <v>5283.0</v>
      </c>
      <c r="K3292" s="25" t="s">
        <v>28</v>
      </c>
      <c r="L3292" s="26">
        <v>4.0</v>
      </c>
      <c r="M3292" s="26">
        <v>2.0</v>
      </c>
      <c r="N3292" s="26">
        <v>1.0</v>
      </c>
      <c r="O3292" s="26">
        <v>0.0</v>
      </c>
      <c r="P3292" s="26">
        <v>884.0</v>
      </c>
      <c r="Q3292" s="35">
        <v>243.0</v>
      </c>
      <c r="R3292" s="32">
        <v>45261.0</v>
      </c>
      <c r="S3292" s="32">
        <v>45016.0</v>
      </c>
      <c r="T3292" s="29"/>
      <c r="U3292" s="33"/>
      <c r="V3292" s="1"/>
    </row>
    <row r="3293" ht="24.0" customHeight="1">
      <c r="A3293" s="1"/>
      <c r="B3293" s="24" t="str">
        <f>HYPERLINK("https://www.compass.com/listing/465-park-avenue-unit-7a-manhattan-ny-10022/1838891700517551465/view?agent_id=610d3f3370540700019b0833","465 Park Ave, Unit 7A")</f>
        <v>465 Park Ave, Unit 7A</v>
      </c>
      <c r="C3293" s="25" t="s">
        <v>370</v>
      </c>
      <c r="D3293" s="26" t="s">
        <v>23</v>
      </c>
      <c r="E3293" s="27" t="str">
        <f>HYPERLINK("https://www.compass.com/building/465-park-ave-manhattan-ny-10022/281924094545403749/","465 Park Ave")</f>
        <v>465 Park Ave</v>
      </c>
      <c r="F3293" s="25" t="s">
        <v>66</v>
      </c>
      <c r="G3293" s="28">
        <v>1950000.0</v>
      </c>
      <c r="H3293" s="29"/>
      <c r="I3293" s="28">
        <v>5253.0</v>
      </c>
      <c r="J3293" s="29"/>
      <c r="K3293" s="25" t="s">
        <v>25</v>
      </c>
      <c r="L3293" s="26">
        <v>4.0</v>
      </c>
      <c r="M3293" s="26">
        <v>2.0</v>
      </c>
      <c r="N3293" s="26">
        <v>0.0</v>
      </c>
      <c r="O3293" s="26">
        <v>0.0</v>
      </c>
      <c r="P3293" s="30"/>
      <c r="Q3293" s="35">
        <v>315.0</v>
      </c>
      <c r="R3293" s="32">
        <v>44581.0</v>
      </c>
      <c r="S3293" s="32">
        <v>42613.0</v>
      </c>
      <c r="T3293" s="29"/>
      <c r="U3293" s="33"/>
      <c r="V3293" s="1"/>
    </row>
    <row r="3294" ht="24.0" customHeight="1">
      <c r="A3294" s="1"/>
      <c r="B3294" s="24" t="str">
        <f>HYPERLINK("https://www.compass.com/listing/518-west-135th-street-unit-3a-manhattan-ny-10031/1019608092747336097/view?agent_id=610d3f3370540700019b0833","518 W 135th St, Unit 3A")</f>
        <v>518 W 135th St, Unit 3A</v>
      </c>
      <c r="C3294" s="25" t="s">
        <v>364</v>
      </c>
      <c r="D3294" s="26" t="s">
        <v>23</v>
      </c>
      <c r="E3294" s="27" t="str">
        <f>HYPERLINK("https://www.compass.com/building/518-w-135th-st-manhattan-ny-10031/281999377982153093/","518 W 135th St")</f>
        <v>518 W 135th St</v>
      </c>
      <c r="F3294" s="25" t="s">
        <v>50</v>
      </c>
      <c r="G3294" s="28">
        <v>465000.0</v>
      </c>
      <c r="H3294" s="29"/>
      <c r="I3294" s="28">
        <v>400.0</v>
      </c>
      <c r="J3294" s="28">
        <v>0.0</v>
      </c>
      <c r="K3294" s="25" t="s">
        <v>25</v>
      </c>
      <c r="L3294" s="26">
        <v>5.0</v>
      </c>
      <c r="M3294" s="26">
        <v>2.0</v>
      </c>
      <c r="N3294" s="26">
        <v>1.0</v>
      </c>
      <c r="O3294" s="30"/>
      <c r="P3294" s="30"/>
      <c r="Q3294" s="35">
        <v>113.0</v>
      </c>
      <c r="R3294" s="32">
        <v>44771.0</v>
      </c>
      <c r="S3294" s="32">
        <v>44658.0</v>
      </c>
      <c r="T3294" s="29"/>
      <c r="U3294" s="33"/>
      <c r="V3294" s="1"/>
    </row>
    <row r="3295" ht="24.0" customHeight="1">
      <c r="A3295" s="1"/>
      <c r="B3295" s="24" t="str">
        <f>HYPERLINK("https://www.compass.com/listing/411-east-57th-street-unit-2a-manhattan-ny-10022/29409818607437025/view?agent_id=610d3f3370540700019b0833","411 E 57th St, Unit 2A")</f>
        <v>411 E 57th St, Unit 2A</v>
      </c>
      <c r="C3295" s="25" t="s">
        <v>370</v>
      </c>
      <c r="D3295" s="26" t="s">
        <v>23</v>
      </c>
      <c r="E3295" s="27" t="str">
        <f>HYPERLINK("https://www.compass.com/building/411-e-57th-st-manhattan-ny-10022/281954980678668197/","411 E 57th St")</f>
        <v>411 E 57th St</v>
      </c>
      <c r="F3295" s="25" t="s">
        <v>73</v>
      </c>
      <c r="G3295" s="28">
        <v>1400000.0</v>
      </c>
      <c r="H3295" s="28">
        <v>1077.0</v>
      </c>
      <c r="I3295" s="28">
        <v>1555.0</v>
      </c>
      <c r="J3295" s="29"/>
      <c r="K3295" s="25" t="s">
        <v>25</v>
      </c>
      <c r="L3295" s="26">
        <v>5.0</v>
      </c>
      <c r="M3295" s="26">
        <v>2.0</v>
      </c>
      <c r="N3295" s="26">
        <v>0.0</v>
      </c>
      <c r="O3295" s="26">
        <v>0.0</v>
      </c>
      <c r="P3295" s="34">
        <v>1300.0</v>
      </c>
      <c r="Q3295" s="35">
        <v>283.0</v>
      </c>
      <c r="R3295" s="32">
        <v>45636.0</v>
      </c>
      <c r="S3295" s="32">
        <v>42107.0</v>
      </c>
      <c r="T3295" s="29"/>
      <c r="U3295" s="33"/>
      <c r="V3295" s="1"/>
    </row>
    <row r="3296" ht="24.0" customHeight="1">
      <c r="A3296" s="1"/>
      <c r="B3296" s="24" t="str">
        <f>HYPERLINK("https://www.compass.com/listing/540-west-49th-street-unit-ph3s-manhattan-ny-10019/79531940100788401/view?agent_id=610d3f3370540700019b0833","540 W 49th St, Unit PH3S")</f>
        <v>540 W 49th St, Unit PH3S</v>
      </c>
      <c r="C3296" s="25" t="s">
        <v>370</v>
      </c>
      <c r="D3296" s="26" t="s">
        <v>23</v>
      </c>
      <c r="E3296" s="27" t="str">
        <f>HYPERLINK("https://www.compass.com/building/540-west-manhattan-ny/282058821428346149/","540 West ")</f>
        <v>540 West </v>
      </c>
      <c r="F3296" s="25" t="s">
        <v>47</v>
      </c>
      <c r="G3296" s="28">
        <v>2250000.0</v>
      </c>
      <c r="H3296" s="28">
        <v>1826.0</v>
      </c>
      <c r="I3296" s="28">
        <v>1776.0</v>
      </c>
      <c r="J3296" s="28">
        <v>3228.0</v>
      </c>
      <c r="K3296" s="25" t="s">
        <v>28</v>
      </c>
      <c r="L3296" s="26">
        <v>5.0</v>
      </c>
      <c r="M3296" s="26">
        <v>2.0</v>
      </c>
      <c r="N3296" s="26">
        <v>0.0</v>
      </c>
      <c r="O3296" s="26">
        <v>0.0</v>
      </c>
      <c r="P3296" s="34">
        <v>1232.0</v>
      </c>
      <c r="Q3296" s="35">
        <v>430.0</v>
      </c>
      <c r="R3296" s="32">
        <v>45636.0</v>
      </c>
      <c r="S3296" s="32">
        <v>42399.0</v>
      </c>
      <c r="T3296" s="29"/>
      <c r="U3296" s="33"/>
      <c r="V3296" s="1"/>
    </row>
    <row r="3297" ht="24.0" customHeight="1">
      <c r="A3297" s="1"/>
      <c r="B3297" s="24" t="str">
        <f>HYPERLINK("https://www.compass.com/listing/165-park-row-unit-3b-manhattan-ny-10038/75311114711210081/view?agent_id=610d3f3370540700019b0833","165 Park Row, Unit 3B")</f>
        <v>165 Park Row, Unit 3B</v>
      </c>
      <c r="C3297" s="25" t="s">
        <v>364</v>
      </c>
      <c r="D3297" s="26" t="s">
        <v>23</v>
      </c>
      <c r="E3297" s="27" t="str">
        <f>HYPERLINK("https://www.compass.com/building/165-park-row-manhattan-ny-10038/282066521809785253/","165 Park Row")</f>
        <v>165 Park Row</v>
      </c>
      <c r="F3297" s="25" t="s">
        <v>109</v>
      </c>
      <c r="G3297" s="28">
        <v>970000.0</v>
      </c>
      <c r="H3297" s="29"/>
      <c r="I3297" s="28">
        <v>1206.0</v>
      </c>
      <c r="J3297" s="28">
        <v>0.0</v>
      </c>
      <c r="K3297" s="25" t="s">
        <v>25</v>
      </c>
      <c r="L3297" s="26">
        <v>4.0</v>
      </c>
      <c r="M3297" s="26">
        <v>2.0</v>
      </c>
      <c r="N3297" s="26">
        <v>1.0</v>
      </c>
      <c r="O3297" s="26">
        <v>0.0</v>
      </c>
      <c r="P3297" s="30"/>
      <c r="Q3297" s="35">
        <v>188.0</v>
      </c>
      <c r="R3297" s="32">
        <v>43544.0</v>
      </c>
      <c r="S3297" s="32">
        <v>43355.0</v>
      </c>
      <c r="T3297" s="29"/>
      <c r="U3297" s="33"/>
      <c r="V3297" s="1"/>
    </row>
    <row r="3298" ht="24.0" customHeight="1">
      <c r="A3298" s="1"/>
      <c r="B3298" s="24" t="str">
        <f>HYPERLINK("https://www.compass.com/listing/440-st-nicholas-avenue-unit-44-manhattan-ny-10027/1019443420119496257/view?agent_id=610d3f3370540700019b0833","440 St Nicholas Ave, Unit 44")</f>
        <v>440 St Nicholas Ave, Unit 44</v>
      </c>
      <c r="C3298" s="25" t="s">
        <v>364</v>
      </c>
      <c r="D3298" s="26" t="s">
        <v>23</v>
      </c>
      <c r="E3298" s="27" t="str">
        <f>HYPERLINK("https://www.compass.com/building/440-st-nicholas-ave-manhattan-ny-10027/281982639865433877/","440 St Nicholas Ave")</f>
        <v>440 St Nicholas Ave</v>
      </c>
      <c r="F3298" s="25" t="s">
        <v>32</v>
      </c>
      <c r="G3298" s="28">
        <v>400000.0</v>
      </c>
      <c r="H3298" s="29"/>
      <c r="I3298" s="28">
        <v>687.0</v>
      </c>
      <c r="J3298" s="28">
        <v>0.0</v>
      </c>
      <c r="K3298" s="25" t="s">
        <v>25</v>
      </c>
      <c r="L3298" s="26">
        <v>4.0</v>
      </c>
      <c r="M3298" s="26">
        <v>2.0</v>
      </c>
      <c r="N3298" s="26">
        <v>1.0</v>
      </c>
      <c r="O3298" s="30"/>
      <c r="P3298" s="30"/>
      <c r="Q3298" s="35">
        <v>0.0</v>
      </c>
      <c r="R3298" s="32">
        <v>44658.0</v>
      </c>
      <c r="S3298" s="32">
        <v>44658.0</v>
      </c>
      <c r="T3298" s="29"/>
      <c r="U3298" s="33"/>
      <c r="V3298" s="1"/>
    </row>
    <row r="3299" ht="24.0" customHeight="1">
      <c r="A3299" s="1"/>
      <c r="B3299" s="24" t="str">
        <f>HYPERLINK("https://www.compass.com/listing/25-sutton-place-unit-5k-manhattan-ny-10022/14532946119725249/view?agent_id=610d3f3370540700019b0833","25 Sutton Pl, Unit 5K")</f>
        <v>25 Sutton Pl, Unit 5K</v>
      </c>
      <c r="C3299" s="25" t="s">
        <v>364</v>
      </c>
      <c r="D3299" s="26" t="s">
        <v>23</v>
      </c>
      <c r="E3299" s="27" t="str">
        <f>HYPERLINK("https://www.compass.com/building/25-sutton-pl-manhattan-ny-10022/281953468086815365/","25 Sutton Pl")</f>
        <v>25 Sutton Pl</v>
      </c>
      <c r="F3299" s="25" t="s">
        <v>73</v>
      </c>
      <c r="G3299" s="28">
        <v>2200000.0</v>
      </c>
      <c r="H3299" s="28">
        <v>1375.0</v>
      </c>
      <c r="I3299" s="28">
        <v>2384.0</v>
      </c>
      <c r="J3299" s="29"/>
      <c r="K3299" s="25" t="s">
        <v>25</v>
      </c>
      <c r="L3299" s="26">
        <v>5.0</v>
      </c>
      <c r="M3299" s="26">
        <v>2.0</v>
      </c>
      <c r="N3299" s="26">
        <v>0.0</v>
      </c>
      <c r="O3299" s="26">
        <v>0.0</v>
      </c>
      <c r="P3299" s="34">
        <v>1600.0</v>
      </c>
      <c r="Q3299" s="35">
        <v>0.0</v>
      </c>
      <c r="R3299" s="32">
        <v>44581.0</v>
      </c>
      <c r="S3299" s="32">
        <v>43267.0</v>
      </c>
      <c r="T3299" s="29"/>
      <c r="U3299" s="33"/>
      <c r="V3299" s="1"/>
    </row>
    <row r="3300" ht="24.0" customHeight="1">
      <c r="A3300" s="1"/>
      <c r="B3300" s="24" t="str">
        <f>HYPERLINK("https://www.compass.com/listing/641-5th-avenue-unit-26d-manhattan-ny-10022/29506384152304465/view?agent_id=610d3f3370540700019b0833","641 5th Ave, Unit 26D")</f>
        <v>641 5th Ave, Unit 26D</v>
      </c>
      <c r="C3300" s="25" t="s">
        <v>364</v>
      </c>
      <c r="D3300" s="26" t="s">
        <v>23</v>
      </c>
      <c r="E3300" s="27" t="str">
        <f>HYPERLINK("https://www.compass.com/building/olympic-tower-manhattan-ny/281955540265932741/","Olympic Tower")</f>
        <v>Olympic Tower</v>
      </c>
      <c r="F3300" s="25" t="s">
        <v>66</v>
      </c>
      <c r="G3300" s="28">
        <v>4695000.0</v>
      </c>
      <c r="H3300" s="28">
        <v>2608.0</v>
      </c>
      <c r="I3300" s="28">
        <v>5602.0</v>
      </c>
      <c r="J3300" s="28">
        <v>33228.0</v>
      </c>
      <c r="K3300" s="25" t="s">
        <v>28</v>
      </c>
      <c r="L3300" s="26">
        <v>5.0</v>
      </c>
      <c r="M3300" s="26">
        <v>2.0</v>
      </c>
      <c r="N3300" s="26">
        <v>0.0</v>
      </c>
      <c r="O3300" s="26">
        <v>0.0</v>
      </c>
      <c r="P3300" s="34">
        <v>1800.0</v>
      </c>
      <c r="Q3300" s="35">
        <v>92.0</v>
      </c>
      <c r="R3300" s="32">
        <v>44581.0</v>
      </c>
      <c r="S3300" s="32">
        <v>42926.0</v>
      </c>
      <c r="T3300" s="29"/>
      <c r="U3300" s="33"/>
      <c r="V3300" s="1"/>
    </row>
    <row r="3301" ht="24.0" customHeight="1">
      <c r="A3301" s="1"/>
      <c r="B3301" s="24" t="str">
        <f>HYPERLINK("https://www.compass.com/listing/802-dean-street-unit-402-brooklyn-ny-11238/1118818356819446737/view?agent_id=610d3f3370540700019b0833","802 Dean St, Unit 402")</f>
        <v>802 Dean St, Unit 402</v>
      </c>
      <c r="C3301" s="25" t="s">
        <v>370</v>
      </c>
      <c r="D3301" s="26" t="s">
        <v>23</v>
      </c>
      <c r="E3301" s="27" t="str">
        <f>HYPERLINK("https://www.compass.com/building/collection-apartments-brooklyn-ny/293416820105391237/","Collection Apartments")</f>
        <v>Collection Apartments</v>
      </c>
      <c r="F3301" s="25" t="s">
        <v>113</v>
      </c>
      <c r="G3301" s="28">
        <v>1200000.0</v>
      </c>
      <c r="H3301" s="28">
        <v>1402.0</v>
      </c>
      <c r="I3301" s="28">
        <v>832.0</v>
      </c>
      <c r="J3301" s="28">
        <v>242.0</v>
      </c>
      <c r="K3301" s="25" t="s">
        <v>28</v>
      </c>
      <c r="L3301" s="26">
        <v>4.0</v>
      </c>
      <c r="M3301" s="26">
        <v>2.0</v>
      </c>
      <c r="N3301" s="26">
        <v>1.0</v>
      </c>
      <c r="O3301" s="30"/>
      <c r="P3301" s="26">
        <v>856.0</v>
      </c>
      <c r="Q3301" s="31"/>
      <c r="R3301" s="32">
        <v>45201.0</v>
      </c>
      <c r="S3301" s="33"/>
      <c r="T3301" s="29"/>
      <c r="U3301" s="33"/>
      <c r="V3301" s="1"/>
    </row>
    <row r="3302" ht="24.0" customHeight="1">
      <c r="A3302" s="1"/>
      <c r="B3302" s="24" t="str">
        <f>HYPERLINK("https://www.compass.com/listing/925-pacific-street-unit-202-brooklyn-ny-11238/29469654103636801/view?agent_id=610d3f3370540700019b0833","925 Pacific St, Unit 202")</f>
        <v>925 Pacific St, Unit 202</v>
      </c>
      <c r="C3302" s="25" t="s">
        <v>364</v>
      </c>
      <c r="D3302" s="26" t="s">
        <v>23</v>
      </c>
      <c r="E3302" s="27" t="str">
        <f>HYPERLINK("https://www.compass.com/building/925-pacific-st-brooklyn-ny-11238/293528189823644853/","925 Pacific St")</f>
        <v>925 Pacific St</v>
      </c>
      <c r="F3302" s="25" t="s">
        <v>113</v>
      </c>
      <c r="G3302" s="28">
        <v>850000.0</v>
      </c>
      <c r="H3302" s="29"/>
      <c r="I3302" s="28">
        <v>528.0</v>
      </c>
      <c r="J3302" s="28">
        <v>204.0</v>
      </c>
      <c r="K3302" s="25" t="s">
        <v>28</v>
      </c>
      <c r="L3302" s="26">
        <v>3.0</v>
      </c>
      <c r="M3302" s="26">
        <v>2.0</v>
      </c>
      <c r="N3302" s="26">
        <v>0.0</v>
      </c>
      <c r="O3302" s="26">
        <v>0.0</v>
      </c>
      <c r="P3302" s="30"/>
      <c r="Q3302" s="35">
        <v>177.0</v>
      </c>
      <c r="R3302" s="32">
        <v>45636.0</v>
      </c>
      <c r="S3302" s="32">
        <v>42282.0</v>
      </c>
      <c r="T3302" s="29"/>
      <c r="U3302" s="33"/>
      <c r="V3302" s="1"/>
    </row>
    <row r="3303" ht="24.0" customHeight="1">
      <c r="A3303" s="1"/>
      <c r="B3303" s="24" t="str">
        <f>HYPERLINK("https://www.compass.com/listing/549-west-123rd-street-unit-6b-manhattan-ny-10027/1571835289024673145/view?agent_id=610d3f3370540700019b0833","549 W 123rd St, Unit 6B")</f>
        <v>549 W 123rd St, Unit 6B</v>
      </c>
      <c r="C3303" s="25" t="s">
        <v>370</v>
      </c>
      <c r="D3303" s="26" t="s">
        <v>23</v>
      </c>
      <c r="E3303" s="27" t="str">
        <f>HYPERLINK("https://www.compass.com/building/morningside-gardens-manhattan-ny/282059380772338885/","Morningside Gardens")</f>
        <v>Morningside Gardens</v>
      </c>
      <c r="F3303" s="25" t="s">
        <v>41</v>
      </c>
      <c r="G3303" s="28">
        <v>705000.0</v>
      </c>
      <c r="H3303" s="29"/>
      <c r="I3303" s="28">
        <v>1416.0</v>
      </c>
      <c r="J3303" s="28">
        <v>0.0</v>
      </c>
      <c r="K3303" s="25" t="s">
        <v>25</v>
      </c>
      <c r="L3303" s="26">
        <v>5.0</v>
      </c>
      <c r="M3303" s="26">
        <v>2.0</v>
      </c>
      <c r="N3303" s="26">
        <v>1.0</v>
      </c>
      <c r="O3303" s="30"/>
      <c r="P3303" s="30"/>
      <c r="Q3303" s="35">
        <v>184.0</v>
      </c>
      <c r="R3303" s="32">
        <v>45627.0</v>
      </c>
      <c r="S3303" s="32">
        <v>45420.0</v>
      </c>
      <c r="T3303" s="29"/>
      <c r="U3303" s="33"/>
      <c r="V3303" s="1"/>
    </row>
    <row r="3304" ht="24.0" customHeight="1">
      <c r="A3304" s="1"/>
      <c r="B3304" s="24" t="str">
        <f>HYPERLINK("https://www.compass.com/listing/165-park-row-unit-3b-manhattan-ny-10038/349461120238302705/view?agent_id=610d3f3370540700019b0833","165 Park Row, Unit 3B")</f>
        <v>165 Park Row, Unit 3B</v>
      </c>
      <c r="C3304" s="25" t="s">
        <v>364</v>
      </c>
      <c r="D3304" s="26" t="s">
        <v>23</v>
      </c>
      <c r="E3304" s="27" t="str">
        <f>HYPERLINK("https://www.compass.com/building/165-park-row-manhattan-ny-10038/282066521809785253/","165 Park Row")</f>
        <v>165 Park Row</v>
      </c>
      <c r="F3304" s="25" t="s">
        <v>109</v>
      </c>
      <c r="G3304" s="28">
        <v>1100000.0</v>
      </c>
      <c r="H3304" s="28">
        <v>917.0</v>
      </c>
      <c r="I3304" s="28">
        <v>1194.0</v>
      </c>
      <c r="J3304" s="29"/>
      <c r="K3304" s="25" t="s">
        <v>25</v>
      </c>
      <c r="L3304" s="26">
        <v>3.0</v>
      </c>
      <c r="M3304" s="26">
        <v>2.0</v>
      </c>
      <c r="N3304" s="26">
        <v>1.0</v>
      </c>
      <c r="O3304" s="26">
        <v>0.0</v>
      </c>
      <c r="P3304" s="34">
        <v>1200.0</v>
      </c>
      <c r="Q3304" s="35">
        <v>161.0</v>
      </c>
      <c r="R3304" s="32">
        <v>45636.0</v>
      </c>
      <c r="S3304" s="32">
        <v>42935.0</v>
      </c>
      <c r="T3304" s="29"/>
      <c r="U3304" s="33"/>
      <c r="V3304" s="1"/>
    </row>
    <row r="3305" ht="24.0" customHeight="1">
      <c r="A3305" s="1"/>
      <c r="B3305" s="24" t="str">
        <f>HYPERLINK("https://www.compass.com/listing/801-riverside-drive-unit-6g-manhattan-ny-10032/1134974749873924425/view?agent_id=610d3f3370540700019b0833","801 Riverside Dr, Unit 6G")</f>
        <v>801 Riverside Dr, Unit 6G</v>
      </c>
      <c r="C3305" s="25" t="s">
        <v>364</v>
      </c>
      <c r="D3305" s="26" t="s">
        <v>23</v>
      </c>
      <c r="E3305" s="27" t="str">
        <f>HYPERLINK("https://www.compass.com/building/801-riverside-dr-manhattan-ny-10032/282009348731831205/","801 Riverside Dr")</f>
        <v>801 Riverside Dr</v>
      </c>
      <c r="F3305" s="25" t="s">
        <v>77</v>
      </c>
      <c r="G3305" s="28">
        <v>895000.0</v>
      </c>
      <c r="H3305" s="28">
        <v>758.0</v>
      </c>
      <c r="I3305" s="28">
        <v>1957.0</v>
      </c>
      <c r="J3305" s="28">
        <v>9192.0</v>
      </c>
      <c r="K3305" s="25" t="s">
        <v>28</v>
      </c>
      <c r="L3305" s="26">
        <v>5.0</v>
      </c>
      <c r="M3305" s="26">
        <v>2.0</v>
      </c>
      <c r="N3305" s="26">
        <v>1.0</v>
      </c>
      <c r="O3305" s="30"/>
      <c r="P3305" s="34">
        <v>1180.0</v>
      </c>
      <c r="Q3305" s="35">
        <v>158.0</v>
      </c>
      <c r="R3305" s="32">
        <v>44975.0</v>
      </c>
      <c r="S3305" s="32">
        <v>44817.0</v>
      </c>
      <c r="T3305" s="29"/>
      <c r="U3305" s="33"/>
      <c r="V3305" s="1"/>
    </row>
    <row r="3306" ht="24.0" customHeight="1">
      <c r="A3306" s="1"/>
      <c r="B3306" s="24" t="str">
        <f>HYPERLINK("https://www.compass.com/listing/300-east-59th-street-unit-1801-manhattan-ny-10022/1838886208302619409/view?agent_id=610d3f3370540700019b0833","300 E 59th St, Unit 1801")</f>
        <v>300 E 59th St, Unit 1801</v>
      </c>
      <c r="C3306" s="25" t="s">
        <v>364</v>
      </c>
      <c r="D3306" s="26" t="s">
        <v>23</v>
      </c>
      <c r="E3306" s="27" t="str">
        <f>HYPERLINK("https://www.compass.com/building/the-landmark-manhattan-ny/292855403841134869/","The Landmark")</f>
        <v>The Landmark</v>
      </c>
      <c r="F3306" s="25" t="s">
        <v>73</v>
      </c>
      <c r="G3306" s="28">
        <v>1325000.0</v>
      </c>
      <c r="H3306" s="28">
        <v>1060.0</v>
      </c>
      <c r="I3306" s="28">
        <v>2263.0</v>
      </c>
      <c r="J3306" s="29"/>
      <c r="K3306" s="25" t="s">
        <v>25</v>
      </c>
      <c r="L3306" s="26">
        <v>4.0</v>
      </c>
      <c r="M3306" s="26">
        <v>2.0</v>
      </c>
      <c r="N3306" s="26">
        <v>0.0</v>
      </c>
      <c r="O3306" s="26">
        <v>0.0</v>
      </c>
      <c r="P3306" s="34">
        <v>1250.0</v>
      </c>
      <c r="Q3306" s="35">
        <v>11.0</v>
      </c>
      <c r="R3306" s="32">
        <v>45636.0</v>
      </c>
      <c r="S3306" s="32">
        <v>43160.0</v>
      </c>
      <c r="T3306" s="29"/>
      <c r="U3306" s="33"/>
      <c r="V3306" s="1"/>
    </row>
    <row r="3307" ht="24.0" customHeight="1">
      <c r="A3307" s="1"/>
      <c r="B3307" s="24" t="str">
        <f>HYPERLINK("https://www.compass.com/listing/17-east-17th-street-unit-d4-brooklyn-ny-11226/1384449419121441417/view?agent_id=610d3f3370540700019b0833","17 E 17th St, Unit D4")</f>
        <v>17 E 17th St, Unit D4</v>
      </c>
      <c r="C3307" s="25" t="s">
        <v>365</v>
      </c>
      <c r="D3307" s="26" t="s">
        <v>23</v>
      </c>
      <c r="E3307" s="27" t="str">
        <f>HYPERLINK("https://www.compass.com/building/the-presidio-condominiums-brooklyn-ny/293416875159825637/","The Presidio Condominiums")</f>
        <v>The Presidio Condominiums</v>
      </c>
      <c r="F3307" s="25" t="s">
        <v>358</v>
      </c>
      <c r="G3307" s="28">
        <v>649000.0</v>
      </c>
      <c r="H3307" s="28">
        <v>865.0</v>
      </c>
      <c r="I3307" s="28">
        <v>940.0</v>
      </c>
      <c r="J3307" s="28">
        <v>4116.0</v>
      </c>
      <c r="K3307" s="25" t="s">
        <v>28</v>
      </c>
      <c r="L3307" s="26">
        <v>4.0</v>
      </c>
      <c r="M3307" s="26">
        <v>2.0</v>
      </c>
      <c r="N3307" s="26">
        <v>1.0</v>
      </c>
      <c r="O3307" s="30"/>
      <c r="P3307" s="26">
        <v>750.0</v>
      </c>
      <c r="Q3307" s="35">
        <v>149.0</v>
      </c>
      <c r="R3307" s="32">
        <v>45488.0</v>
      </c>
      <c r="S3307" s="32">
        <v>45309.0</v>
      </c>
      <c r="T3307" s="29"/>
      <c r="U3307" s="33"/>
      <c r="V3307" s="1"/>
    </row>
    <row r="3308" ht="24.0" customHeight="1">
      <c r="A3308" s="1"/>
      <c r="B3308" s="24" t="str">
        <f>HYPERLINK("https://www.compass.com/listing/4260-broadway-unit-508-manhattan-ny-10033/690041985105563521/view?agent_id=610d3f3370540700019b0833","4260 Broadway, Unit 508")</f>
        <v>4260 Broadway, Unit 508</v>
      </c>
      <c r="C3308" s="25" t="s">
        <v>364</v>
      </c>
      <c r="D3308" s="26" t="s">
        <v>23</v>
      </c>
      <c r="E3308" s="27" t="str">
        <f>HYPERLINK("https://www.compass.com/building/the-belford-manhattan-ny/282011677954673141/","The Belford")</f>
        <v>The Belford</v>
      </c>
      <c r="F3308" s="25" t="s">
        <v>77</v>
      </c>
      <c r="G3308" s="28">
        <v>675000.0</v>
      </c>
      <c r="H3308" s="29"/>
      <c r="I3308" s="28">
        <v>1109.0</v>
      </c>
      <c r="J3308" s="28">
        <v>6132.0</v>
      </c>
      <c r="K3308" s="25" t="s">
        <v>28</v>
      </c>
      <c r="L3308" s="26">
        <v>4.0</v>
      </c>
      <c r="M3308" s="26">
        <v>2.0</v>
      </c>
      <c r="N3308" s="26">
        <v>1.0</v>
      </c>
      <c r="O3308" s="30"/>
      <c r="P3308" s="30"/>
      <c r="Q3308" s="35">
        <v>105.0</v>
      </c>
      <c r="R3308" s="32">
        <v>44309.0</v>
      </c>
      <c r="S3308" s="32">
        <v>44204.0</v>
      </c>
      <c r="T3308" s="29"/>
      <c r="U3308" s="33"/>
      <c r="V3308" s="1"/>
    </row>
    <row r="3309" ht="24.0" customHeight="1">
      <c r="A3309" s="1"/>
      <c r="B3309" s="24" t="str">
        <f>HYPERLINK("https://www.compass.com/listing/2107-bedford-avenue-unit-c7-brooklyn-ny-11226/1248197795517629457/view?agent_id=610d3f3370540700019b0833","2107 Bedford Ave, Unit C7")</f>
        <v>2107 Bedford Ave, Unit C7</v>
      </c>
      <c r="C3309" s="25" t="s">
        <v>364</v>
      </c>
      <c r="D3309" s="26" t="s">
        <v>23</v>
      </c>
      <c r="E3309" s="27" t="str">
        <f>HYPERLINK("https://www.compass.com/building/2107-bedford-ave-brooklyn-ny-11226/293534993647515813/","2107 Bedford Ave")</f>
        <v>2107 Bedford Ave</v>
      </c>
      <c r="F3309" s="25" t="s">
        <v>112</v>
      </c>
      <c r="G3309" s="28">
        <v>575000.0</v>
      </c>
      <c r="H3309" s="28">
        <v>745.0</v>
      </c>
      <c r="I3309" s="28">
        <v>731.0</v>
      </c>
      <c r="J3309" s="28">
        <v>2071.0</v>
      </c>
      <c r="K3309" s="25" t="s">
        <v>28</v>
      </c>
      <c r="L3309" s="26">
        <v>4.0</v>
      </c>
      <c r="M3309" s="26">
        <v>2.0</v>
      </c>
      <c r="N3309" s="26">
        <v>1.0</v>
      </c>
      <c r="O3309" s="26">
        <v>0.0</v>
      </c>
      <c r="P3309" s="26">
        <v>772.0</v>
      </c>
      <c r="Q3309" s="35">
        <v>43.0</v>
      </c>
      <c r="R3309" s="32">
        <v>45636.0</v>
      </c>
      <c r="S3309" s="32">
        <v>42374.0</v>
      </c>
      <c r="T3309" s="29"/>
      <c r="U3309" s="33"/>
      <c r="V3309" s="1"/>
    </row>
    <row r="3310" ht="24.0" customHeight="1">
      <c r="A3310" s="1"/>
      <c r="B3310" s="24" t="str">
        <f>HYPERLINK("https://www.compass.com/listing/291-martense-street-unit-3m-brooklyn-ny-11226/1339963590603808929/view?agent_id=610d3f3370540700019b0833","291 Martense St, Unit 3M")</f>
        <v>291 Martense St, Unit 3M</v>
      </c>
      <c r="C3310" s="25" t="s">
        <v>365</v>
      </c>
      <c r="D3310" s="26" t="s">
        <v>23</v>
      </c>
      <c r="E3310" s="27" t="str">
        <f>HYPERLINK("https://www.compass.com/building/291-martense-st-brooklyn-ny-11226/293416703033977717/","291 Martense St")</f>
        <v>291 Martense St</v>
      </c>
      <c r="F3310" s="25" t="s">
        <v>112</v>
      </c>
      <c r="G3310" s="28">
        <v>525000.0</v>
      </c>
      <c r="H3310" s="28">
        <v>603.0</v>
      </c>
      <c r="I3310" s="28">
        <v>763.0</v>
      </c>
      <c r="J3310" s="28">
        <v>4560.0</v>
      </c>
      <c r="K3310" s="25" t="s">
        <v>28</v>
      </c>
      <c r="L3310" s="26">
        <v>3.0</v>
      </c>
      <c r="M3310" s="26">
        <v>2.0</v>
      </c>
      <c r="N3310" s="26">
        <v>1.0</v>
      </c>
      <c r="O3310" s="30"/>
      <c r="P3310" s="26">
        <v>870.0</v>
      </c>
      <c r="Q3310" s="35">
        <v>164.0</v>
      </c>
      <c r="R3310" s="32">
        <v>45265.0</v>
      </c>
      <c r="S3310" s="32">
        <v>45100.0</v>
      </c>
      <c r="T3310" s="29"/>
      <c r="U3310" s="33"/>
      <c r="V3310" s="1"/>
    </row>
    <row r="3311" ht="24.0" customHeight="1">
      <c r="A3311" s="1"/>
      <c r="B3311" s="24" t="str">
        <f>HYPERLINK("https://www.compass.com/listing/2107-bedford-avenue-unit-c11-brooklyn-ny-11226/665341752163627545/view?agent_id=610d3f3370540700019b0833","2107 Bedford Ave, Unit C11")</f>
        <v>2107 Bedford Ave, Unit C11</v>
      </c>
      <c r="C3311" s="25" t="s">
        <v>364</v>
      </c>
      <c r="D3311" s="26" t="s">
        <v>23</v>
      </c>
      <c r="E3311" s="27" t="str">
        <f>HYPERLINK("https://www.compass.com/building/2107-bedford-ave-brooklyn-ny-11226/293534993647515813/","2107 Bedford Ave")</f>
        <v>2107 Bedford Ave</v>
      </c>
      <c r="F3311" s="25" t="s">
        <v>112</v>
      </c>
      <c r="G3311" s="28">
        <v>499000.0</v>
      </c>
      <c r="H3311" s="29"/>
      <c r="I3311" s="28">
        <v>775.0</v>
      </c>
      <c r="J3311" s="28">
        <v>3600.0</v>
      </c>
      <c r="K3311" s="25" t="s">
        <v>28</v>
      </c>
      <c r="L3311" s="26">
        <v>6.0</v>
      </c>
      <c r="M3311" s="26">
        <v>2.0</v>
      </c>
      <c r="N3311" s="26">
        <v>1.0</v>
      </c>
      <c r="O3311" s="30"/>
      <c r="P3311" s="30"/>
      <c r="Q3311" s="35">
        <v>215.0</v>
      </c>
      <c r="R3311" s="32">
        <v>44392.0</v>
      </c>
      <c r="S3311" s="32">
        <v>44169.0</v>
      </c>
      <c r="T3311" s="29"/>
      <c r="U3311" s="33"/>
      <c r="V3311" s="1"/>
    </row>
    <row r="3312" ht="24.0" customHeight="1">
      <c r="A3312" s="1"/>
      <c r="B3312" s="24" t="str">
        <f>HYPERLINK("https://www.compass.com/listing/850-saint-marks-avenue-unit-2h-brooklyn-ny-11213/1316670713317405489/view?agent_id=610d3f3370540700019b0833","850 Saint Marks Ave, Unit 2H")</f>
        <v>850 Saint Marks Ave, Unit 2H</v>
      </c>
      <c r="C3312" s="25" t="s">
        <v>365</v>
      </c>
      <c r="D3312" s="26" t="s">
        <v>23</v>
      </c>
      <c r="E3312" s="27" t="str">
        <f>HYPERLINK("https://www.compass.com/building/850-saint-marks-ave-brooklyn-ny-11213/307445889882658405/","850 Saint Marks Ave")</f>
        <v>850 Saint Marks Ave</v>
      </c>
      <c r="F3312" s="25" t="s">
        <v>113</v>
      </c>
      <c r="G3312" s="28">
        <v>350000.0</v>
      </c>
      <c r="H3312" s="29"/>
      <c r="I3312" s="28">
        <v>709.0</v>
      </c>
      <c r="J3312" s="28">
        <v>0.0</v>
      </c>
      <c r="K3312" s="25" t="s">
        <v>25</v>
      </c>
      <c r="L3312" s="26">
        <v>4.0</v>
      </c>
      <c r="M3312" s="26">
        <v>2.0</v>
      </c>
      <c r="N3312" s="26">
        <v>1.0</v>
      </c>
      <c r="O3312" s="26">
        <v>0.0</v>
      </c>
      <c r="P3312" s="30"/>
      <c r="Q3312" s="35">
        <v>128.0</v>
      </c>
      <c r="R3312" s="32">
        <v>45197.0</v>
      </c>
      <c r="S3312" s="32">
        <v>45068.0</v>
      </c>
      <c r="T3312" s="29"/>
      <c r="U3312" s="33"/>
      <c r="V3312" s="1"/>
    </row>
    <row r="3313" ht="24.0" customHeight="1">
      <c r="A3313" s="1"/>
      <c r="B3313" s="24" t="str">
        <f>HYPERLINK("https://www.compass.com/listing/3-east-131st-street-unit-4a-manhattan-ny-10037/1809622946373181569/view?agent_id=610d3f3370540700019b0833","3 E 131st St, Unit 4A")</f>
        <v>3 E 131st St, Unit 4A</v>
      </c>
      <c r="C3313" s="25" t="s">
        <v>364</v>
      </c>
      <c r="D3313" s="26" t="s">
        <v>23</v>
      </c>
      <c r="E3313" s="27" t="str">
        <f>HYPERLINK("https://www.compass.com/building/3-e-131st-st-manhattan-ny-10037/282028113704007445/","3 E 131st St")</f>
        <v>3 E 131st St</v>
      </c>
      <c r="F3313" s="25" t="s">
        <v>32</v>
      </c>
      <c r="G3313" s="28">
        <v>395000.0</v>
      </c>
      <c r="H3313" s="29"/>
      <c r="I3313" s="28">
        <v>649.0</v>
      </c>
      <c r="J3313" s="29"/>
      <c r="K3313" s="25" t="s">
        <v>25</v>
      </c>
      <c r="L3313" s="26">
        <v>4.0</v>
      </c>
      <c r="M3313" s="26">
        <v>2.0</v>
      </c>
      <c r="N3313" s="26">
        <v>1.0</v>
      </c>
      <c r="O3313" s="26">
        <v>0.0</v>
      </c>
      <c r="P3313" s="30"/>
      <c r="Q3313" s="31"/>
      <c r="R3313" s="32">
        <v>45636.0</v>
      </c>
      <c r="S3313" s="33"/>
      <c r="T3313" s="29"/>
      <c r="U3313" s="33"/>
      <c r="V3313" s="1"/>
    </row>
    <row r="3314" ht="24.0" customHeight="1">
      <c r="A3314" s="1"/>
      <c r="B3314" s="24" t="str">
        <f>HYPERLINK("https://www.compass.com/listing/12-east-132nd-street-unit-4b-manhattan-ny-10037/906713408257071345/view?agent_id=610d3f3370540700019b0833","12 E 132nd St, Unit 4B")</f>
        <v>12 E 132nd St, Unit 4B</v>
      </c>
      <c r="C3314" s="25" t="s">
        <v>370</v>
      </c>
      <c r="D3314" s="26" t="s">
        <v>23</v>
      </c>
      <c r="E3314" s="27" t="str">
        <f t="shared" ref="E3314:E3315" si="101">HYPERLINK("https://www.compass.com/building/12-e-132nd-st-manhattan-ny-10037/282027536207064677/","12 E 132nd St")</f>
        <v>12 E 132nd St</v>
      </c>
      <c r="F3314" s="25" t="s">
        <v>32</v>
      </c>
      <c r="G3314" s="28">
        <v>285000.0</v>
      </c>
      <c r="H3314" s="29"/>
      <c r="I3314" s="28">
        <v>992.0</v>
      </c>
      <c r="J3314" s="28">
        <v>0.0</v>
      </c>
      <c r="K3314" s="25" t="s">
        <v>25</v>
      </c>
      <c r="L3314" s="26">
        <v>4.0</v>
      </c>
      <c r="M3314" s="26">
        <v>2.0</v>
      </c>
      <c r="N3314" s="26">
        <v>1.0</v>
      </c>
      <c r="O3314" s="30"/>
      <c r="P3314" s="30"/>
      <c r="Q3314" s="35">
        <v>104.0</v>
      </c>
      <c r="R3314" s="32">
        <v>45627.0</v>
      </c>
      <c r="S3314" s="32">
        <v>45523.0</v>
      </c>
      <c r="T3314" s="29"/>
      <c r="U3314" s="33"/>
      <c r="V3314" s="1"/>
    </row>
    <row r="3315" ht="24.0" customHeight="1">
      <c r="A3315" s="1"/>
      <c r="B3315" s="24" t="str">
        <f>HYPERLINK("https://www.compass.com/listing/12-east-132nd-street-unit-1a-manhattan-ny-10037/1095727637788730417/view?agent_id=610d3f3370540700019b0833","12 E 132nd St, Unit 1A")</f>
        <v>12 E 132nd St, Unit 1A</v>
      </c>
      <c r="C3315" s="25" t="s">
        <v>370</v>
      </c>
      <c r="D3315" s="26" t="s">
        <v>23</v>
      </c>
      <c r="E3315" s="27" t="str">
        <f t="shared" si="101"/>
        <v>12 E 132nd St</v>
      </c>
      <c r="F3315" s="25" t="s">
        <v>32</v>
      </c>
      <c r="G3315" s="28">
        <v>345000.0</v>
      </c>
      <c r="H3315" s="29"/>
      <c r="I3315" s="28">
        <v>818.0</v>
      </c>
      <c r="J3315" s="28">
        <v>0.0</v>
      </c>
      <c r="K3315" s="25" t="s">
        <v>25</v>
      </c>
      <c r="L3315" s="26">
        <v>5.0</v>
      </c>
      <c r="M3315" s="26">
        <v>2.0</v>
      </c>
      <c r="N3315" s="26">
        <v>1.0</v>
      </c>
      <c r="O3315" s="26">
        <v>0.0</v>
      </c>
      <c r="P3315" s="30"/>
      <c r="Q3315" s="35">
        <v>104.0</v>
      </c>
      <c r="R3315" s="32">
        <v>45627.0</v>
      </c>
      <c r="S3315" s="32">
        <v>45512.0</v>
      </c>
      <c r="T3315" s="29"/>
      <c r="U3315" s="33"/>
      <c r="V3315" s="1"/>
    </row>
    <row r="3316" ht="24.0" customHeight="1">
      <c r="A3316" s="1"/>
      <c r="B3316" s="24" t="str">
        <f>HYPERLINK("https://www.compass.com/listing/105-bennett-avenue-unit-26b-manhattan-ny-10033/791128388793445873/view?agent_id=610d3f3370540700019b0833","105 Bennett Ave, Unit 26B")</f>
        <v>105 Bennett Ave, Unit 26B</v>
      </c>
      <c r="C3316" s="25" t="s">
        <v>365</v>
      </c>
      <c r="D3316" s="26" t="s">
        <v>23</v>
      </c>
      <c r="E3316" s="27" t="str">
        <f>HYPERLINK("https://www.compass.com/building/105-bennett-ave-manhattan-ny-10033/282010034911706389/","105 Bennett Ave")</f>
        <v>105 Bennett Ave</v>
      </c>
      <c r="F3316" s="25" t="s">
        <v>58</v>
      </c>
      <c r="G3316" s="28">
        <v>714000.0</v>
      </c>
      <c r="H3316" s="28">
        <v>644.0</v>
      </c>
      <c r="I3316" s="28">
        <v>1190.0</v>
      </c>
      <c r="J3316" s="28">
        <v>5707.0</v>
      </c>
      <c r="K3316" s="25" t="s">
        <v>28</v>
      </c>
      <c r="L3316" s="26">
        <v>5.0</v>
      </c>
      <c r="M3316" s="26">
        <v>2.0</v>
      </c>
      <c r="N3316" s="26">
        <v>1.0</v>
      </c>
      <c r="O3316" s="30"/>
      <c r="P3316" s="34">
        <v>1109.0</v>
      </c>
      <c r="Q3316" s="35">
        <v>22.0</v>
      </c>
      <c r="R3316" s="32">
        <v>44365.0</v>
      </c>
      <c r="S3316" s="32">
        <v>44343.0</v>
      </c>
      <c r="T3316" s="29"/>
      <c r="U3316" s="33"/>
      <c r="V3316" s="1"/>
    </row>
    <row r="3317" ht="24.0" customHeight="1">
      <c r="A3317" s="1"/>
      <c r="B3317" s="24" t="str">
        <f>HYPERLINK("https://www.compass.com/listing/3-east-131st-street-unit-4a-manhattan-ny-10037/803433712821763817/view?agent_id=610d3f3370540700019b0833","3 E 131st St, Unit 4A")</f>
        <v>3 E 131st St, Unit 4A</v>
      </c>
      <c r="C3317" s="25" t="s">
        <v>364</v>
      </c>
      <c r="D3317" s="26" t="s">
        <v>23</v>
      </c>
      <c r="E3317" s="27" t="str">
        <f>HYPERLINK("https://www.compass.com/building/3-e-131st-st-manhattan-ny-10037/282028113704007445/","3 E 131st St")</f>
        <v>3 E 131st St</v>
      </c>
      <c r="F3317" s="25" t="s">
        <v>32</v>
      </c>
      <c r="G3317" s="28">
        <v>395000.0</v>
      </c>
      <c r="H3317" s="29"/>
      <c r="I3317" s="28">
        <v>649.0</v>
      </c>
      <c r="J3317" s="29"/>
      <c r="K3317" s="25" t="s">
        <v>25</v>
      </c>
      <c r="L3317" s="26">
        <v>4.0</v>
      </c>
      <c r="M3317" s="26">
        <v>2.0</v>
      </c>
      <c r="N3317" s="26">
        <v>0.0</v>
      </c>
      <c r="O3317" s="26">
        <v>0.0</v>
      </c>
      <c r="P3317" s="30"/>
      <c r="Q3317" s="35">
        <v>167.0</v>
      </c>
      <c r="R3317" s="32">
        <v>45636.0</v>
      </c>
      <c r="S3317" s="32">
        <v>42781.0</v>
      </c>
      <c r="T3317" s="29"/>
      <c r="U3317" s="33"/>
      <c r="V3317" s="1"/>
    </row>
    <row r="3318" ht="24.0" customHeight="1">
      <c r="A3318" s="1"/>
      <c r="B3318" s="24" t="str">
        <f>HYPERLINK("https://www.compass.com/listing/303-east-57th-street-unit-47g-manhattan-ny-10022/822523010890925137/view?agent_id=610d3f3370540700019b0833","303 E 57th St, Unit 47G")</f>
        <v>303 E 57th St, Unit 47G</v>
      </c>
      <c r="C3318" s="25" t="s">
        <v>364</v>
      </c>
      <c r="D3318" s="26" t="s">
        <v>23</v>
      </c>
      <c r="E3318" s="27" t="str">
        <f>HYPERLINK("https://www.compass.com/building/the-excelsior-manhattan-ny/292855375126930133/","The Excelsior")</f>
        <v>The Excelsior</v>
      </c>
      <c r="F3318" s="25" t="s">
        <v>73</v>
      </c>
      <c r="G3318" s="28">
        <v>3250000.0</v>
      </c>
      <c r="H3318" s="28">
        <v>1625.0</v>
      </c>
      <c r="I3318" s="28">
        <v>13894.0</v>
      </c>
      <c r="J3318" s="29"/>
      <c r="K3318" s="25" t="s">
        <v>25</v>
      </c>
      <c r="L3318" s="26">
        <v>8.0</v>
      </c>
      <c r="M3318" s="26">
        <v>2.0</v>
      </c>
      <c r="N3318" s="26">
        <v>0.0</v>
      </c>
      <c r="O3318" s="26">
        <v>0.0</v>
      </c>
      <c r="P3318" s="34">
        <v>2000.0</v>
      </c>
      <c r="Q3318" s="35">
        <v>159.0</v>
      </c>
      <c r="R3318" s="32">
        <v>44581.0</v>
      </c>
      <c r="S3318" s="32">
        <v>41172.0</v>
      </c>
      <c r="T3318" s="29"/>
      <c r="U3318" s="33"/>
      <c r="V3318" s="1"/>
    </row>
    <row r="3319" ht="24.0" customHeight="1">
      <c r="A3319" s="1"/>
      <c r="B3319" s="24" t="str">
        <f>HYPERLINK("https://www.compass.com/listing/5-east-131st-street-unit-3a-manhattan-ny-10037/1638528727205152537/view?agent_id=610d3f3370540700019b0833","5 E 131st St, Unit 3A")</f>
        <v>5 E 131st St, Unit 3A</v>
      </c>
      <c r="C3319" s="25" t="s">
        <v>370</v>
      </c>
      <c r="D3319" s="26" t="s">
        <v>23</v>
      </c>
      <c r="E3319" s="27" t="str">
        <f t="shared" ref="E3319:E3320" si="102">HYPERLINK("https://www.compass.com/building/5-e-131st-st-manhattan-ny-10037/282028667276636581/","5 E 131st St")</f>
        <v>5 E 131st St</v>
      </c>
      <c r="F3319" s="25" t="s">
        <v>32</v>
      </c>
      <c r="G3319" s="28">
        <v>300000.0</v>
      </c>
      <c r="H3319" s="29"/>
      <c r="I3319" s="28">
        <v>992.0</v>
      </c>
      <c r="J3319" s="28">
        <v>0.0</v>
      </c>
      <c r="K3319" s="25" t="s">
        <v>25</v>
      </c>
      <c r="L3319" s="26">
        <v>4.0</v>
      </c>
      <c r="M3319" s="26">
        <v>2.0</v>
      </c>
      <c r="N3319" s="26">
        <v>1.0</v>
      </c>
      <c r="O3319" s="30"/>
      <c r="P3319" s="30"/>
      <c r="Q3319" s="35">
        <v>175.0</v>
      </c>
      <c r="R3319" s="32">
        <v>45687.0</v>
      </c>
      <c r="S3319" s="32">
        <v>45512.0</v>
      </c>
      <c r="T3319" s="29"/>
      <c r="U3319" s="33"/>
      <c r="V3319" s="1"/>
    </row>
    <row r="3320" ht="24.0" customHeight="1">
      <c r="A3320" s="1"/>
      <c r="B3320" s="24" t="str">
        <f>HYPERLINK("https://www.compass.com/listing/5-east-131st-street-unit-3a-manhattan-ny-10037/1151539852103606321/view?agent_id=610d3f3370540700019b0833","5 E 131st St, Unit 3A")</f>
        <v>5 E 131st St, Unit 3A</v>
      </c>
      <c r="C3320" s="25" t="s">
        <v>370</v>
      </c>
      <c r="D3320" s="26" t="s">
        <v>23</v>
      </c>
      <c r="E3320" s="27" t="str">
        <f t="shared" si="102"/>
        <v>5 E 131st St</v>
      </c>
      <c r="F3320" s="25" t="s">
        <v>32</v>
      </c>
      <c r="G3320" s="28">
        <v>315000.0</v>
      </c>
      <c r="H3320" s="29"/>
      <c r="I3320" s="28">
        <v>992.0</v>
      </c>
      <c r="J3320" s="28">
        <v>0.0</v>
      </c>
      <c r="K3320" s="25" t="s">
        <v>25</v>
      </c>
      <c r="L3320" s="26">
        <v>4.0</v>
      </c>
      <c r="M3320" s="26">
        <v>2.0</v>
      </c>
      <c r="N3320" s="26">
        <v>1.0</v>
      </c>
      <c r="O3320" s="30"/>
      <c r="P3320" s="30"/>
      <c r="Q3320" s="35">
        <v>522.0</v>
      </c>
      <c r="R3320" s="32">
        <v>45523.0</v>
      </c>
      <c r="S3320" s="32">
        <v>44840.0</v>
      </c>
      <c r="T3320" s="29"/>
      <c r="U3320" s="33"/>
      <c r="V3320" s="1"/>
    </row>
    <row r="3321" ht="24.0" customHeight="1">
      <c r="A3321" s="1"/>
      <c r="B3321" s="24" t="str">
        <f>HYPERLINK("https://www.compass.com/listing/61-martense-street-unit-1h-brooklyn-ny-11226/1423432686730511849/view?agent_id=610d3f3370540700019b0833","61 Martense St, Unit 1H")</f>
        <v>61 Martense St, Unit 1H</v>
      </c>
      <c r="C3321" s="25" t="s">
        <v>365</v>
      </c>
      <c r="D3321" s="26" t="s">
        <v>23</v>
      </c>
      <c r="E3321" s="27" t="str">
        <f>HYPERLINK("https://www.compass.com/building/brooklyn-flats-brooklyn-ny/293416613384923973/","Brooklyn Flats")</f>
        <v>Brooklyn Flats</v>
      </c>
      <c r="F3321" s="25" t="s">
        <v>112</v>
      </c>
      <c r="G3321" s="28">
        <v>699000.0</v>
      </c>
      <c r="H3321" s="28">
        <v>927.0</v>
      </c>
      <c r="I3321" s="28">
        <v>541.0</v>
      </c>
      <c r="J3321" s="28">
        <v>1752.0</v>
      </c>
      <c r="K3321" s="25" t="s">
        <v>28</v>
      </c>
      <c r="L3321" s="26">
        <v>4.0</v>
      </c>
      <c r="M3321" s="26">
        <v>2.0</v>
      </c>
      <c r="N3321" s="26">
        <v>1.0</v>
      </c>
      <c r="O3321" s="30"/>
      <c r="P3321" s="26">
        <v>754.0</v>
      </c>
      <c r="Q3321" s="35">
        <v>42.0</v>
      </c>
      <c r="R3321" s="32">
        <v>45400.0</v>
      </c>
      <c r="S3321" s="32">
        <v>45215.0</v>
      </c>
      <c r="T3321" s="29"/>
      <c r="U3321" s="33"/>
      <c r="V3321" s="1"/>
    </row>
    <row r="3322" ht="24.0" customHeight="1">
      <c r="A3322" s="1"/>
      <c r="B3322" s="24" t="str">
        <f>HYPERLINK("https://www.compass.com/listing/571-579-academy-street-unit-2c-manhattan-ny-10034/79466689816753393/view?agent_id=610d3f3370540700019b0833","571-579 Academy St, Unit 2C")</f>
        <v>571-579 Academy St, Unit 2C</v>
      </c>
      <c r="C3322" s="25" t="s">
        <v>364</v>
      </c>
      <c r="D3322" s="26" t="s">
        <v>23</v>
      </c>
      <c r="E3322" s="27" t="str">
        <f>HYPERLINK("https://www.compass.com/building/571-579-academy-st-manhattan-ny-10034/436384560708811933/","571-579 Academy St")</f>
        <v>571-579 Academy St</v>
      </c>
      <c r="F3322" s="25" t="s">
        <v>81</v>
      </c>
      <c r="G3322" s="28">
        <v>299000.0</v>
      </c>
      <c r="H3322" s="29"/>
      <c r="I3322" s="28">
        <v>599.0</v>
      </c>
      <c r="J3322" s="28">
        <v>2340.0</v>
      </c>
      <c r="K3322" s="25" t="s">
        <v>28</v>
      </c>
      <c r="L3322" s="26">
        <v>4.0</v>
      </c>
      <c r="M3322" s="26">
        <v>2.0</v>
      </c>
      <c r="N3322" s="26">
        <v>0.0</v>
      </c>
      <c r="O3322" s="26">
        <v>0.0</v>
      </c>
      <c r="P3322" s="30"/>
      <c r="Q3322" s="35">
        <v>192.0</v>
      </c>
      <c r="R3322" s="32">
        <v>44581.0</v>
      </c>
      <c r="S3322" s="32">
        <v>41185.0</v>
      </c>
      <c r="T3322" s="29"/>
      <c r="U3322" s="33"/>
      <c r="V3322" s="1"/>
    </row>
    <row r="3323" ht="24.0" customHeight="1">
      <c r="A3323" s="1"/>
      <c r="B3323" s="24" t="str">
        <f>HYPERLINK("https://www.compass.com/listing/1008-decatur-street-unit-1a-brooklyn-ny-11207/849057320322572257/view?agent_id=610d3f3370540700019b0833","1008 Decatur St, Unit 1A")</f>
        <v>1008 Decatur St, Unit 1A</v>
      </c>
      <c r="C3323" s="25" t="s">
        <v>370</v>
      </c>
      <c r="D3323" s="26" t="s">
        <v>23</v>
      </c>
      <c r="E3323" s="27" t="str">
        <f>HYPERLINK("https://www.compass.com/building/1008-decatur-st-brooklyn-ny-11207/293426517193596725/","1008 Decatur St")</f>
        <v>1008 Decatur St</v>
      </c>
      <c r="F3323" s="25" t="s">
        <v>82</v>
      </c>
      <c r="G3323" s="28">
        <v>835000.0</v>
      </c>
      <c r="H3323" s="28">
        <v>833.0</v>
      </c>
      <c r="I3323" s="28">
        <v>1740.0</v>
      </c>
      <c r="J3323" s="28">
        <v>12924.0</v>
      </c>
      <c r="K3323" s="25" t="s">
        <v>28</v>
      </c>
      <c r="L3323" s="26">
        <v>4.0</v>
      </c>
      <c r="M3323" s="26">
        <v>2.0</v>
      </c>
      <c r="N3323" s="26">
        <v>0.0</v>
      </c>
      <c r="O3323" s="26">
        <v>0.0</v>
      </c>
      <c r="P3323" s="34">
        <v>1003.0</v>
      </c>
      <c r="Q3323" s="35">
        <v>126.0</v>
      </c>
      <c r="R3323" s="32">
        <v>45636.0</v>
      </c>
      <c r="S3323" s="32">
        <v>42822.0</v>
      </c>
      <c r="T3323" s="29"/>
      <c r="U3323" s="33"/>
      <c r="V3323" s="1"/>
    </row>
    <row r="3324" ht="24.0" customHeight="1">
      <c r="A3324" s="1"/>
      <c r="B3324" s="24" t="str">
        <f>HYPERLINK("https://www.compass.com/listing/581-academy-street-unit-2f-manhattan-ny-10034/345707232813389713/view?agent_id=610d3f3370540700019b0833","581 Academy St, Unit 2F")</f>
        <v>581 Academy St, Unit 2F</v>
      </c>
      <c r="C3324" s="25" t="s">
        <v>364</v>
      </c>
      <c r="D3324" s="26" t="s">
        <v>23</v>
      </c>
      <c r="E3324" s="27" t="str">
        <f>HYPERLINK("https://www.compass.com/building/581-academy-st-manhattan-ny-10034/282060341662220757/","581 Academy St")</f>
        <v>581 Academy St</v>
      </c>
      <c r="F3324" s="25" t="s">
        <v>81</v>
      </c>
      <c r="G3324" s="28">
        <v>525000.0</v>
      </c>
      <c r="H3324" s="29"/>
      <c r="I3324" s="28">
        <v>889.0</v>
      </c>
      <c r="J3324" s="28">
        <v>4471.0</v>
      </c>
      <c r="K3324" s="25" t="s">
        <v>28</v>
      </c>
      <c r="L3324" s="26">
        <v>4.0</v>
      </c>
      <c r="M3324" s="26">
        <v>2.0</v>
      </c>
      <c r="N3324" s="26">
        <v>1.0</v>
      </c>
      <c r="O3324" s="30"/>
      <c r="P3324" s="30"/>
      <c r="Q3324" s="35">
        <v>56.0</v>
      </c>
      <c r="R3324" s="32">
        <v>43902.0</v>
      </c>
      <c r="S3324" s="32">
        <v>43733.0</v>
      </c>
      <c r="T3324" s="29"/>
      <c r="U3324" s="33"/>
      <c r="V3324" s="1"/>
    </row>
    <row r="3325" ht="24.0" customHeight="1">
      <c r="A3325" s="1"/>
      <c r="B3325" s="24" t="str">
        <f>HYPERLINK("https://www.compass.com/listing/56-east-126th-street-unit-2-manhattan-ny-10035/986987339949163913/view?agent_id=610d3f3370540700019b0833","56 E 126th St, Unit 2")</f>
        <v>56 E 126th St, Unit 2</v>
      </c>
      <c r="C3325" s="25" t="s">
        <v>364</v>
      </c>
      <c r="D3325" s="26" t="s">
        <v>23</v>
      </c>
      <c r="E3325" s="27" t="str">
        <f>HYPERLINK("https://www.compass.com/building/56-e-126th-st-manhattan-ny-10035/282022515709058933/","56 E 126th St")</f>
        <v>56 E 126th St</v>
      </c>
      <c r="F3325" s="25" t="s">
        <v>45</v>
      </c>
      <c r="G3325" s="28">
        <v>775000.0</v>
      </c>
      <c r="H3325" s="28">
        <v>884.0</v>
      </c>
      <c r="I3325" s="28">
        <v>465.0</v>
      </c>
      <c r="J3325" s="28">
        <v>420.0</v>
      </c>
      <c r="K3325" s="25" t="s">
        <v>28</v>
      </c>
      <c r="L3325" s="26">
        <v>4.0</v>
      </c>
      <c r="M3325" s="26">
        <v>2.0</v>
      </c>
      <c r="N3325" s="26">
        <v>1.0</v>
      </c>
      <c r="O3325" s="26">
        <v>0.0</v>
      </c>
      <c r="P3325" s="26">
        <v>877.0</v>
      </c>
      <c r="Q3325" s="35">
        <v>119.0</v>
      </c>
      <c r="R3325" s="32">
        <v>44733.0</v>
      </c>
      <c r="S3325" s="32">
        <v>44613.0</v>
      </c>
      <c r="T3325" s="29"/>
      <c r="U3325" s="33"/>
      <c r="V3325" s="1"/>
    </row>
    <row r="3326" ht="24.0" customHeight="1">
      <c r="A3326" s="1"/>
      <c r="B3326" s="24" t="str">
        <f>HYPERLINK("https://www.compass.com/listing/880-west-181st-street-unit-4d-manhattan-ny-10033/1365065131116843009/view?agent_id=610d3f3370540700019b0833","880 W 181st St, Unit 4D")</f>
        <v>880 W 181st St, Unit 4D</v>
      </c>
      <c r="C3326" s="25" t="s">
        <v>370</v>
      </c>
      <c r="D3326" s="26" t="s">
        <v>23</v>
      </c>
      <c r="E3326" s="27" t="str">
        <f t="shared" ref="E3326:E3327" si="103">HYPERLINK("https://www.compass.com/building/the-falkland-co-op-manhattan-ny/282013989494327717/","The Falkland Co-op")</f>
        <v>The Falkland Co-op</v>
      </c>
      <c r="F3326" s="25" t="s">
        <v>58</v>
      </c>
      <c r="G3326" s="28">
        <v>715000.0</v>
      </c>
      <c r="H3326" s="28">
        <v>596.0</v>
      </c>
      <c r="I3326" s="28">
        <v>1575.0</v>
      </c>
      <c r="J3326" s="28">
        <v>0.0</v>
      </c>
      <c r="K3326" s="25" t="s">
        <v>25</v>
      </c>
      <c r="L3326" s="26">
        <v>6.0</v>
      </c>
      <c r="M3326" s="26">
        <v>2.0</v>
      </c>
      <c r="N3326" s="26">
        <v>1.0</v>
      </c>
      <c r="O3326" s="30"/>
      <c r="P3326" s="34">
        <v>1200.0</v>
      </c>
      <c r="Q3326" s="35">
        <v>182.0</v>
      </c>
      <c r="R3326" s="32">
        <v>45318.0</v>
      </c>
      <c r="S3326" s="32">
        <v>45135.0</v>
      </c>
      <c r="T3326" s="29"/>
      <c r="U3326" s="33"/>
      <c r="V3326" s="1"/>
    </row>
    <row r="3327" ht="24.0" customHeight="1">
      <c r="A3327" s="1"/>
      <c r="B3327" s="24" t="str">
        <f>HYPERLINK("https://www.compass.com/listing/880-west-181st-street-unit-2c-manhattan-ny-10033/988621147610833625/view?agent_id=610d3f3370540700019b0833","880 W 181st St, Unit 2C")</f>
        <v>880 W 181st St, Unit 2C</v>
      </c>
      <c r="C3327" s="25" t="s">
        <v>370</v>
      </c>
      <c r="D3327" s="26" t="s">
        <v>23</v>
      </c>
      <c r="E3327" s="27" t="str">
        <f t="shared" si="103"/>
        <v>The Falkland Co-op</v>
      </c>
      <c r="F3327" s="25" t="s">
        <v>58</v>
      </c>
      <c r="G3327" s="28">
        <v>699000.0</v>
      </c>
      <c r="H3327" s="28">
        <v>717.0</v>
      </c>
      <c r="I3327" s="28">
        <v>949.0</v>
      </c>
      <c r="J3327" s="28">
        <v>0.0</v>
      </c>
      <c r="K3327" s="25" t="s">
        <v>25</v>
      </c>
      <c r="L3327" s="26">
        <v>4.0</v>
      </c>
      <c r="M3327" s="26">
        <v>2.0</v>
      </c>
      <c r="N3327" s="26">
        <v>1.0</v>
      </c>
      <c r="O3327" s="26">
        <v>0.0</v>
      </c>
      <c r="P3327" s="26">
        <v>975.0</v>
      </c>
      <c r="Q3327" s="35">
        <v>162.0</v>
      </c>
      <c r="R3327" s="32">
        <v>44792.0</v>
      </c>
      <c r="S3327" s="32">
        <v>44629.0</v>
      </c>
      <c r="T3327" s="29"/>
      <c r="U3327" s="33"/>
      <c r="V3327" s="1"/>
    </row>
    <row r="3328" ht="24.0" customHeight="1">
      <c r="A3328" s="1"/>
      <c r="B3328" s="24" t="str">
        <f>HYPERLINK("https://www.compass.com/listing/77-east-110th-street-unit-7a-manhattan-ny-10029/4852261025929497505/view?agent_id=610d3f3370540700019b0833","77 E 110th St, Unit 7A")</f>
        <v>77 E 110th St, Unit 7A</v>
      </c>
      <c r="C3328" s="25" t="s">
        <v>364</v>
      </c>
      <c r="D3328" s="26" t="s">
        <v>23</v>
      </c>
      <c r="E3328" s="27" t="str">
        <f>HYPERLINK("https://www.compass.com/building/77-condominiums-manhattan-ny/281992190891244549/","77 Condominiums")</f>
        <v>77 Condominiums</v>
      </c>
      <c r="F3328" s="25" t="s">
        <v>45</v>
      </c>
      <c r="G3328" s="28">
        <v>1064700.0</v>
      </c>
      <c r="H3328" s="28">
        <v>1031.0</v>
      </c>
      <c r="I3328" s="28">
        <v>447.0</v>
      </c>
      <c r="J3328" s="28">
        <v>1012.0</v>
      </c>
      <c r="K3328" s="25" t="s">
        <v>28</v>
      </c>
      <c r="L3328" s="26">
        <v>3.0</v>
      </c>
      <c r="M3328" s="26">
        <v>2.0</v>
      </c>
      <c r="N3328" s="26">
        <v>1.0</v>
      </c>
      <c r="O3328" s="26">
        <v>0.0</v>
      </c>
      <c r="P3328" s="34">
        <v>1033.0</v>
      </c>
      <c r="Q3328" s="35">
        <v>155.0</v>
      </c>
      <c r="R3328" s="32">
        <v>44581.0</v>
      </c>
      <c r="S3328" s="32">
        <v>42352.0</v>
      </c>
      <c r="T3328" s="29"/>
      <c r="U3328" s="33"/>
      <c r="V3328" s="1"/>
    </row>
    <row r="3329" ht="24.0" customHeight="1">
      <c r="A3329" s="1"/>
      <c r="B3329" s="24" t="str">
        <f>HYPERLINK("https://www.compass.com/listing/610-east-7th-street-unit-1b-brooklyn-ny-11218/192568915858035409/view?agent_id=610d3f3370540700019b0833","610 E 7th St, Unit 1B")</f>
        <v>610 E 7th St, Unit 1B</v>
      </c>
      <c r="C3329" s="25" t="s">
        <v>370</v>
      </c>
      <c r="D3329" s="26" t="s">
        <v>23</v>
      </c>
      <c r="E3329" s="27" t="str">
        <f>HYPERLINK("https://www.compass.com/building/610-e-7th-st-brooklyn-ny-11218/307453667539880693/","610 E 7th St")</f>
        <v>610 E 7th St</v>
      </c>
      <c r="F3329" s="25" t="s">
        <v>117</v>
      </c>
      <c r="G3329" s="28">
        <v>818000.0</v>
      </c>
      <c r="H3329" s="28">
        <v>487.0</v>
      </c>
      <c r="I3329" s="28">
        <v>548.0</v>
      </c>
      <c r="J3329" s="28">
        <v>708.0</v>
      </c>
      <c r="K3329" s="25" t="s">
        <v>28</v>
      </c>
      <c r="L3329" s="26">
        <v>5.0</v>
      </c>
      <c r="M3329" s="26">
        <v>2.0</v>
      </c>
      <c r="N3329" s="26">
        <v>0.0</v>
      </c>
      <c r="O3329" s="26">
        <v>0.0</v>
      </c>
      <c r="P3329" s="34">
        <v>1681.0</v>
      </c>
      <c r="Q3329" s="35">
        <v>177.0</v>
      </c>
      <c r="R3329" s="32">
        <v>45636.0</v>
      </c>
      <c r="S3329" s="32">
        <v>41794.0</v>
      </c>
      <c r="T3329" s="29"/>
      <c r="U3329" s="33"/>
      <c r="V3329" s="1"/>
    </row>
    <row r="3330" ht="24.0" customHeight="1">
      <c r="A3330" s="1"/>
      <c r="B3330" s="24" t="str">
        <f>HYPERLINK("https://www.compass.com/listing/116-pinehurst-avenue-unit-m41-manhattan-ny-10033/244156222310225361/view?agent_id=610d3f3370540700019b0833","116 Pinehurst Ave, Unit M41")</f>
        <v>116 Pinehurst Ave, Unit M41</v>
      </c>
      <c r="C3330" s="25" t="s">
        <v>364</v>
      </c>
      <c r="D3330" s="26" t="s">
        <v>23</v>
      </c>
      <c r="E3330" s="27" t="str">
        <f>HYPERLINK("https://www.compass.com/building/116-pinehurst-ave-manhattan-ny-10033/282010085335629477/","116 Pinehurst Ave")</f>
        <v>116 Pinehurst Ave</v>
      </c>
      <c r="F3330" s="25" t="s">
        <v>58</v>
      </c>
      <c r="G3330" s="28">
        <v>699000.0</v>
      </c>
      <c r="H3330" s="29"/>
      <c r="I3330" s="28">
        <v>1237.0</v>
      </c>
      <c r="J3330" s="28">
        <v>0.0</v>
      </c>
      <c r="K3330" s="25" t="s">
        <v>25</v>
      </c>
      <c r="L3330" s="26">
        <v>4.0</v>
      </c>
      <c r="M3330" s="26">
        <v>2.0</v>
      </c>
      <c r="N3330" s="26">
        <v>1.0</v>
      </c>
      <c r="O3330" s="30"/>
      <c r="P3330" s="30"/>
      <c r="Q3330" s="35">
        <v>69.0</v>
      </c>
      <c r="R3330" s="32">
        <v>43711.0</v>
      </c>
      <c r="S3330" s="32">
        <v>43591.0</v>
      </c>
      <c r="T3330" s="29"/>
      <c r="U3330" s="33"/>
      <c r="V3330" s="1"/>
    </row>
    <row r="3331" ht="24.0" customHeight="1">
      <c r="A3331" s="1"/>
      <c r="B3331" s="24" t="str">
        <f>HYPERLINK("https://www.compass.com/listing/34-crooke-avenue-unit-5d-brooklyn-ny-11226/1109383183540581857/view?agent_id=610d3f3370540700019b0833","34 Crooke Ave, Unit 5D")</f>
        <v>34 Crooke Ave, Unit 5D</v>
      </c>
      <c r="C3331" s="25" t="s">
        <v>364</v>
      </c>
      <c r="D3331" s="26" t="s">
        <v>23</v>
      </c>
      <c r="E3331" s="27" t="str">
        <f>HYPERLINK("https://www.compass.com/building/alvora-brooklyn-ny/293416620238416629/","Alvora")</f>
        <v>Alvora</v>
      </c>
      <c r="F3331" s="25" t="s">
        <v>358</v>
      </c>
      <c r="G3331" s="28">
        <v>449000.0</v>
      </c>
      <c r="H3331" s="29"/>
      <c r="I3331" s="28">
        <v>390.0</v>
      </c>
      <c r="J3331" s="28">
        <v>144.0</v>
      </c>
      <c r="K3331" s="25" t="s">
        <v>28</v>
      </c>
      <c r="L3331" s="26">
        <v>4.0</v>
      </c>
      <c r="M3331" s="26">
        <v>2.0</v>
      </c>
      <c r="N3331" s="26">
        <v>0.0</v>
      </c>
      <c r="O3331" s="26">
        <v>0.0</v>
      </c>
      <c r="P3331" s="30"/>
      <c r="Q3331" s="35">
        <v>146.0</v>
      </c>
      <c r="R3331" s="32">
        <v>44581.0</v>
      </c>
      <c r="S3331" s="32">
        <v>41185.0</v>
      </c>
      <c r="T3331" s="29"/>
      <c r="U3331" s="33"/>
      <c r="V3331" s="1"/>
    </row>
    <row r="3332" ht="24.0" customHeight="1">
      <c r="A3332" s="1"/>
      <c r="B3332" s="24" t="str">
        <f>HYPERLINK("https://www.compass.com/listing/77-east-110th-street-unit-5b-manhattan-ny-10029/4852281395407492705/view?agent_id=610d3f3370540700019b0833","77 E 110th St, Unit 5B")</f>
        <v>77 E 110th St, Unit 5B</v>
      </c>
      <c r="C3332" s="25" t="s">
        <v>364</v>
      </c>
      <c r="D3332" s="26" t="s">
        <v>23</v>
      </c>
      <c r="E3332" s="27" t="str">
        <f t="shared" ref="E3332:E3334" si="104">HYPERLINK("https://www.compass.com/building/77-condominiums-manhattan-ny/281992190891244549/","77 Condominiums")</f>
        <v>77 Condominiums</v>
      </c>
      <c r="F3332" s="25" t="s">
        <v>45</v>
      </c>
      <c r="G3332" s="28">
        <v>899000.0</v>
      </c>
      <c r="H3332" s="28">
        <v>945.0</v>
      </c>
      <c r="I3332" s="28">
        <v>378.0</v>
      </c>
      <c r="J3332" s="28">
        <v>856.0</v>
      </c>
      <c r="K3332" s="25" t="s">
        <v>28</v>
      </c>
      <c r="L3332" s="26">
        <v>4.0</v>
      </c>
      <c r="M3332" s="26">
        <v>2.0</v>
      </c>
      <c r="N3332" s="26">
        <v>1.0</v>
      </c>
      <c r="O3332" s="26">
        <v>0.0</v>
      </c>
      <c r="P3332" s="26">
        <v>951.0</v>
      </c>
      <c r="Q3332" s="35">
        <v>12.0</v>
      </c>
      <c r="R3332" s="32">
        <v>45636.0</v>
      </c>
      <c r="S3332" s="32">
        <v>42305.0</v>
      </c>
      <c r="T3332" s="29"/>
      <c r="U3332" s="33"/>
      <c r="V3332" s="1"/>
    </row>
    <row r="3333" ht="24.0" customHeight="1">
      <c r="A3333" s="1"/>
      <c r="B3333" s="24" t="str">
        <f>HYPERLINK("https://www.compass.com/listing/77-east-110th-street-unit-4a-manhattan-ny-10029/320151047263484401/view?agent_id=610d3f3370540700019b0833","77 E 110th St, Unit 4A")</f>
        <v>77 E 110th St, Unit 4A</v>
      </c>
      <c r="C3333" s="25" t="s">
        <v>364</v>
      </c>
      <c r="D3333" s="26" t="s">
        <v>23</v>
      </c>
      <c r="E3333" s="27" t="str">
        <f t="shared" si="104"/>
        <v>77 Condominiums</v>
      </c>
      <c r="F3333" s="25" t="s">
        <v>45</v>
      </c>
      <c r="G3333" s="28">
        <v>929000.0</v>
      </c>
      <c r="H3333" s="28">
        <v>899.0</v>
      </c>
      <c r="I3333" s="28">
        <v>390.0</v>
      </c>
      <c r="J3333" s="28">
        <v>884.0</v>
      </c>
      <c r="K3333" s="25" t="s">
        <v>28</v>
      </c>
      <c r="L3333" s="26">
        <v>4.0</v>
      </c>
      <c r="M3333" s="26">
        <v>2.0</v>
      </c>
      <c r="N3333" s="26">
        <v>1.0</v>
      </c>
      <c r="O3333" s="26">
        <v>0.0</v>
      </c>
      <c r="P3333" s="34">
        <v>1033.0</v>
      </c>
      <c r="Q3333" s="35">
        <v>179.0</v>
      </c>
      <c r="R3333" s="32">
        <v>45636.0</v>
      </c>
      <c r="S3333" s="32">
        <v>42328.0</v>
      </c>
      <c r="T3333" s="29"/>
      <c r="U3333" s="33"/>
      <c r="V3333" s="1"/>
    </row>
    <row r="3334" ht="24.0" customHeight="1">
      <c r="A3334" s="1"/>
      <c r="B3334" s="24" t="str">
        <f>HYPERLINK("https://www.compass.com/listing/77-east-110th-street-unit-6c-manhattan-ny-10029/4852281293829847361/view?agent_id=610d3f3370540700019b0833","77 E 110th St, Unit 6C")</f>
        <v>77 E 110th St, Unit 6C</v>
      </c>
      <c r="C3334" s="25" t="s">
        <v>364</v>
      </c>
      <c r="D3334" s="26" t="s">
        <v>23</v>
      </c>
      <c r="E3334" s="27" t="str">
        <f t="shared" si="104"/>
        <v>77 Condominiums</v>
      </c>
      <c r="F3334" s="25" t="s">
        <v>45</v>
      </c>
      <c r="G3334" s="28">
        <v>917100.0</v>
      </c>
      <c r="H3334" s="28">
        <v>998.0</v>
      </c>
      <c r="I3334" s="28">
        <v>385.0</v>
      </c>
      <c r="J3334" s="28">
        <v>871.0</v>
      </c>
      <c r="K3334" s="25" t="s">
        <v>28</v>
      </c>
      <c r="L3334" s="26">
        <v>4.0</v>
      </c>
      <c r="M3334" s="26">
        <v>2.0</v>
      </c>
      <c r="N3334" s="26">
        <v>1.0</v>
      </c>
      <c r="O3334" s="26">
        <v>0.0</v>
      </c>
      <c r="P3334" s="26">
        <v>919.0</v>
      </c>
      <c r="Q3334" s="35">
        <v>73.0</v>
      </c>
      <c r="R3334" s="32">
        <v>45636.0</v>
      </c>
      <c r="S3334" s="32">
        <v>42246.0</v>
      </c>
      <c r="T3334" s="29"/>
      <c r="U3334" s="33"/>
      <c r="V3334" s="1"/>
    </row>
    <row r="3335" ht="24.0" customHeight="1">
      <c r="A3335" s="1"/>
      <c r="B3335" s="24" t="str">
        <f>HYPERLINK("https://www.compass.com/listing/130-lenox-avenue-unit-806-manhattan-ny-10026/232601948551982017/view?agent_id=610d3f3370540700019b0833","130 Lenox Ave, Unit 806")</f>
        <v>130 Lenox Ave, Unit 806</v>
      </c>
      <c r="C3335" s="25" t="s">
        <v>364</v>
      </c>
      <c r="D3335" s="26" t="s">
        <v>23</v>
      </c>
      <c r="E3335" s="27" t="str">
        <f>HYPERLINK("https://www.compass.com/building/the-renaissance-manhattan-ny/281974458774807237/","The Renaissance")</f>
        <v>The Renaissance</v>
      </c>
      <c r="F3335" s="25" t="s">
        <v>45</v>
      </c>
      <c r="G3335" s="28">
        <v>625000.0</v>
      </c>
      <c r="H3335" s="29"/>
      <c r="I3335" s="28">
        <v>1530.0</v>
      </c>
      <c r="J3335" s="28">
        <v>0.0</v>
      </c>
      <c r="K3335" s="25" t="s">
        <v>25</v>
      </c>
      <c r="L3335" s="26">
        <v>4.0</v>
      </c>
      <c r="M3335" s="26">
        <v>2.0</v>
      </c>
      <c r="N3335" s="26">
        <v>1.0</v>
      </c>
      <c r="O3335" s="26">
        <v>0.0</v>
      </c>
      <c r="P3335" s="30"/>
      <c r="Q3335" s="35">
        <v>183.0</v>
      </c>
      <c r="R3335" s="32">
        <v>43838.0</v>
      </c>
      <c r="S3335" s="32">
        <v>43577.0</v>
      </c>
      <c r="T3335" s="29"/>
      <c r="U3335" s="33"/>
      <c r="V3335" s="1"/>
    </row>
    <row r="3336" ht="24.0" customHeight="1">
      <c r="A3336" s="1"/>
      <c r="B3336" s="24" t="str">
        <f>HYPERLINK("https://www.compass.com/listing/371-fort-washington-avenue-unit-6c-manhattan-ny-10033/1782653725759829633/view?agent_id=610d3f3370540700019b0833","371 Fort Washington Ave, Unit 6C")</f>
        <v>371 Fort Washington Ave, Unit 6C</v>
      </c>
      <c r="C3336" s="25" t="s">
        <v>365</v>
      </c>
      <c r="D3336" s="26" t="s">
        <v>23</v>
      </c>
      <c r="E3336" s="27" t="str">
        <f>HYPERLINK("https://www.compass.com/building/371-fort-washington-ave-manhattan-ny-10033/294836989874201893/","371 Fort Washington Ave")</f>
        <v>371 Fort Washington Ave</v>
      </c>
      <c r="F3336" s="25" t="s">
        <v>58</v>
      </c>
      <c r="G3336" s="28">
        <v>539000.0</v>
      </c>
      <c r="H3336" s="29"/>
      <c r="I3336" s="28">
        <v>1304.0</v>
      </c>
      <c r="J3336" s="28">
        <v>0.0</v>
      </c>
      <c r="K3336" s="25" t="s">
        <v>25</v>
      </c>
      <c r="L3336" s="26">
        <v>4.0</v>
      </c>
      <c r="M3336" s="26">
        <v>2.0</v>
      </c>
      <c r="N3336" s="26">
        <v>1.0</v>
      </c>
      <c r="O3336" s="30"/>
      <c r="P3336" s="30"/>
      <c r="Q3336" s="35">
        <v>98.0</v>
      </c>
      <c r="R3336" s="32">
        <v>45810.0</v>
      </c>
      <c r="S3336" s="32">
        <v>45711.0</v>
      </c>
      <c r="T3336" s="29"/>
      <c r="U3336" s="33"/>
      <c r="V3336" s="1"/>
    </row>
    <row r="3337" ht="24.0" customHeight="1">
      <c r="A3337" s="1"/>
      <c r="B3337" s="24" t="str">
        <f>HYPERLINK("https://www.compass.com/listing/25-chittenden-avenue-unit-6b-manhattan-ny-10033/29512096995713921/view?agent_id=610d3f3370540700019b0833","25 Chittenden Ave, Unit 6B")</f>
        <v>25 Chittenden Ave, Unit 6B</v>
      </c>
      <c r="C3337" s="25" t="s">
        <v>364</v>
      </c>
      <c r="D3337" s="26" t="s">
        <v>23</v>
      </c>
      <c r="E3337" s="27" t="str">
        <f>HYPERLINK("https://www.compass.com/building/25-chittenden-ave-manhattan-ny-10033/292910860769172229/","25 Chittenden Ave")</f>
        <v>25 Chittenden Ave</v>
      </c>
      <c r="F3337" s="25" t="s">
        <v>58</v>
      </c>
      <c r="G3337" s="28">
        <v>829000.0</v>
      </c>
      <c r="H3337" s="29"/>
      <c r="I3337" s="28">
        <v>852.0</v>
      </c>
      <c r="J3337" s="29"/>
      <c r="K3337" s="25" t="s">
        <v>25</v>
      </c>
      <c r="L3337" s="26">
        <v>4.0</v>
      </c>
      <c r="M3337" s="26">
        <v>2.0</v>
      </c>
      <c r="N3337" s="26">
        <v>1.0</v>
      </c>
      <c r="O3337" s="26">
        <v>0.0</v>
      </c>
      <c r="P3337" s="30"/>
      <c r="Q3337" s="35">
        <v>369.0</v>
      </c>
      <c r="R3337" s="32">
        <v>45636.0</v>
      </c>
      <c r="S3337" s="32">
        <v>43054.0</v>
      </c>
      <c r="T3337" s="29"/>
      <c r="U3337" s="33"/>
      <c r="V3337" s="1"/>
    </row>
    <row r="3338" ht="24.0" customHeight="1">
      <c r="A3338" s="1"/>
      <c r="B3338" s="24" t="str">
        <f>HYPERLINK("https://www.compass.com/listing/250-cabrini-boulevard-unit-3f-manhattan-ny-10033/1085530373121245761/view?agent_id=610d3f3370540700019b0833","250 Cabrini Blvd, Unit 3F")</f>
        <v>250 Cabrini Blvd, Unit 3F</v>
      </c>
      <c r="C3338" s="25" t="s">
        <v>364</v>
      </c>
      <c r="D3338" s="26" t="s">
        <v>23</v>
      </c>
      <c r="E3338" s="27" t="str">
        <f>HYPERLINK("https://www.compass.com/building/250-cabrini-blvd-manhattan-ny-10033/282011187128828293/","250 Cabrini Blvd")</f>
        <v>250 Cabrini Blvd</v>
      </c>
      <c r="F3338" s="25" t="s">
        <v>58</v>
      </c>
      <c r="G3338" s="28">
        <v>669000.0</v>
      </c>
      <c r="H3338" s="28">
        <v>769.0</v>
      </c>
      <c r="I3338" s="28">
        <v>1092.0</v>
      </c>
      <c r="J3338" s="29"/>
      <c r="K3338" s="25" t="s">
        <v>25</v>
      </c>
      <c r="L3338" s="26">
        <v>4.0</v>
      </c>
      <c r="M3338" s="26">
        <v>2.0</v>
      </c>
      <c r="N3338" s="26">
        <v>1.0</v>
      </c>
      <c r="O3338" s="26">
        <v>0.0</v>
      </c>
      <c r="P3338" s="26">
        <v>870.0</v>
      </c>
      <c r="Q3338" s="35">
        <v>89.0</v>
      </c>
      <c r="R3338" s="32">
        <v>45636.0</v>
      </c>
      <c r="S3338" s="32">
        <v>44749.0</v>
      </c>
      <c r="T3338" s="29"/>
      <c r="U3338" s="33"/>
      <c r="V3338" s="1"/>
    </row>
    <row r="3339" ht="24.0" customHeight="1">
      <c r="A3339" s="1"/>
      <c r="B3339" s="24" t="str">
        <f>HYPERLINK("https://www.compass.com/listing/130-lenox-avenue-unit-621-manhattan-ny-10026/633820047543524745/view?agent_id=610d3f3370540700019b0833","130 Lenox Ave, Unit 621")</f>
        <v>130 Lenox Ave, Unit 621</v>
      </c>
      <c r="C3339" s="25" t="s">
        <v>364</v>
      </c>
      <c r="D3339" s="26" t="s">
        <v>23</v>
      </c>
      <c r="E3339" s="27" t="str">
        <f t="shared" ref="E3339:E3342" si="105">HYPERLINK("https://www.compass.com/building/the-renaissance-manhattan-ny/281974458774807237/","The Renaissance")</f>
        <v>The Renaissance</v>
      </c>
      <c r="F3339" s="25" t="s">
        <v>45</v>
      </c>
      <c r="G3339" s="28">
        <v>489000.0</v>
      </c>
      <c r="H3339" s="29"/>
      <c r="I3339" s="28">
        <v>1286.0</v>
      </c>
      <c r="J3339" s="28">
        <v>0.0</v>
      </c>
      <c r="K3339" s="25" t="s">
        <v>25</v>
      </c>
      <c r="L3339" s="26">
        <v>5.0</v>
      </c>
      <c r="M3339" s="26">
        <v>2.0</v>
      </c>
      <c r="N3339" s="26">
        <v>1.0</v>
      </c>
      <c r="O3339" s="30"/>
      <c r="P3339" s="30"/>
      <c r="Q3339" s="35">
        <v>257.0</v>
      </c>
      <c r="R3339" s="32">
        <v>44405.0</v>
      </c>
      <c r="S3339" s="32">
        <v>44148.0</v>
      </c>
      <c r="T3339" s="29"/>
      <c r="U3339" s="33"/>
      <c r="V3339" s="1"/>
    </row>
    <row r="3340" ht="24.0" customHeight="1">
      <c r="A3340" s="1"/>
      <c r="B3340" s="24" t="str">
        <f>HYPERLINK("https://www.compass.com/listing/130-lenox-avenue-unit-900-manhattan-ny-10026/192572961247565969/view?agent_id=610d3f3370540700019b0833","130 Lenox Ave, Unit 900")</f>
        <v>130 Lenox Ave, Unit 900</v>
      </c>
      <c r="C3340" s="25" t="s">
        <v>364</v>
      </c>
      <c r="D3340" s="26" t="s">
        <v>23</v>
      </c>
      <c r="E3340" s="27" t="str">
        <f t="shared" si="105"/>
        <v>The Renaissance</v>
      </c>
      <c r="F3340" s="25" t="s">
        <v>45</v>
      </c>
      <c r="G3340" s="28">
        <v>399000.0</v>
      </c>
      <c r="H3340" s="28">
        <v>443.0</v>
      </c>
      <c r="I3340" s="28">
        <v>1340.0</v>
      </c>
      <c r="J3340" s="29"/>
      <c r="K3340" s="25" t="s">
        <v>25</v>
      </c>
      <c r="L3340" s="26">
        <v>4.0</v>
      </c>
      <c r="M3340" s="26">
        <v>2.0</v>
      </c>
      <c r="N3340" s="26">
        <v>1.0</v>
      </c>
      <c r="O3340" s="26">
        <v>0.0</v>
      </c>
      <c r="P3340" s="26">
        <v>900.0</v>
      </c>
      <c r="Q3340" s="35">
        <v>285.0</v>
      </c>
      <c r="R3340" s="32">
        <v>45636.0</v>
      </c>
      <c r="S3340" s="32">
        <v>42123.0</v>
      </c>
      <c r="T3340" s="29"/>
      <c r="U3340" s="33"/>
      <c r="V3340" s="1"/>
    </row>
    <row r="3341" ht="24.0" customHeight="1">
      <c r="A3341" s="1"/>
      <c r="B3341" s="24" t="str">
        <f>HYPERLINK("https://www.compass.com/listing/130-lenox-avenue-unit-916-manhattan-ny-10026/803326163812102833/view?agent_id=610d3f3370540700019b0833","130 Lenox Ave, Unit 916")</f>
        <v>130 Lenox Ave, Unit 916</v>
      </c>
      <c r="C3341" s="25" t="s">
        <v>364</v>
      </c>
      <c r="D3341" s="26" t="s">
        <v>23</v>
      </c>
      <c r="E3341" s="27" t="str">
        <f t="shared" si="105"/>
        <v>The Renaissance</v>
      </c>
      <c r="F3341" s="25" t="s">
        <v>45</v>
      </c>
      <c r="G3341" s="28">
        <v>679000.0</v>
      </c>
      <c r="H3341" s="28">
        <v>679.0</v>
      </c>
      <c r="I3341" s="28">
        <v>1950.0</v>
      </c>
      <c r="J3341" s="29"/>
      <c r="K3341" s="25" t="s">
        <v>25</v>
      </c>
      <c r="L3341" s="26">
        <v>5.0</v>
      </c>
      <c r="M3341" s="26">
        <v>2.0</v>
      </c>
      <c r="N3341" s="26">
        <v>0.0</v>
      </c>
      <c r="O3341" s="26">
        <v>0.0</v>
      </c>
      <c r="P3341" s="34">
        <v>1000.0</v>
      </c>
      <c r="Q3341" s="35">
        <v>106.0</v>
      </c>
      <c r="R3341" s="32">
        <v>45636.0</v>
      </c>
      <c r="S3341" s="32">
        <v>43131.0</v>
      </c>
      <c r="T3341" s="29"/>
      <c r="U3341" s="33"/>
      <c r="V3341" s="1"/>
    </row>
    <row r="3342" ht="24.0" customHeight="1">
      <c r="A3342" s="1"/>
      <c r="B3342" s="24" t="str">
        <f>HYPERLINK("https://www.compass.com/listing/130-lenox-avenue-unit-310-manhattan-ny-10026/418688273290944177/view?agent_id=610d3f3370540700019b0833","130 Lenox Ave, Unit 310")</f>
        <v>130 Lenox Ave, Unit 310</v>
      </c>
      <c r="C3342" s="25" t="s">
        <v>364</v>
      </c>
      <c r="D3342" s="26" t="s">
        <v>23</v>
      </c>
      <c r="E3342" s="27" t="str">
        <f t="shared" si="105"/>
        <v>The Renaissance</v>
      </c>
      <c r="F3342" s="25" t="s">
        <v>45</v>
      </c>
      <c r="G3342" s="28">
        <v>499000.0</v>
      </c>
      <c r="H3342" s="29"/>
      <c r="I3342" s="28">
        <v>1103.0</v>
      </c>
      <c r="J3342" s="28">
        <v>0.0</v>
      </c>
      <c r="K3342" s="25" t="s">
        <v>25</v>
      </c>
      <c r="L3342" s="26">
        <v>5.0</v>
      </c>
      <c r="M3342" s="26">
        <v>2.0</v>
      </c>
      <c r="N3342" s="26">
        <v>1.0</v>
      </c>
      <c r="O3342" s="26">
        <v>0.0</v>
      </c>
      <c r="P3342" s="30"/>
      <c r="Q3342" s="35">
        <v>74.0</v>
      </c>
      <c r="R3342" s="32">
        <v>44004.0</v>
      </c>
      <c r="S3342" s="32">
        <v>43836.0</v>
      </c>
      <c r="T3342" s="29"/>
      <c r="U3342" s="33"/>
      <c r="V3342" s="1"/>
    </row>
    <row r="3343" ht="24.0" customHeight="1">
      <c r="A3343" s="1"/>
      <c r="B3343" s="24" t="str">
        <f>HYPERLINK("https://www.compass.com/listing/330-haven-avenue-unit-4l-manhattan-ny-10033/342523597557759825/view?agent_id=610d3f3370540700019b0833","330 Haven Ave, Unit 4L")</f>
        <v>330 Haven Ave, Unit 4L</v>
      </c>
      <c r="C3343" s="25" t="s">
        <v>365</v>
      </c>
      <c r="D3343" s="26" t="s">
        <v>23</v>
      </c>
      <c r="E3343" s="27" t="str">
        <f t="shared" ref="E3343:E3344" si="106">HYPERLINK("https://www.compass.com/building/lafayette-gardens-manhattan-ny/281927551918583045/","Lafayette Gardens")</f>
        <v>Lafayette Gardens</v>
      </c>
      <c r="F3343" s="25" t="s">
        <v>58</v>
      </c>
      <c r="G3343" s="28">
        <v>675000.0</v>
      </c>
      <c r="H3343" s="29"/>
      <c r="I3343" s="28">
        <v>1092.0</v>
      </c>
      <c r="J3343" s="28">
        <v>0.0</v>
      </c>
      <c r="K3343" s="25" t="s">
        <v>25</v>
      </c>
      <c r="L3343" s="26">
        <v>4.0</v>
      </c>
      <c r="M3343" s="26">
        <v>2.0</v>
      </c>
      <c r="N3343" s="26">
        <v>1.0</v>
      </c>
      <c r="O3343" s="26">
        <v>0.0</v>
      </c>
      <c r="P3343" s="30"/>
      <c r="Q3343" s="35">
        <v>155.0</v>
      </c>
      <c r="R3343" s="32">
        <v>43907.0</v>
      </c>
      <c r="S3343" s="32">
        <v>43724.0</v>
      </c>
      <c r="T3343" s="29"/>
      <c r="U3343" s="33"/>
      <c r="V3343" s="1"/>
    </row>
    <row r="3344" ht="24.0" customHeight="1">
      <c r="A3344" s="1"/>
      <c r="B3344" s="24" t="str">
        <f>HYPERLINK("https://www.compass.com/listing/330-haven-avenue-unit-4l-manhattan-ny-10033/520161214063138249/view?agent_id=610d3f3370540700019b0833","330 Haven Ave, Unit 4L")</f>
        <v>330 Haven Ave, Unit 4L</v>
      </c>
      <c r="C3344" s="25" t="s">
        <v>370</v>
      </c>
      <c r="D3344" s="26" t="s">
        <v>23</v>
      </c>
      <c r="E3344" s="27" t="str">
        <f t="shared" si="106"/>
        <v>Lafayette Gardens</v>
      </c>
      <c r="F3344" s="25" t="s">
        <v>58</v>
      </c>
      <c r="G3344" s="28">
        <v>649000.0</v>
      </c>
      <c r="H3344" s="29"/>
      <c r="I3344" s="28">
        <v>1092.0</v>
      </c>
      <c r="J3344" s="28">
        <v>0.0</v>
      </c>
      <c r="K3344" s="25" t="s">
        <v>25</v>
      </c>
      <c r="L3344" s="26">
        <v>4.0</v>
      </c>
      <c r="M3344" s="26">
        <v>2.0</v>
      </c>
      <c r="N3344" s="26">
        <v>1.0</v>
      </c>
      <c r="O3344" s="26">
        <v>0.0</v>
      </c>
      <c r="P3344" s="30"/>
      <c r="Q3344" s="35">
        <v>147.0</v>
      </c>
      <c r="R3344" s="32">
        <v>44151.0</v>
      </c>
      <c r="S3344" s="32">
        <v>43969.0</v>
      </c>
      <c r="T3344" s="29"/>
      <c r="U3344" s="33"/>
      <c r="V3344" s="1"/>
    </row>
    <row r="3345" ht="24.0" customHeight="1">
      <c r="A3345" s="1"/>
      <c r="B3345" s="24" t="str">
        <f>HYPERLINK("https://www.compass.com/listing/1878-adam-clayton-powell-jr-boulevard-unit-64-manhattan-ny-10026/1267667410378926569/view?agent_id=610d3f3370540700019b0833","1878 Adam Clayton Powell Jr Blvd, Unit 64")</f>
        <v>1878 Adam Clayton Powell Jr Blvd, Unit 64</v>
      </c>
      <c r="C3345" s="25" t="s">
        <v>364</v>
      </c>
      <c r="D3345" s="26" t="s">
        <v>23</v>
      </c>
      <c r="E3345" s="27" t="str">
        <f>HYPERLINK("https://www.compass.com/building/1878-adam-clayton-powell-jr-blvd-manhattan-ny-10026/281975036666013189/","1878 Adam Clayton Powell Jr Blvd")</f>
        <v>1878 Adam Clayton Powell Jr Blvd</v>
      </c>
      <c r="F3345" s="25" t="s">
        <v>45</v>
      </c>
      <c r="G3345" s="28">
        <v>460000.0</v>
      </c>
      <c r="H3345" s="29"/>
      <c r="I3345" s="28">
        <v>749.0</v>
      </c>
      <c r="J3345" s="28">
        <v>0.0</v>
      </c>
      <c r="K3345" s="25" t="s">
        <v>25</v>
      </c>
      <c r="L3345" s="26">
        <v>1.0</v>
      </c>
      <c r="M3345" s="26">
        <v>2.0</v>
      </c>
      <c r="N3345" s="26">
        <v>1.0</v>
      </c>
      <c r="O3345" s="30"/>
      <c r="P3345" s="30"/>
      <c r="Q3345" s="35">
        <v>81.0</v>
      </c>
      <c r="R3345" s="32">
        <v>45139.0</v>
      </c>
      <c r="S3345" s="32">
        <v>45000.0</v>
      </c>
      <c r="T3345" s="29"/>
      <c r="U3345" s="33"/>
      <c r="V3345" s="1"/>
    </row>
    <row r="3346" ht="24.0" customHeight="1">
      <c r="A3346" s="1"/>
      <c r="B3346" s="24" t="str">
        <f>HYPERLINK("https://www.compass.com/listing/115-cabrini-boulevard-unit-c22-manhattan-ny-10033/4852277999447323729/view?agent_id=610d3f3370540700019b0833","115 Cabrini Blvd, Unit C22")</f>
        <v>115 Cabrini Blvd, Unit C22</v>
      </c>
      <c r="C3346" s="25" t="s">
        <v>364</v>
      </c>
      <c r="D3346" s="26" t="s">
        <v>23</v>
      </c>
      <c r="E3346" s="27" t="str">
        <f>HYPERLINK("https://www.compass.com/building/hudson-gables-manhattan-ny/281927541516709109/","Hudson Gables")</f>
        <v>Hudson Gables</v>
      </c>
      <c r="F3346" s="25" t="s">
        <v>58</v>
      </c>
      <c r="G3346" s="28">
        <v>800000.0</v>
      </c>
      <c r="H3346" s="28">
        <v>625.0</v>
      </c>
      <c r="I3346" s="28">
        <v>1000.0</v>
      </c>
      <c r="J3346" s="29"/>
      <c r="K3346" s="25" t="s">
        <v>25</v>
      </c>
      <c r="L3346" s="26">
        <v>4.0</v>
      </c>
      <c r="M3346" s="26">
        <v>2.0</v>
      </c>
      <c r="N3346" s="26">
        <v>1.0</v>
      </c>
      <c r="O3346" s="26">
        <v>0.0</v>
      </c>
      <c r="P3346" s="34">
        <v>1280.0</v>
      </c>
      <c r="Q3346" s="35">
        <v>166.0</v>
      </c>
      <c r="R3346" s="32">
        <v>45636.0</v>
      </c>
      <c r="S3346" s="32">
        <v>42641.0</v>
      </c>
      <c r="T3346" s="29"/>
      <c r="U3346" s="33"/>
      <c r="V3346" s="1"/>
    </row>
    <row r="3347" ht="24.0" customHeight="1">
      <c r="A3347" s="1"/>
      <c r="B3347" s="24" t="str">
        <f>HYPERLINK("https://www.compass.com/listing/130-lenox-avenue-unit-916-manhattan-ny-10026/50855998788764449/view?agent_id=610d3f3370540700019b0833","130 Lenox Ave, Unit 916")</f>
        <v>130 Lenox Ave, Unit 916</v>
      </c>
      <c r="C3347" s="25" t="s">
        <v>370</v>
      </c>
      <c r="D3347" s="26" t="s">
        <v>23</v>
      </c>
      <c r="E3347" s="27" t="str">
        <f>HYPERLINK("https://www.compass.com/building/the-renaissance-manhattan-ny/281974458774807237/","The Renaissance")</f>
        <v>The Renaissance</v>
      </c>
      <c r="F3347" s="25" t="s">
        <v>45</v>
      </c>
      <c r="G3347" s="28">
        <v>629000.0</v>
      </c>
      <c r="H3347" s="28">
        <v>629.0</v>
      </c>
      <c r="I3347" s="28">
        <v>1913.0</v>
      </c>
      <c r="J3347" s="29"/>
      <c r="K3347" s="25" t="s">
        <v>25</v>
      </c>
      <c r="L3347" s="26">
        <v>5.0</v>
      </c>
      <c r="M3347" s="26">
        <v>2.0</v>
      </c>
      <c r="N3347" s="26">
        <v>0.0</v>
      </c>
      <c r="O3347" s="26">
        <v>0.0</v>
      </c>
      <c r="P3347" s="34">
        <v>1000.0</v>
      </c>
      <c r="Q3347" s="35">
        <v>114.0</v>
      </c>
      <c r="R3347" s="32">
        <v>44581.0</v>
      </c>
      <c r="S3347" s="32">
        <v>42093.0</v>
      </c>
      <c r="T3347" s="29"/>
      <c r="U3347" s="33"/>
      <c r="V3347" s="1"/>
    </row>
    <row r="3348" ht="24.0" customHeight="1">
      <c r="A3348" s="1"/>
      <c r="B3348" s="24" t="str">
        <f>HYPERLINK("https://www.compass.com/listing/880-west-181st-street-unit-5d-manhattan-ny-10033/1562279600713206441/view?agent_id=610d3f3370540700019b0833","880 W 181st St, Unit 5D")</f>
        <v>880 W 181st St, Unit 5D</v>
      </c>
      <c r="C3348" s="25" t="s">
        <v>365</v>
      </c>
      <c r="D3348" s="26" t="s">
        <v>23</v>
      </c>
      <c r="E3348" s="27" t="str">
        <f>HYPERLINK("https://www.compass.com/building/the-falkland-co-op-manhattan-ny/282013989494327717/","The Falkland Co-op")</f>
        <v>The Falkland Co-op</v>
      </c>
      <c r="F3348" s="25" t="s">
        <v>58</v>
      </c>
      <c r="G3348" s="28">
        <v>799000.0</v>
      </c>
      <c r="H3348" s="29"/>
      <c r="I3348" s="28">
        <v>1575.0</v>
      </c>
      <c r="J3348" s="28">
        <v>0.0</v>
      </c>
      <c r="K3348" s="25" t="s">
        <v>25</v>
      </c>
      <c r="L3348" s="26">
        <v>5.0</v>
      </c>
      <c r="M3348" s="26">
        <v>2.0</v>
      </c>
      <c r="N3348" s="26">
        <v>1.0</v>
      </c>
      <c r="O3348" s="26">
        <v>0.0</v>
      </c>
      <c r="P3348" s="30"/>
      <c r="Q3348" s="35">
        <v>91.0</v>
      </c>
      <c r="R3348" s="32">
        <v>45498.0</v>
      </c>
      <c r="S3348" s="32">
        <v>45407.0</v>
      </c>
      <c r="T3348" s="29"/>
      <c r="U3348" s="33"/>
      <c r="V3348" s="1"/>
    </row>
    <row r="3349" ht="24.0" customHeight="1">
      <c r="A3349" s="1"/>
      <c r="B3349" s="24" t="str">
        <f>HYPERLINK("https://www.compass.com/listing/550-fort-washington-avenue-unit-2d-manhattan-ny-10033/907251407522446521/view?agent_id=610d3f3370540700019b0833","550 Fort Washington Ave, Unit 2D")</f>
        <v>550 Fort Washington Ave, Unit 2D</v>
      </c>
      <c r="C3349" s="25" t="s">
        <v>365</v>
      </c>
      <c r="D3349" s="26" t="s">
        <v>23</v>
      </c>
      <c r="E3349" s="27" t="str">
        <f>HYPERLINK("https://www.compass.com/building/550-fort-washington-ave-manhattan-ny-10033/294847756551960517/","550 Fort Washington Ave")</f>
        <v>550 Fort Washington Ave</v>
      </c>
      <c r="F3349" s="25" t="s">
        <v>58</v>
      </c>
      <c r="G3349" s="28">
        <v>485000.0</v>
      </c>
      <c r="H3349" s="29"/>
      <c r="I3349" s="28">
        <v>927.0</v>
      </c>
      <c r="J3349" s="28">
        <v>0.0</v>
      </c>
      <c r="K3349" s="25" t="s">
        <v>25</v>
      </c>
      <c r="L3349" s="26">
        <v>4.0</v>
      </c>
      <c r="M3349" s="26">
        <v>2.0</v>
      </c>
      <c r="N3349" s="26">
        <v>1.0</v>
      </c>
      <c r="O3349" s="26">
        <v>0.0</v>
      </c>
      <c r="P3349" s="30"/>
      <c r="Q3349" s="31"/>
      <c r="R3349" s="32">
        <v>44503.0</v>
      </c>
      <c r="S3349" s="33"/>
      <c r="T3349" s="29"/>
      <c r="U3349" s="33"/>
      <c r="V3349" s="1"/>
    </row>
    <row r="3350" ht="24.0" customHeight="1">
      <c r="A3350" s="1"/>
      <c r="B3350" s="24" t="str">
        <f>HYPERLINK("https://www.compass.com/listing/29-west-119th-street-unit-3-manhattan-ny-10026/1616178971541657777/view?agent_id=610d3f3370540700019b0833","29 West 119th Street, Unit 3")</f>
        <v>29 West 119th Street, Unit 3</v>
      </c>
      <c r="C3350" s="25" t="s">
        <v>364</v>
      </c>
      <c r="D3350" s="26" t="s">
        <v>23</v>
      </c>
      <c r="E3350" s="27" t="str">
        <f>HYPERLINK("https://www.compass.com/building/29-w-119th-st-manhattan-ny-10026/281976193396338005/","29 W 119th St")</f>
        <v>29 W 119th St</v>
      </c>
      <c r="F3350" s="25" t="s">
        <v>45</v>
      </c>
      <c r="G3350" s="28">
        <v>559000.0</v>
      </c>
      <c r="H3350" s="28">
        <v>582.0</v>
      </c>
      <c r="I3350" s="28">
        <v>946.0</v>
      </c>
      <c r="J3350" s="28">
        <v>0.0</v>
      </c>
      <c r="K3350" s="25" t="s">
        <v>25</v>
      </c>
      <c r="L3350" s="26">
        <v>5.0</v>
      </c>
      <c r="M3350" s="26">
        <v>2.0</v>
      </c>
      <c r="N3350" s="26">
        <v>1.0</v>
      </c>
      <c r="O3350" s="30"/>
      <c r="P3350" s="26">
        <v>960.0</v>
      </c>
      <c r="Q3350" s="35">
        <v>101.0</v>
      </c>
      <c r="R3350" s="32">
        <v>45582.0</v>
      </c>
      <c r="S3350" s="32">
        <v>45481.0</v>
      </c>
      <c r="T3350" s="29"/>
      <c r="U3350" s="33"/>
      <c r="V3350" s="1"/>
    </row>
    <row r="3351" ht="24.0" customHeight="1">
      <c r="A3351" s="1"/>
      <c r="B3351" s="24" t="str">
        <f>HYPERLINK("https://www.compass.com/listing/1919-madison-avenue-unit-515-manhattan-ny-10035/339265638950316737/view?agent_id=610d3f3370540700019b0833","1919 Madison Avenue, Unit 515")</f>
        <v>1919 Madison Avenue, Unit 515</v>
      </c>
      <c r="C3351" s="25" t="s">
        <v>370</v>
      </c>
      <c r="D3351" s="26" t="s">
        <v>23</v>
      </c>
      <c r="E3351" s="27" t="str">
        <f>HYPERLINK("https://www.compass.com/building/1919-madison-ave-manhattan-ny-10035/292914302245940933/","1919 Madison Ave")</f>
        <v>1919 Madison Ave</v>
      </c>
      <c r="F3351" s="25" t="s">
        <v>45</v>
      </c>
      <c r="G3351" s="28">
        <v>625000.0</v>
      </c>
      <c r="H3351" s="29"/>
      <c r="I3351" s="28">
        <v>1195.0</v>
      </c>
      <c r="J3351" s="28">
        <v>0.0</v>
      </c>
      <c r="K3351" s="25" t="s">
        <v>25</v>
      </c>
      <c r="L3351" s="26">
        <v>4.0</v>
      </c>
      <c r="M3351" s="26">
        <v>2.0</v>
      </c>
      <c r="N3351" s="26">
        <v>1.0</v>
      </c>
      <c r="O3351" s="26">
        <v>0.0</v>
      </c>
      <c r="P3351" s="30"/>
      <c r="Q3351" s="35">
        <v>190.0</v>
      </c>
      <c r="R3351" s="32">
        <v>43915.0</v>
      </c>
      <c r="S3351" s="32">
        <v>43719.0</v>
      </c>
      <c r="T3351" s="29"/>
      <c r="U3351" s="33"/>
      <c r="V3351" s="1"/>
    </row>
    <row r="3352" ht="24.0" customHeight="1">
      <c r="A3352" s="1"/>
      <c r="B3352" s="24" t="str">
        <f>HYPERLINK("https://www.compass.com/listing/875-west-181st-street-unit-1d-manhattan-ny-10033/794737775408605569/view?agent_id=610d3f3370540700019b0833","875 West 181st Street, Unit 1D")</f>
        <v>875 West 181st Street, Unit 1D</v>
      </c>
      <c r="C3352" s="25" t="s">
        <v>364</v>
      </c>
      <c r="D3352" s="26" t="s">
        <v>23</v>
      </c>
      <c r="E3352" s="27" t="str">
        <f>HYPERLINK("https://www.compass.com/building/stirling-towers-manhattan-ny/282013983781687477/","Stirling Towers")</f>
        <v>Stirling Towers</v>
      </c>
      <c r="F3352" s="25" t="s">
        <v>58</v>
      </c>
      <c r="G3352" s="28">
        <v>460000.0</v>
      </c>
      <c r="H3352" s="29"/>
      <c r="I3352" s="28">
        <v>683.0</v>
      </c>
      <c r="J3352" s="28">
        <v>0.0</v>
      </c>
      <c r="K3352" s="25" t="s">
        <v>25</v>
      </c>
      <c r="L3352" s="26">
        <v>1.0</v>
      </c>
      <c r="M3352" s="26">
        <v>2.0</v>
      </c>
      <c r="N3352" s="26">
        <v>1.0</v>
      </c>
      <c r="O3352" s="30"/>
      <c r="P3352" s="30"/>
      <c r="Q3352" s="35">
        <v>163.0</v>
      </c>
      <c r="R3352" s="32">
        <v>44511.0</v>
      </c>
      <c r="S3352" s="32">
        <v>44348.0</v>
      </c>
      <c r="T3352" s="29"/>
      <c r="U3352" s="33"/>
      <c r="V3352" s="1"/>
    </row>
    <row r="3353" ht="24.0" customHeight="1">
      <c r="A3353" s="1"/>
      <c r="B3353" s="24" t="str">
        <f>HYPERLINK("https://www.compass.com/listing/307-west-111th-street-unit-2r-manhattan-ny-10026/1627563398772943473/view?agent_id=610d3f3370540700019b0833","307 West 111th Street, Unit 2R")</f>
        <v>307 West 111th Street, Unit 2R</v>
      </c>
      <c r="C3353" s="25" t="s">
        <v>370</v>
      </c>
      <c r="D3353" s="26" t="s">
        <v>23</v>
      </c>
      <c r="E3353" s="27" t="str">
        <f>HYPERLINK("https://www.compass.com/building/307-w-111th-st-manhattan-ny-10026/281926210353667925/","307 W 111th St")</f>
        <v>307 W 111th St</v>
      </c>
      <c r="F3353" s="25" t="s">
        <v>45</v>
      </c>
      <c r="G3353" s="28">
        <v>489000.0</v>
      </c>
      <c r="H3353" s="29"/>
      <c r="I3353" s="28">
        <v>702.0</v>
      </c>
      <c r="J3353" s="28">
        <v>0.0</v>
      </c>
      <c r="K3353" s="25" t="s">
        <v>25</v>
      </c>
      <c r="L3353" s="26">
        <v>3.0</v>
      </c>
      <c r="M3353" s="26">
        <v>2.0</v>
      </c>
      <c r="N3353" s="26">
        <v>1.0</v>
      </c>
      <c r="O3353" s="30"/>
      <c r="P3353" s="30"/>
      <c r="Q3353" s="35">
        <v>172.0</v>
      </c>
      <c r="R3353" s="32">
        <v>45670.0</v>
      </c>
      <c r="S3353" s="32">
        <v>45497.0</v>
      </c>
      <c r="T3353" s="29"/>
      <c r="U3353" s="33"/>
      <c r="V3353" s="1"/>
    </row>
    <row r="3354" ht="24.0" customHeight="1">
      <c r="A3354" s="1"/>
      <c r="B3354" s="24" t="str">
        <f>HYPERLINK("https://www.compass.com/listing/1919-madison-avenue-unit-518-manhattan-ny-10035/1555219233384710721/view?agent_id=610d3f3370540700019b0833","1919 Madison Avenue, Unit 518")</f>
        <v>1919 Madison Avenue, Unit 518</v>
      </c>
      <c r="C3354" s="25" t="s">
        <v>365</v>
      </c>
      <c r="D3354" s="26" t="s">
        <v>23</v>
      </c>
      <c r="E3354" s="27" t="str">
        <f>HYPERLINK("https://www.compass.com/building/1919-madison-ave-manhattan-ny-10035/292914302245940933/","1919 Madison Ave")</f>
        <v>1919 Madison Ave</v>
      </c>
      <c r="F3354" s="25" t="s">
        <v>45</v>
      </c>
      <c r="G3354" s="28">
        <v>515000.0</v>
      </c>
      <c r="H3354" s="29"/>
      <c r="I3354" s="28">
        <v>1471.0</v>
      </c>
      <c r="J3354" s="28">
        <v>0.0</v>
      </c>
      <c r="K3354" s="25" t="s">
        <v>25</v>
      </c>
      <c r="L3354" s="26">
        <v>4.0</v>
      </c>
      <c r="M3354" s="26">
        <v>2.0</v>
      </c>
      <c r="N3354" s="26">
        <v>1.0</v>
      </c>
      <c r="O3354" s="30"/>
      <c r="P3354" s="30"/>
      <c r="Q3354" s="35">
        <v>168.0</v>
      </c>
      <c r="R3354" s="32">
        <v>45565.0</v>
      </c>
      <c r="S3354" s="32">
        <v>45397.0</v>
      </c>
      <c r="T3354" s="29"/>
      <c r="U3354" s="33"/>
      <c r="V3354" s="1"/>
    </row>
    <row r="3355" ht="24.0" customHeight="1">
      <c r="A3355" s="1"/>
      <c r="B3355" s="24" t="str">
        <f>HYPERLINK("https://www.compass.com/listing/130-lenox-avenue-unit-330-manhattan-ny-10026/1491419538306044233/view?agent_id=610d3f3370540700019b0833","130 Lenox Avenue, Unit 330")</f>
        <v>130 Lenox Avenue, Unit 330</v>
      </c>
      <c r="C3355" s="25" t="s">
        <v>364</v>
      </c>
      <c r="D3355" s="26" t="s">
        <v>23</v>
      </c>
      <c r="E3355" s="27" t="str">
        <f>HYPERLINK("https://www.compass.com/building/the-renaissance-manhattan-ny/281974458774807237/","The Renaissance")</f>
        <v>The Renaissance</v>
      </c>
      <c r="F3355" s="25" t="s">
        <v>45</v>
      </c>
      <c r="G3355" s="28">
        <v>519000.0</v>
      </c>
      <c r="H3355" s="29"/>
      <c r="I3355" s="28">
        <v>1198.0</v>
      </c>
      <c r="J3355" s="28">
        <v>0.0</v>
      </c>
      <c r="K3355" s="25" t="s">
        <v>25</v>
      </c>
      <c r="L3355" s="26">
        <v>4.0</v>
      </c>
      <c r="M3355" s="26">
        <v>2.0</v>
      </c>
      <c r="N3355" s="30"/>
      <c r="O3355" s="30"/>
      <c r="P3355" s="30"/>
      <c r="Q3355" s="31"/>
      <c r="R3355" s="32">
        <v>45371.0</v>
      </c>
      <c r="S3355" s="33"/>
      <c r="T3355" s="29"/>
      <c r="U3355" s="33"/>
      <c r="V3355" s="1"/>
    </row>
    <row r="3356" ht="24.0" customHeight="1">
      <c r="A3356" s="1"/>
      <c r="B3356" s="24" t="str">
        <f>HYPERLINK("https://www.compass.com/listing/330-340-haven-avenue-unit-3c-manhattan-ny-10033/1838898843073304361/view?agent_id=610d3f3370540700019b0833","330-340 Haven Avenue, Unit 3C")</f>
        <v>330-340 Haven Avenue, Unit 3C</v>
      </c>
      <c r="C3356" s="25" t="s">
        <v>364</v>
      </c>
      <c r="D3356" s="26" t="s">
        <v>23</v>
      </c>
      <c r="E3356" s="27" t="str">
        <f>HYPERLINK("https://www.compass.com/building/lafayette-gardens-manhattan-ny/441149079247490741/","LAFAYETTE GARDENS")</f>
        <v>LAFAYETTE GARDENS</v>
      </c>
      <c r="F3356" s="25" t="s">
        <v>58</v>
      </c>
      <c r="G3356" s="28">
        <v>440000.0</v>
      </c>
      <c r="H3356" s="28">
        <v>518.0</v>
      </c>
      <c r="I3356" s="28">
        <v>912.0</v>
      </c>
      <c r="J3356" s="29"/>
      <c r="K3356" s="25" t="s">
        <v>25</v>
      </c>
      <c r="L3356" s="26">
        <v>4.0</v>
      </c>
      <c r="M3356" s="26">
        <v>2.0</v>
      </c>
      <c r="N3356" s="26">
        <v>1.0</v>
      </c>
      <c r="O3356" s="26">
        <v>0.0</v>
      </c>
      <c r="P3356" s="26">
        <v>850.0</v>
      </c>
      <c r="Q3356" s="35">
        <v>143.0</v>
      </c>
      <c r="R3356" s="32">
        <v>45636.0</v>
      </c>
      <c r="S3356" s="32">
        <v>41814.0</v>
      </c>
      <c r="T3356" s="29"/>
      <c r="U3356" s="33"/>
      <c r="V3356" s="1"/>
    </row>
    <row r="3357" ht="24.0" customHeight="1">
      <c r="A3357" s="1"/>
      <c r="B3357" s="24" t="str">
        <f>HYPERLINK("https://www.compass.com/listing/200-cabrini-boulevard-unit-88-manhattan-ny-10033/775240247703136217/view?agent_id=610d3f3370540700019b0833","200 Cabrini Boulevard, Unit 88")</f>
        <v>200 Cabrini Boulevard, Unit 88</v>
      </c>
      <c r="C3357" s="25" t="s">
        <v>365</v>
      </c>
      <c r="D3357" s="26" t="s">
        <v>23</v>
      </c>
      <c r="E3357" s="27" t="str">
        <f>HYPERLINK("https://www.compass.com/building/castle-village-manhattan-ny/294843305070086149/","Castle Village")</f>
        <v>Castle Village</v>
      </c>
      <c r="F3357" s="25" t="s">
        <v>58</v>
      </c>
      <c r="G3357" s="28">
        <v>899000.0</v>
      </c>
      <c r="H3357" s="28">
        <v>890.0</v>
      </c>
      <c r="I3357" s="28">
        <v>1762.0</v>
      </c>
      <c r="J3357" s="28">
        <v>0.0</v>
      </c>
      <c r="K3357" s="25" t="s">
        <v>25</v>
      </c>
      <c r="L3357" s="26">
        <v>5.0</v>
      </c>
      <c r="M3357" s="26">
        <v>2.0</v>
      </c>
      <c r="N3357" s="26">
        <v>1.0</v>
      </c>
      <c r="O3357" s="30"/>
      <c r="P3357" s="34">
        <v>1010.0</v>
      </c>
      <c r="Q3357" s="35">
        <v>490.0</v>
      </c>
      <c r="R3357" s="32">
        <v>44813.0</v>
      </c>
      <c r="S3357" s="32">
        <v>44322.0</v>
      </c>
      <c r="T3357" s="29"/>
      <c r="U3357" s="33"/>
      <c r="V3357" s="1"/>
    </row>
    <row r="3358" ht="24.0" customHeight="1">
      <c r="A3358" s="1"/>
      <c r="B3358" s="24" t="str">
        <f>HYPERLINK("https://www.compass.com/listing/226-west-111th-street-unit-9-manhattan-ny-10026/1115158136898514281/view?agent_id=610d3f3370540700019b0833","226 West 111th Street, Unit 9")</f>
        <v>226 West 111th Street, Unit 9</v>
      </c>
      <c r="C3358" s="25" t="s">
        <v>364</v>
      </c>
      <c r="D3358" s="26" t="s">
        <v>23</v>
      </c>
      <c r="E3358" s="27" t="str">
        <f>HYPERLINK("https://www.compass.com/building/226-w-111th-st-manhattan-ny-10026/281975669880091013/","226 W 111th St")</f>
        <v>226 W 111th St</v>
      </c>
      <c r="F3358" s="25" t="s">
        <v>45</v>
      </c>
      <c r="G3358" s="28">
        <v>510000.0</v>
      </c>
      <c r="H3358" s="29"/>
      <c r="I3358" s="28">
        <v>624.0</v>
      </c>
      <c r="J3358" s="28">
        <v>0.0</v>
      </c>
      <c r="K3358" s="25" t="s">
        <v>25</v>
      </c>
      <c r="L3358" s="26">
        <v>4.0</v>
      </c>
      <c r="M3358" s="26">
        <v>2.0</v>
      </c>
      <c r="N3358" s="26">
        <v>1.0</v>
      </c>
      <c r="O3358" s="30"/>
      <c r="P3358" s="30"/>
      <c r="Q3358" s="35">
        <v>85.0</v>
      </c>
      <c r="R3358" s="32">
        <v>44881.0</v>
      </c>
      <c r="S3358" s="32">
        <v>44796.0</v>
      </c>
      <c r="T3358" s="29"/>
      <c r="U3358" s="33"/>
      <c r="V3358" s="1"/>
    </row>
    <row r="3359" ht="24.0" customHeight="1">
      <c r="A3359" s="1"/>
      <c r="B3359" s="24" t="str">
        <f>HYPERLINK("https://www.compass.com/listing/416-ocean-avenue-unit-91-brooklyn-ny-11226/1405153355411009329/view?agent_id=610d3f3370540700019b0833","416 Ocean Avenue, Unit 91")</f>
        <v>416 Ocean Avenue, Unit 91</v>
      </c>
      <c r="C3359" s="25" t="s">
        <v>365</v>
      </c>
      <c r="D3359" s="26" t="s">
        <v>23</v>
      </c>
      <c r="E3359" s="27" t="str">
        <f>HYPERLINK("https://www.compass.com/building/416-ocean-ave-brooklyn-ny-11226/293416554681444533/","416 Ocean Ave")</f>
        <v>416 Ocean Ave</v>
      </c>
      <c r="F3359" s="25" t="s">
        <v>358</v>
      </c>
      <c r="G3359" s="28">
        <v>799000.0</v>
      </c>
      <c r="H3359" s="28">
        <v>819.0</v>
      </c>
      <c r="I3359" s="28">
        <v>1317.0</v>
      </c>
      <c r="J3359" s="28">
        <v>0.0</v>
      </c>
      <c r="K3359" s="25" t="s">
        <v>25</v>
      </c>
      <c r="L3359" s="26">
        <v>5.0</v>
      </c>
      <c r="M3359" s="26">
        <v>2.0</v>
      </c>
      <c r="N3359" s="26">
        <v>1.0</v>
      </c>
      <c r="O3359" s="30"/>
      <c r="P3359" s="26">
        <v>975.0</v>
      </c>
      <c r="Q3359" s="35">
        <v>321.0</v>
      </c>
      <c r="R3359" s="32">
        <v>45512.0</v>
      </c>
      <c r="S3359" s="32">
        <v>45190.0</v>
      </c>
      <c r="T3359" s="29"/>
      <c r="U3359" s="33"/>
      <c r="V3359" s="1"/>
    </row>
    <row r="3360" ht="24.0" customHeight="1">
      <c r="A3360" s="1"/>
      <c r="B3360" s="24" t="str">
        <f>HYPERLINK("https://www.compass.com/listing/45-overlook-terrace-unit-3a-manhattan-ny-10033/1646638940241493673/view?agent_id=610d3f3370540700019b0833","45 Overlook Terrace, Unit 3A")</f>
        <v>45 Overlook Terrace, Unit 3A</v>
      </c>
      <c r="C3360" s="25" t="s">
        <v>364</v>
      </c>
      <c r="D3360" s="26" t="s">
        <v>23</v>
      </c>
      <c r="E3360" s="27" t="str">
        <f>HYPERLINK("https://www.compass.com/building/45-overlook-ter-manhattan-ny-10033/292911135991013013/","45 Overlook Ter")</f>
        <v>45 Overlook Ter</v>
      </c>
      <c r="F3360" s="25" t="s">
        <v>58</v>
      </c>
      <c r="G3360" s="28">
        <v>520000.0</v>
      </c>
      <c r="H3360" s="29"/>
      <c r="I3360" s="28">
        <v>838.0</v>
      </c>
      <c r="J3360" s="28">
        <v>0.0</v>
      </c>
      <c r="K3360" s="25" t="s">
        <v>25</v>
      </c>
      <c r="L3360" s="26">
        <v>4.0</v>
      </c>
      <c r="M3360" s="26">
        <v>2.0</v>
      </c>
      <c r="N3360" s="26">
        <v>1.0</v>
      </c>
      <c r="O3360" s="26">
        <v>0.0</v>
      </c>
      <c r="P3360" s="30"/>
      <c r="Q3360" s="35">
        <v>164.0</v>
      </c>
      <c r="R3360" s="32">
        <v>45688.0</v>
      </c>
      <c r="S3360" s="32">
        <v>45523.0</v>
      </c>
      <c r="T3360" s="29"/>
      <c r="U3360" s="33"/>
      <c r="V3360" s="1"/>
    </row>
    <row r="3361" ht="24.0" customHeight="1">
      <c r="A3361" s="1"/>
      <c r="B3361" s="24" t="str">
        <f>HYPERLINK("https://www.compass.com/listing/200-pinehurst-avenue-unit-5f-manhattan-ny-10033/992895209096470113/view?agent_id=610d3f3370540700019b0833","200 Pinehurst Avenue, Unit 5F")</f>
        <v>200 Pinehurst Avenue, Unit 5F</v>
      </c>
      <c r="C3361" s="25" t="s">
        <v>364</v>
      </c>
      <c r="D3361" s="26" t="s">
        <v>23</v>
      </c>
      <c r="E3361" s="27" t="str">
        <f>HYPERLINK("https://www.compass.com/building/200-pinehurst-ave-manhattan-ny-10033/292910726165568117/","200 Pinehurst Ave")</f>
        <v>200 Pinehurst Ave</v>
      </c>
      <c r="F3361" s="25" t="s">
        <v>58</v>
      </c>
      <c r="G3361" s="28">
        <v>599000.0</v>
      </c>
      <c r="H3361" s="28">
        <v>705.0</v>
      </c>
      <c r="I3361" s="28">
        <v>1092.0</v>
      </c>
      <c r="J3361" s="29"/>
      <c r="K3361" s="25" t="s">
        <v>25</v>
      </c>
      <c r="L3361" s="26">
        <v>4.0</v>
      </c>
      <c r="M3361" s="26">
        <v>2.0</v>
      </c>
      <c r="N3361" s="26">
        <v>1.0</v>
      </c>
      <c r="O3361" s="26">
        <v>0.0</v>
      </c>
      <c r="P3361" s="26">
        <v>850.0</v>
      </c>
      <c r="Q3361" s="35">
        <v>155.0</v>
      </c>
      <c r="R3361" s="32">
        <v>45636.0</v>
      </c>
      <c r="S3361" s="32">
        <v>44621.0</v>
      </c>
      <c r="T3361" s="29"/>
      <c r="U3361" s="33"/>
      <c r="V3361" s="1"/>
    </row>
    <row r="3362" ht="24.0" customHeight="1">
      <c r="A3362" s="1"/>
      <c r="B3362" s="24" t="str">
        <f>HYPERLINK("https://www.compass.com/listing/1840-adam-clayton-powell-jr-boulevard-unit-2b-manhattan-ny-10026/456433806931668577/view?agent_id=610d3f3370540700019b0833","1840 Adam Clayton Powell Jr Boulevard, Unit 2B")</f>
        <v>1840 Adam Clayton Powell Jr Boulevard, Unit 2B</v>
      </c>
      <c r="C3362" s="25" t="s">
        <v>364</v>
      </c>
      <c r="D3362" s="26" t="s">
        <v>23</v>
      </c>
      <c r="E3362" s="27" t="str">
        <f t="shared" ref="E3362:E3363" si="107">HYPERLINK("https://www.compass.com/building/1840-adam-clayton-powell-jr-blvd-manhattan-ny-10026/281974998690786853/","1840 Adam Clayton Powell Jr Blvd")</f>
        <v>1840 Adam Clayton Powell Jr Blvd</v>
      </c>
      <c r="F3362" s="25" t="s">
        <v>45</v>
      </c>
      <c r="G3362" s="28">
        <v>425000.0</v>
      </c>
      <c r="H3362" s="28">
        <v>531.0</v>
      </c>
      <c r="I3362" s="28">
        <v>500.0</v>
      </c>
      <c r="J3362" s="28">
        <v>0.0</v>
      </c>
      <c r="K3362" s="25" t="s">
        <v>25</v>
      </c>
      <c r="L3362" s="26">
        <v>3.0</v>
      </c>
      <c r="M3362" s="26">
        <v>2.0</v>
      </c>
      <c r="N3362" s="26">
        <v>1.0</v>
      </c>
      <c r="O3362" s="26">
        <v>0.0</v>
      </c>
      <c r="P3362" s="26">
        <v>800.0</v>
      </c>
      <c r="Q3362" s="35">
        <v>28.0</v>
      </c>
      <c r="R3362" s="32">
        <v>44279.0</v>
      </c>
      <c r="S3362" s="32">
        <v>43881.0</v>
      </c>
      <c r="T3362" s="29"/>
      <c r="U3362" s="33"/>
      <c r="V3362" s="1"/>
    </row>
    <row r="3363" ht="24.0" customHeight="1">
      <c r="A3363" s="1"/>
      <c r="B3363" s="24" t="str">
        <f>HYPERLINK("https://www.compass.com/listing/1840-adam-clayton-powell-jr-boulevard-unit-2b-manhattan-ny-10026/744970058056789633/view?agent_id=610d3f3370540700019b0833","1840 Adam Clayton Powell Jr Boulevard, Unit 2B")</f>
        <v>1840 Adam Clayton Powell Jr Boulevard, Unit 2B</v>
      </c>
      <c r="C3363" s="25" t="s">
        <v>365</v>
      </c>
      <c r="D3363" s="26" t="s">
        <v>23</v>
      </c>
      <c r="E3363" s="27" t="str">
        <f t="shared" si="107"/>
        <v>1840 Adam Clayton Powell Jr Blvd</v>
      </c>
      <c r="F3363" s="25" t="s">
        <v>45</v>
      </c>
      <c r="G3363" s="28">
        <v>450000.0</v>
      </c>
      <c r="H3363" s="29"/>
      <c r="I3363" s="28">
        <v>485.0</v>
      </c>
      <c r="J3363" s="28">
        <v>0.0</v>
      </c>
      <c r="K3363" s="25" t="s">
        <v>25</v>
      </c>
      <c r="L3363" s="26">
        <v>3.0</v>
      </c>
      <c r="M3363" s="26">
        <v>2.0</v>
      </c>
      <c r="N3363" s="26">
        <v>1.0</v>
      </c>
      <c r="O3363" s="30"/>
      <c r="P3363" s="30"/>
      <c r="Q3363" s="35">
        <v>61.0</v>
      </c>
      <c r="R3363" s="32">
        <v>44530.0</v>
      </c>
      <c r="S3363" s="32">
        <v>44279.0</v>
      </c>
      <c r="T3363" s="29"/>
      <c r="U3363" s="33"/>
      <c r="V3363" s="1"/>
    </row>
    <row r="3364" ht="24.0" customHeight="1">
      <c r="A3364" s="1"/>
      <c r="B3364" s="24" t="str">
        <f>HYPERLINK("https://www.compass.com/listing/1222-halsey-street-unit-2-brooklyn-ny-11207/455794966691188081/view?agent_id=610d3f3370540700019b0833","1222 Halsey Street, Unit 2")</f>
        <v>1222 Halsey Street, Unit 2</v>
      </c>
      <c r="C3364" s="25" t="s">
        <v>364</v>
      </c>
      <c r="D3364" s="26" t="s">
        <v>23</v>
      </c>
      <c r="E3364" s="27" t="str">
        <f>HYPERLINK("https://www.compass.com/building/1222-halsey-st-brooklyn-ny-11207/293418001078795189/","1222 Halsey St")</f>
        <v>1222 Halsey St</v>
      </c>
      <c r="F3364" s="25" t="s">
        <v>82</v>
      </c>
      <c r="G3364" s="28">
        <v>799000.0</v>
      </c>
      <c r="H3364" s="28">
        <v>900.0</v>
      </c>
      <c r="I3364" s="28">
        <v>238.0</v>
      </c>
      <c r="J3364" s="28">
        <v>2616.0</v>
      </c>
      <c r="K3364" s="25" t="s">
        <v>28</v>
      </c>
      <c r="L3364" s="26">
        <v>3.0</v>
      </c>
      <c r="M3364" s="26">
        <v>2.0</v>
      </c>
      <c r="N3364" s="26">
        <v>1.0</v>
      </c>
      <c r="O3364" s="26">
        <v>0.0</v>
      </c>
      <c r="P3364" s="26">
        <v>888.0</v>
      </c>
      <c r="Q3364" s="35">
        <v>8.0</v>
      </c>
      <c r="R3364" s="32">
        <v>43894.0</v>
      </c>
      <c r="S3364" s="32">
        <v>43885.0</v>
      </c>
      <c r="T3364" s="29"/>
      <c r="U3364" s="33"/>
      <c r="V3364" s="1"/>
    </row>
    <row r="3365" ht="24.0" customHeight="1">
      <c r="A3365" s="1"/>
      <c r="B3365" s="24" t="str">
        <f>HYPERLINK("https://www.compass.com/listing/56-pine-street-unit-4d-manhattan-ny-10005/29356304254468609/view?agent_id=610d3f3370540700019b0833","56 Pine Street, Unit 4D")</f>
        <v>56 Pine Street, Unit 4D</v>
      </c>
      <c r="C3365" s="25" t="s">
        <v>364</v>
      </c>
      <c r="D3365" s="26" t="s">
        <v>23</v>
      </c>
      <c r="E3365" s="27" t="str">
        <f>HYPERLINK("https://www.compass.com/building/the-cambridge-club-manhattan-ny/281895976434674389/","The Cambridge Club")</f>
        <v>The Cambridge Club</v>
      </c>
      <c r="F3365" s="25" t="s">
        <v>80</v>
      </c>
      <c r="G3365" s="28">
        <v>975000.0</v>
      </c>
      <c r="H3365" s="28">
        <v>946.0</v>
      </c>
      <c r="I3365" s="28">
        <v>2021.0</v>
      </c>
      <c r="J3365" s="28">
        <v>4800.0</v>
      </c>
      <c r="K3365" s="25" t="s">
        <v>28</v>
      </c>
      <c r="L3365" s="26">
        <v>4.0</v>
      </c>
      <c r="M3365" s="26">
        <v>2.0</v>
      </c>
      <c r="N3365" s="26">
        <v>0.0</v>
      </c>
      <c r="O3365" s="26">
        <v>0.0</v>
      </c>
      <c r="P3365" s="34">
        <v>1031.0</v>
      </c>
      <c r="Q3365" s="35">
        <v>413.0</v>
      </c>
      <c r="R3365" s="32">
        <v>45636.0</v>
      </c>
      <c r="S3365" s="32">
        <v>42530.0</v>
      </c>
      <c r="T3365" s="29"/>
      <c r="U3365" s="33"/>
      <c r="V3365" s="1"/>
    </row>
    <row r="3366" ht="24.0" customHeight="1">
      <c r="A3366" s="1"/>
      <c r="B3366" s="24" t="str">
        <f>HYPERLINK("https://www.compass.com/listing/130-lenox-avenue-unit-623-manhattan-ny-10026/1268833494054081833/view?agent_id=610d3f3370540700019b0833","130 Lenox Avenue, Unit 623")</f>
        <v>130 Lenox Avenue, Unit 623</v>
      </c>
      <c r="C3366" s="25" t="s">
        <v>370</v>
      </c>
      <c r="D3366" s="26" t="s">
        <v>23</v>
      </c>
      <c r="E3366" s="27" t="str">
        <f>HYPERLINK("https://www.compass.com/building/the-renaissance-manhattan-ny/281974458774807237/","The Renaissance")</f>
        <v>The Renaissance</v>
      </c>
      <c r="F3366" s="25" t="s">
        <v>45</v>
      </c>
      <c r="G3366" s="28">
        <v>450000.0</v>
      </c>
      <c r="H3366" s="29"/>
      <c r="I3366" s="28">
        <v>1354.0</v>
      </c>
      <c r="J3366" s="28">
        <v>0.0</v>
      </c>
      <c r="K3366" s="25" t="s">
        <v>25</v>
      </c>
      <c r="L3366" s="26">
        <v>5.0</v>
      </c>
      <c r="M3366" s="26">
        <v>2.0</v>
      </c>
      <c r="N3366" s="26">
        <v>1.0</v>
      </c>
      <c r="O3366" s="30"/>
      <c r="P3366" s="30"/>
      <c r="Q3366" s="35">
        <v>167.0</v>
      </c>
      <c r="R3366" s="32">
        <v>45170.0</v>
      </c>
      <c r="S3366" s="32">
        <v>45002.0</v>
      </c>
      <c r="T3366" s="29"/>
      <c r="U3366" s="33"/>
      <c r="V3366" s="1"/>
    </row>
    <row r="3367" ht="24.0" customHeight="1">
      <c r="A3367" s="1"/>
      <c r="B3367" s="24" t="str">
        <f>HYPERLINK("https://www.compass.com/listing/200-west-54th-street-unit-8g-manhattan-ny-10019/1843498958184528793/view?agent_id=610d3f3370540700019b0833","200 West 54th Street, Unit 8G")</f>
        <v>200 West 54th Street, Unit 8G</v>
      </c>
      <c r="C3367" s="25" t="s">
        <v>365</v>
      </c>
      <c r="D3367" s="26" t="s">
        <v>23</v>
      </c>
      <c r="E3367" s="27" t="str">
        <f>HYPERLINK("https://www.compass.com/building/the-adlon-manhattan-ny/292848968814103589/","The Adlon")</f>
        <v>The Adlon</v>
      </c>
      <c r="F3367" s="25" t="s">
        <v>67</v>
      </c>
      <c r="G3367" s="28">
        <v>1175000.0</v>
      </c>
      <c r="H3367" s="29"/>
      <c r="I3367" s="28">
        <v>2927.0</v>
      </c>
      <c r="J3367" s="28">
        <v>0.0</v>
      </c>
      <c r="K3367" s="25" t="s">
        <v>25</v>
      </c>
      <c r="L3367" s="26">
        <v>5.0</v>
      </c>
      <c r="M3367" s="26">
        <v>2.0</v>
      </c>
      <c r="N3367" s="26">
        <v>1.0</v>
      </c>
      <c r="O3367" s="26">
        <v>0.0</v>
      </c>
      <c r="P3367" s="30"/>
      <c r="Q3367" s="35">
        <v>46.0</v>
      </c>
      <c r="R3367" s="32">
        <v>45842.0</v>
      </c>
      <c r="S3367" s="32">
        <v>45796.0</v>
      </c>
      <c r="T3367" s="29"/>
      <c r="U3367" s="33"/>
      <c r="V3367" s="1"/>
    </row>
    <row r="3368" ht="24.0" customHeight="1">
      <c r="A3368" s="1"/>
      <c r="B3368" s="24" t="str">
        <f>HYPERLINK("https://www.compass.com/listing/353-ocean-avenue-unit-2d-brooklyn-ny-11226/192565455129526465/view?agent_id=610d3f3370540700019b0833","353 Ocean Avenue, Unit 2D")</f>
        <v>353 Ocean Avenue, Unit 2D</v>
      </c>
      <c r="C3368" s="25" t="s">
        <v>364</v>
      </c>
      <c r="D3368" s="26" t="s">
        <v>23</v>
      </c>
      <c r="E3368" s="27" t="str">
        <f>HYPERLINK("https://www.compass.com/building/353-ocean-ave-brooklyn-ny-11226/293526535657238949/","353 Ocean Ave")</f>
        <v>353 Ocean Ave</v>
      </c>
      <c r="F3368" s="25" t="s">
        <v>112</v>
      </c>
      <c r="G3368" s="28">
        <v>370000.0</v>
      </c>
      <c r="H3368" s="29"/>
      <c r="I3368" s="28">
        <v>653.0</v>
      </c>
      <c r="J3368" s="28">
        <v>2004.0</v>
      </c>
      <c r="K3368" s="25" t="s">
        <v>28</v>
      </c>
      <c r="L3368" s="26">
        <v>5.0</v>
      </c>
      <c r="M3368" s="26">
        <v>2.0</v>
      </c>
      <c r="N3368" s="26">
        <v>0.0</v>
      </c>
      <c r="O3368" s="26">
        <v>0.0</v>
      </c>
      <c r="P3368" s="30"/>
      <c r="Q3368" s="35">
        <v>3384.0</v>
      </c>
      <c r="R3368" s="32">
        <v>44581.0</v>
      </c>
      <c r="S3368" s="32">
        <v>41196.0</v>
      </c>
      <c r="T3368" s="29"/>
      <c r="U3368" s="33"/>
      <c r="V3368" s="1"/>
    </row>
    <row r="3369" ht="24.0" customHeight="1">
      <c r="A3369" s="1"/>
      <c r="B3369" s="24" t="str">
        <f>HYPERLINK("https://www.compass.com/listing/195-adams-street-unit-15a-brooklyn-ny-11201/1135672169944393609/view?agent_id=610d3f3370540700019b0833","195 Adams Street, Unit 15A")</f>
        <v>195 Adams Street, Unit 15A</v>
      </c>
      <c r="C3369" s="25" t="s">
        <v>365</v>
      </c>
      <c r="D3369" s="26" t="s">
        <v>23</v>
      </c>
      <c r="E3369" s="27" t="str">
        <f>HYPERLINK("https://www.compass.com/building/concord-village-brooklyn-ny/293426086891560085/","Concord Village")</f>
        <v>Concord Village</v>
      </c>
      <c r="F3369" s="25" t="s">
        <v>31</v>
      </c>
      <c r="G3369" s="28">
        <v>831000.0</v>
      </c>
      <c r="H3369" s="29"/>
      <c r="I3369" s="28">
        <v>1620.0</v>
      </c>
      <c r="J3369" s="28">
        <v>0.0</v>
      </c>
      <c r="K3369" s="25" t="s">
        <v>25</v>
      </c>
      <c r="L3369" s="26">
        <v>4.0</v>
      </c>
      <c r="M3369" s="26">
        <v>2.0</v>
      </c>
      <c r="N3369" s="26">
        <v>1.0</v>
      </c>
      <c r="O3369" s="30"/>
      <c r="P3369" s="30"/>
      <c r="Q3369" s="35">
        <v>67.0</v>
      </c>
      <c r="R3369" s="32">
        <v>44885.0</v>
      </c>
      <c r="S3369" s="32">
        <v>44818.0</v>
      </c>
      <c r="T3369" s="29"/>
      <c r="U3369" s="33"/>
      <c r="V3369" s="1"/>
    </row>
    <row r="3370" ht="24.0" customHeight="1">
      <c r="A3370" s="1"/>
      <c r="B3370" s="24" t="str">
        <f>HYPERLINK("https://www.compass.com/listing/109-seaman-avenue-unit-3e-manhattan-ny-10034/1832195297311518489/view?agent_id=610d3f3370540700019b0833","109 Seaman Avenue, Unit 3E")</f>
        <v>109 Seaman Avenue, Unit 3E</v>
      </c>
      <c r="C3370" s="25" t="s">
        <v>364</v>
      </c>
      <c r="D3370" s="26" t="s">
        <v>23</v>
      </c>
      <c r="E3370" s="27" t="str">
        <f>HYPERLINK("https://www.compass.com/building/109-seaman-ave-manhattan-ny-10034/282014130364223781/","109 Seaman Ave")</f>
        <v>109 Seaman Ave</v>
      </c>
      <c r="F3370" s="25" t="s">
        <v>81</v>
      </c>
      <c r="G3370" s="28">
        <v>599000.0</v>
      </c>
      <c r="H3370" s="29"/>
      <c r="I3370" s="28">
        <v>1238.0</v>
      </c>
      <c r="J3370" s="28">
        <v>0.0</v>
      </c>
      <c r="K3370" s="25" t="s">
        <v>25</v>
      </c>
      <c r="L3370" s="26">
        <v>5.0</v>
      </c>
      <c r="M3370" s="26">
        <v>2.0</v>
      </c>
      <c r="N3370" s="26">
        <v>1.0</v>
      </c>
      <c r="O3370" s="26">
        <v>0.0</v>
      </c>
      <c r="P3370" s="30"/>
      <c r="Q3370" s="35">
        <v>51.0</v>
      </c>
      <c r="R3370" s="32">
        <v>45848.0</v>
      </c>
      <c r="S3370" s="32">
        <v>45797.0</v>
      </c>
      <c r="T3370" s="29"/>
      <c r="U3370" s="33"/>
      <c r="V3370" s="1"/>
    </row>
    <row r="3371" ht="24.0" customHeight="1">
      <c r="A3371" s="1"/>
      <c r="B3371" s="24" t="str">
        <f>HYPERLINK("https://www.compass.com/listing/875-west-181st-street-unit-3d-manhattan-ny-10033/222912623287480993/view?agent_id=610d3f3370540700019b0833","875 West 181st Street, Unit 3D")</f>
        <v>875 West 181st Street, Unit 3D</v>
      </c>
      <c r="C3371" s="25" t="s">
        <v>364</v>
      </c>
      <c r="D3371" s="26" t="s">
        <v>23</v>
      </c>
      <c r="E3371" s="27" t="str">
        <f>HYPERLINK("https://www.compass.com/building/stirling-towers-manhattan-ny/282013983781687477/","Stirling Towers")</f>
        <v>Stirling Towers</v>
      </c>
      <c r="F3371" s="25" t="s">
        <v>58</v>
      </c>
      <c r="G3371" s="28">
        <v>525000.0</v>
      </c>
      <c r="H3371" s="29"/>
      <c r="I3371" s="28">
        <v>810.0</v>
      </c>
      <c r="J3371" s="28">
        <v>0.0</v>
      </c>
      <c r="K3371" s="25" t="s">
        <v>25</v>
      </c>
      <c r="L3371" s="26">
        <v>4.0</v>
      </c>
      <c r="M3371" s="26">
        <v>2.0</v>
      </c>
      <c r="N3371" s="26">
        <v>1.0</v>
      </c>
      <c r="O3371" s="30"/>
      <c r="P3371" s="30"/>
      <c r="Q3371" s="35">
        <v>138.0</v>
      </c>
      <c r="R3371" s="32">
        <v>43726.0</v>
      </c>
      <c r="S3371" s="32">
        <v>43587.0</v>
      </c>
      <c r="T3371" s="29"/>
      <c r="U3371" s="33"/>
      <c r="V3371" s="1"/>
    </row>
    <row r="3372" ht="24.0" customHeight="1">
      <c r="A3372" s="1"/>
      <c r="B3372" s="24" t="str">
        <f>HYPERLINK("https://www.compass.com/listing/260-linden-boulevard-unit-4f-brooklyn-ny-11226/29496727144778833/view?agent_id=610d3f3370540700019b0833","260 Linden Boulevard, Unit 4F")</f>
        <v>260 Linden Boulevard, Unit 4F</v>
      </c>
      <c r="C3372" s="25" t="s">
        <v>364</v>
      </c>
      <c r="D3372" s="26" t="s">
        <v>23</v>
      </c>
      <c r="E3372" s="27" t="str">
        <f>HYPERLINK("https://www.compass.com/building/linden-gardens-condominium-brooklyn-ny/293416578630920885/","Linden Gardens Condominium")</f>
        <v>Linden Gardens Condominium</v>
      </c>
      <c r="F3372" s="25" t="s">
        <v>112</v>
      </c>
      <c r="G3372" s="28">
        <v>295000.0</v>
      </c>
      <c r="H3372" s="29"/>
      <c r="I3372" s="28">
        <v>211.0</v>
      </c>
      <c r="J3372" s="28">
        <v>336.0</v>
      </c>
      <c r="K3372" s="25" t="s">
        <v>28</v>
      </c>
      <c r="L3372" s="26">
        <v>4.0</v>
      </c>
      <c r="M3372" s="26">
        <v>2.0</v>
      </c>
      <c r="N3372" s="26">
        <v>1.0</v>
      </c>
      <c r="O3372" s="26">
        <v>0.0</v>
      </c>
      <c r="P3372" s="30"/>
      <c r="Q3372" s="31"/>
      <c r="R3372" s="32">
        <v>44581.0</v>
      </c>
      <c r="S3372" s="33"/>
      <c r="T3372" s="29"/>
      <c r="U3372" s="33"/>
      <c r="V3372" s="1"/>
    </row>
    <row r="3373" ht="24.0" customHeight="1">
      <c r="A3373" s="1"/>
      <c r="B3373" s="24" t="str">
        <f>HYPERLINK("https://www.compass.com/listing/191-willoughby-street-unit-3a-brooklyn-ny-11201/642856869466814713/view?agent_id=610d3f3370540700019b0833","191 Willoughby Street, Unit 3A")</f>
        <v>191 Willoughby Street, Unit 3A</v>
      </c>
      <c r="C3373" s="25" t="s">
        <v>365</v>
      </c>
      <c r="D3373" s="26" t="s">
        <v>23</v>
      </c>
      <c r="E3373" s="27" t="str">
        <f>HYPERLINK("https://www.compass.com/building/university-towers-brooklyn-ny/282504529948262309/","University Towers")</f>
        <v>University Towers</v>
      </c>
      <c r="F3373" s="25" t="s">
        <v>31</v>
      </c>
      <c r="G3373" s="28">
        <v>760000.0</v>
      </c>
      <c r="H3373" s="28">
        <v>760.0</v>
      </c>
      <c r="I3373" s="28">
        <v>1345.0</v>
      </c>
      <c r="J3373" s="28">
        <v>0.0</v>
      </c>
      <c r="K3373" s="25" t="s">
        <v>25</v>
      </c>
      <c r="L3373" s="26">
        <v>5.0</v>
      </c>
      <c r="M3373" s="26">
        <v>2.0</v>
      </c>
      <c r="N3373" s="26">
        <v>1.0</v>
      </c>
      <c r="O3373" s="30"/>
      <c r="P3373" s="34">
        <v>1000.0</v>
      </c>
      <c r="Q3373" s="35">
        <v>179.0</v>
      </c>
      <c r="R3373" s="32">
        <v>44318.0</v>
      </c>
      <c r="S3373" s="32">
        <v>44138.0</v>
      </c>
      <c r="T3373" s="29"/>
      <c r="U3373" s="33"/>
      <c r="V3373" s="1"/>
    </row>
    <row r="3374" ht="24.0" customHeight="1">
      <c r="A3374" s="1"/>
      <c r="B3374" s="24" t="str">
        <f>HYPERLINK("https://www.compass.com/listing/122-ashland-place-unit-11b-brooklyn-ny-11201/29481694348185377/view?agent_id=610d3f3370540700019b0833","122 Ashland Place, Unit 11B")</f>
        <v>122 Ashland Place, Unit 11B</v>
      </c>
      <c r="C3374" s="25" t="s">
        <v>364</v>
      </c>
      <c r="D3374" s="26" t="s">
        <v>23</v>
      </c>
      <c r="E3374" s="27" t="str">
        <f>HYPERLINK("https://www.compass.com/building/university-towers-brooklyn-ny/282504439896555941/","University Towers ")</f>
        <v>University Towers </v>
      </c>
      <c r="F3374" s="25" t="s">
        <v>31</v>
      </c>
      <c r="G3374" s="28">
        <v>825000.0</v>
      </c>
      <c r="H3374" s="29"/>
      <c r="I3374" s="28">
        <v>1142.0</v>
      </c>
      <c r="J3374" s="29"/>
      <c r="K3374" s="25" t="s">
        <v>25</v>
      </c>
      <c r="L3374" s="26">
        <v>4.0</v>
      </c>
      <c r="M3374" s="26">
        <v>2.0</v>
      </c>
      <c r="N3374" s="26">
        <v>0.0</v>
      </c>
      <c r="O3374" s="26">
        <v>0.0</v>
      </c>
      <c r="P3374" s="30"/>
      <c r="Q3374" s="35">
        <v>92.0</v>
      </c>
      <c r="R3374" s="32">
        <v>45636.0</v>
      </c>
      <c r="S3374" s="32">
        <v>42129.0</v>
      </c>
      <c r="T3374" s="29"/>
      <c r="U3374" s="33"/>
      <c r="V3374" s="1"/>
    </row>
    <row r="3375" ht="24.0" customHeight="1">
      <c r="A3375" s="1"/>
      <c r="B3375" s="24" t="str">
        <f>HYPERLINK("https://www.compass.com/listing/191-willoughby-street-unit-16a-brooklyn-ny-11201/994291312660852969/view?agent_id=610d3f3370540700019b0833","191 Willoughby Street, Unit 16A")</f>
        <v>191 Willoughby Street, Unit 16A</v>
      </c>
      <c r="C3375" s="25" t="s">
        <v>365</v>
      </c>
      <c r="D3375" s="26" t="s">
        <v>23</v>
      </c>
      <c r="E3375" s="27" t="str">
        <f>HYPERLINK("https://www.compass.com/building/university-towers-brooklyn-ny/282504529948262309/","University Towers")</f>
        <v>University Towers</v>
      </c>
      <c r="F3375" s="25" t="s">
        <v>31</v>
      </c>
      <c r="G3375" s="28">
        <v>950000.0</v>
      </c>
      <c r="H3375" s="29"/>
      <c r="I3375" s="28">
        <v>1568.0</v>
      </c>
      <c r="J3375" s="28">
        <v>0.0</v>
      </c>
      <c r="K3375" s="25" t="s">
        <v>25</v>
      </c>
      <c r="L3375" s="26">
        <v>5.0</v>
      </c>
      <c r="M3375" s="26">
        <v>2.0</v>
      </c>
      <c r="N3375" s="26">
        <v>1.0</v>
      </c>
      <c r="O3375" s="30"/>
      <c r="P3375" s="30"/>
      <c r="Q3375" s="35">
        <v>5.0</v>
      </c>
      <c r="R3375" s="32">
        <v>44628.0</v>
      </c>
      <c r="S3375" s="32">
        <v>44623.0</v>
      </c>
      <c r="T3375" s="29"/>
      <c r="U3375" s="33"/>
      <c r="V3375" s="1"/>
    </row>
    <row r="3376" ht="24.0" customHeight="1">
      <c r="A3376" s="1"/>
      <c r="B3376" s="24" t="str">
        <f>HYPERLINK("https://www.compass.com/listing/1919-madison-avenue-unit-216-manhattan-ny-10035/166611089050572801/view?agent_id=610d3f3370540700019b0833","1919 Madison Avenue, Unit 216")</f>
        <v>1919 Madison Avenue, Unit 216</v>
      </c>
      <c r="C3376" s="25" t="s">
        <v>370</v>
      </c>
      <c r="D3376" s="26" t="s">
        <v>23</v>
      </c>
      <c r="E3376" s="27" t="str">
        <f>HYPERLINK("https://www.compass.com/building/1919-madison-ave-manhattan-ny-10035/292914302245940933/","1919 Madison Ave")</f>
        <v>1919 Madison Ave</v>
      </c>
      <c r="F3376" s="25" t="s">
        <v>45</v>
      </c>
      <c r="G3376" s="28">
        <v>520000.0</v>
      </c>
      <c r="H3376" s="29"/>
      <c r="I3376" s="28">
        <v>1049.0</v>
      </c>
      <c r="J3376" s="28">
        <v>0.0</v>
      </c>
      <c r="K3376" s="25" t="s">
        <v>25</v>
      </c>
      <c r="L3376" s="26">
        <v>4.0</v>
      </c>
      <c r="M3376" s="26">
        <v>2.0</v>
      </c>
      <c r="N3376" s="26">
        <v>1.0</v>
      </c>
      <c r="O3376" s="30"/>
      <c r="P3376" s="30"/>
      <c r="Q3376" s="35">
        <v>428.0</v>
      </c>
      <c r="R3376" s="32">
        <v>43915.0</v>
      </c>
      <c r="S3376" s="32">
        <v>43481.0</v>
      </c>
      <c r="T3376" s="29"/>
      <c r="U3376" s="33"/>
      <c r="V3376" s="1"/>
    </row>
    <row r="3377" ht="24.0" customHeight="1">
      <c r="A3377" s="1"/>
      <c r="B3377" s="24" t="str">
        <f>HYPERLINK("https://www.compass.com/listing/96-schermerhorn-street-unit-1hg-brooklyn-ny-11201/4852267554858611809/view?agent_id=610d3f3370540700019b0833","96 Schermerhorn Street, Unit 1HG")</f>
        <v>96 Schermerhorn Street, Unit 1HG</v>
      </c>
      <c r="C3377" s="25" t="s">
        <v>364</v>
      </c>
      <c r="D3377" s="26" t="s">
        <v>23</v>
      </c>
      <c r="E3377" s="27" t="str">
        <f>HYPERLINK("https://www.compass.com/building/boerum-court-brooklyn-ny/282504187256848085/","Boerum Court")</f>
        <v>Boerum Court</v>
      </c>
      <c r="F3377" s="25" t="s">
        <v>31</v>
      </c>
      <c r="G3377" s="28">
        <v>725000.0</v>
      </c>
      <c r="H3377" s="29"/>
      <c r="I3377" s="28">
        <v>1554.0</v>
      </c>
      <c r="J3377" s="29"/>
      <c r="K3377" s="25" t="s">
        <v>25</v>
      </c>
      <c r="L3377" s="26">
        <v>6.0</v>
      </c>
      <c r="M3377" s="26">
        <v>2.0</v>
      </c>
      <c r="N3377" s="26">
        <v>0.0</v>
      </c>
      <c r="O3377" s="26">
        <v>0.0</v>
      </c>
      <c r="P3377" s="30"/>
      <c r="Q3377" s="35">
        <v>1360.0</v>
      </c>
      <c r="R3377" s="32">
        <v>45636.0</v>
      </c>
      <c r="S3377" s="32">
        <v>41518.0</v>
      </c>
      <c r="T3377" s="29"/>
      <c r="U3377" s="33"/>
      <c r="V3377" s="1"/>
    </row>
    <row r="3378" ht="24.0" customHeight="1">
      <c r="A3378" s="1"/>
      <c r="B3378" s="24" t="str">
        <f>HYPERLINK("https://www.compass.com/listing/416-ocean-avenue-unit-11-brooklyn-ny-11226/420967485087496305/view?agent_id=610d3f3370540700019b0833","416 Ocean Avenue, Unit 11")</f>
        <v>416 Ocean Avenue, Unit 11</v>
      </c>
      <c r="C3378" s="25" t="s">
        <v>365</v>
      </c>
      <c r="D3378" s="26" t="s">
        <v>23</v>
      </c>
      <c r="E3378" s="27" t="str">
        <f>HYPERLINK("https://www.compass.com/building/416-ocean-ave-brooklyn-ny-11226/293416554681444533/","416 Ocean Ave")</f>
        <v>416 Ocean Ave</v>
      </c>
      <c r="F3378" s="25" t="s">
        <v>358</v>
      </c>
      <c r="G3378" s="28">
        <v>750000.0</v>
      </c>
      <c r="H3378" s="28">
        <v>789.0</v>
      </c>
      <c r="I3378" s="28">
        <v>774.0</v>
      </c>
      <c r="J3378" s="28">
        <v>0.0</v>
      </c>
      <c r="K3378" s="25" t="s">
        <v>25</v>
      </c>
      <c r="L3378" s="26">
        <v>5.0</v>
      </c>
      <c r="M3378" s="26">
        <v>2.0</v>
      </c>
      <c r="N3378" s="26">
        <v>1.0</v>
      </c>
      <c r="O3378" s="26">
        <v>0.0</v>
      </c>
      <c r="P3378" s="26">
        <v>950.0</v>
      </c>
      <c r="Q3378" s="35">
        <v>31.0</v>
      </c>
      <c r="R3378" s="32">
        <v>43873.0</v>
      </c>
      <c r="S3378" s="32">
        <v>43842.0</v>
      </c>
      <c r="T3378" s="29"/>
      <c r="U3378" s="33"/>
      <c r="V3378" s="1"/>
    </row>
    <row r="3379" ht="24.0" customHeight="1">
      <c r="A3379" s="1"/>
      <c r="B3379" s="24" t="str">
        <f>HYPERLINK("https://www.compass.com/listing/15-broad-street-unit-3410-manhattan-ny-10005/70911010826907057/view?agent_id=610d3f3370540700019b0833","15 Broad Street, Unit 3410")</f>
        <v>15 Broad Street, Unit 3410</v>
      </c>
      <c r="C3379" s="25" t="s">
        <v>370</v>
      </c>
      <c r="D3379" s="26" t="s">
        <v>23</v>
      </c>
      <c r="E3379" s="27" t="str">
        <f>HYPERLINK("https://www.compass.com/building/downtown-by-philippe-starck-manhattan-ny/281895799065944725/","Downtown by Philippe Starck")</f>
        <v>Downtown by Philippe Starck</v>
      </c>
      <c r="F3379" s="25" t="s">
        <v>80</v>
      </c>
      <c r="G3379" s="28">
        <v>1895000.0</v>
      </c>
      <c r="H3379" s="28">
        <v>1153.0</v>
      </c>
      <c r="I3379" s="28">
        <v>1668.0</v>
      </c>
      <c r="J3379" s="28">
        <v>4416.0</v>
      </c>
      <c r="K3379" s="25" t="s">
        <v>28</v>
      </c>
      <c r="L3379" s="26">
        <v>4.0</v>
      </c>
      <c r="M3379" s="26">
        <v>2.0</v>
      </c>
      <c r="N3379" s="26">
        <v>0.0</v>
      </c>
      <c r="O3379" s="26">
        <v>0.0</v>
      </c>
      <c r="P3379" s="34">
        <v>1643.0</v>
      </c>
      <c r="Q3379" s="35">
        <v>0.0</v>
      </c>
      <c r="R3379" s="32">
        <v>44581.0</v>
      </c>
      <c r="S3379" s="32">
        <v>41512.0</v>
      </c>
      <c r="T3379" s="29"/>
      <c r="U3379" s="33"/>
      <c r="V3379" s="1"/>
    </row>
    <row r="3380" ht="24.0" customHeight="1">
      <c r="A3380" s="1"/>
      <c r="B3380" s="24" t="str">
        <f>HYPERLINK("https://www.compass.com/listing/254-park-avenue-unit-3a-manhattan-ny-10177/1299488792447957497/view?agent_id=610d3f3370540700019b0833","254 Park Avenue, Unit 3A")</f>
        <v>254 Park Avenue, Unit 3A</v>
      </c>
      <c r="C3380" s="25" t="s">
        <v>370</v>
      </c>
      <c r="D3380" s="26" t="s">
        <v>23</v>
      </c>
      <c r="E3380" s="27" t="str">
        <f>HYPERLINK("https://www.compass.com/building/254-park-ave-manhattan-ny-10177/319516834147236549/","254 Park Ave")</f>
        <v>254 Park Ave</v>
      </c>
      <c r="F3380" s="25" t="s">
        <v>66</v>
      </c>
      <c r="G3380" s="28">
        <v>899000.0</v>
      </c>
      <c r="H3380" s="29"/>
      <c r="I3380" s="28">
        <v>987.0</v>
      </c>
      <c r="J3380" s="29"/>
      <c r="K3380" s="25" t="s">
        <v>25</v>
      </c>
      <c r="L3380" s="26">
        <v>4.0</v>
      </c>
      <c r="M3380" s="26">
        <v>2.0</v>
      </c>
      <c r="N3380" s="26">
        <v>1.0</v>
      </c>
      <c r="O3380" s="30"/>
      <c r="P3380" s="30"/>
      <c r="Q3380" s="35">
        <v>64.0</v>
      </c>
      <c r="R3380" s="32">
        <v>43957.0</v>
      </c>
      <c r="S3380" s="32">
        <v>43529.0</v>
      </c>
      <c r="T3380" s="29"/>
      <c r="U3380" s="33"/>
      <c r="V3380" s="1"/>
    </row>
    <row r="3381" ht="24.0" customHeight="1">
      <c r="A3381" s="1"/>
      <c r="B3381" s="24" t="str">
        <f>HYPERLINK("https://www.compass.com/listing/122-ashland-place-unit-2a-brooklyn-ny-11201/726054340302162609/view?agent_id=610d3f3370540700019b0833","122 Ashland Place, Unit 2A")</f>
        <v>122 Ashland Place, Unit 2A</v>
      </c>
      <c r="C3381" s="25" t="s">
        <v>365</v>
      </c>
      <c r="D3381" s="26" t="s">
        <v>23</v>
      </c>
      <c r="E3381" s="27" t="str">
        <f>HYPERLINK("https://www.compass.com/building/university-towers-brooklyn-ny/282504439896555941/","University Towers ")</f>
        <v>University Towers </v>
      </c>
      <c r="F3381" s="25" t="s">
        <v>31</v>
      </c>
      <c r="G3381" s="28">
        <v>769000.0</v>
      </c>
      <c r="H3381" s="29"/>
      <c r="I3381" s="28">
        <v>1435.0</v>
      </c>
      <c r="J3381" s="28">
        <v>0.0</v>
      </c>
      <c r="K3381" s="25" t="s">
        <v>25</v>
      </c>
      <c r="L3381" s="26">
        <v>5.0</v>
      </c>
      <c r="M3381" s="26">
        <v>2.0</v>
      </c>
      <c r="N3381" s="26">
        <v>1.0</v>
      </c>
      <c r="O3381" s="30"/>
      <c r="P3381" s="30"/>
      <c r="Q3381" s="35">
        <v>49.0</v>
      </c>
      <c r="R3381" s="32">
        <v>44302.0</v>
      </c>
      <c r="S3381" s="32">
        <v>44253.0</v>
      </c>
      <c r="T3381" s="29"/>
      <c r="U3381" s="33"/>
      <c r="V3381" s="1"/>
    </row>
    <row r="3382" ht="24.0" customHeight="1">
      <c r="A3382" s="1"/>
      <c r="B3382" s="24" t="str">
        <f>HYPERLINK("https://www.compass.com/listing/260-park-avenue-unit-3b-manhattan-ny-10177/921910030743947065/view?agent_id=610d3f3370540700019b0833","260 Park Avenue, Unit 3B")</f>
        <v>260 Park Avenue, Unit 3B</v>
      </c>
      <c r="C3382" s="25" t="s">
        <v>364</v>
      </c>
      <c r="D3382" s="26" t="s">
        <v>23</v>
      </c>
      <c r="E3382" s="27" t="str">
        <f>HYPERLINK("https://www.compass.com/building/260-park-ave-manhattan-ny-10177/381305552264374293/","260 Park Ave")</f>
        <v>260 Park Ave</v>
      </c>
      <c r="F3382" s="25" t="s">
        <v>66</v>
      </c>
      <c r="G3382" s="28">
        <v>5000000.0</v>
      </c>
      <c r="H3382" s="28">
        <v>2660.0</v>
      </c>
      <c r="I3382" s="28">
        <v>4842.0</v>
      </c>
      <c r="J3382" s="28">
        <v>28380.0</v>
      </c>
      <c r="K3382" s="25" t="s">
        <v>28</v>
      </c>
      <c r="L3382" s="26">
        <v>4.0</v>
      </c>
      <c r="M3382" s="26">
        <v>2.0</v>
      </c>
      <c r="N3382" s="26">
        <v>0.0</v>
      </c>
      <c r="O3382" s="26">
        <v>1.0</v>
      </c>
      <c r="P3382" s="34">
        <v>1880.0</v>
      </c>
      <c r="Q3382" s="31"/>
      <c r="R3382" s="32">
        <v>44581.0</v>
      </c>
      <c r="S3382" s="33"/>
      <c r="T3382" s="29"/>
      <c r="U3382" s="33"/>
      <c r="V3382" s="1"/>
    </row>
    <row r="3383" ht="24.0" customHeight="1">
      <c r="A3383" s="1"/>
      <c r="B3383" s="24" t="str">
        <f>HYPERLINK("https://www.compass.com/listing/54-pine-street-unit-ph5-manhattan-ny-10005/4852268004806756049/view?agent_id=610d3f3370540700019b0833","54 Pine Street, Unit PH5")</f>
        <v>54 Pine Street, Unit PH5</v>
      </c>
      <c r="C3383" s="25" t="s">
        <v>364</v>
      </c>
      <c r="D3383" s="26" t="s">
        <v>23</v>
      </c>
      <c r="E3383" s="27" t="str">
        <f>HYPERLINK("https://www.compass.com/building/54-pine-st-manhattan-ny-10005/281895908294009525/","54 Pine St")</f>
        <v>54 Pine St</v>
      </c>
      <c r="F3383" s="25" t="s">
        <v>80</v>
      </c>
      <c r="G3383" s="28">
        <v>2395000.0</v>
      </c>
      <c r="H3383" s="28">
        <v>1327.0</v>
      </c>
      <c r="I3383" s="28">
        <v>4257.0</v>
      </c>
      <c r="J3383" s="28">
        <v>31884.0</v>
      </c>
      <c r="K3383" s="25" t="s">
        <v>28</v>
      </c>
      <c r="L3383" s="26">
        <v>6.0</v>
      </c>
      <c r="M3383" s="26">
        <v>2.0</v>
      </c>
      <c r="N3383" s="26">
        <v>0.0</v>
      </c>
      <c r="O3383" s="26">
        <v>0.0</v>
      </c>
      <c r="P3383" s="34">
        <v>1805.0</v>
      </c>
      <c r="Q3383" s="35">
        <v>553.0</v>
      </c>
      <c r="R3383" s="32">
        <v>45636.0</v>
      </c>
      <c r="S3383" s="32">
        <v>41764.0</v>
      </c>
      <c r="T3383" s="29"/>
      <c r="U3383" s="33"/>
      <c r="V3383" s="1"/>
    </row>
    <row r="3384" ht="24.0" customHeight="1">
      <c r="A3384" s="1"/>
      <c r="B3384" s="24" t="str">
        <f>HYPERLINK("https://www.compass.com/listing/20-pine-street-unit-32o4-manhattan-ny-10005/4852267741530305297/view?agent_id=610d3f3370540700019b0833","20 Pine Street, Unit 32O4")</f>
        <v>20 Pine Street, Unit 32O4</v>
      </c>
      <c r="C3384" s="25" t="s">
        <v>370</v>
      </c>
      <c r="D3384" s="26" t="s">
        <v>23</v>
      </c>
      <c r="E3384" s="27" t="str">
        <f t="shared" ref="E3384:E3385" si="108">HYPERLINK("https://www.compass.com/building/the-collection-manhattan-ny/281895891164472517/","The Collection")</f>
        <v>The Collection</v>
      </c>
      <c r="F3384" s="25" t="s">
        <v>80</v>
      </c>
      <c r="G3384" s="28">
        <v>2495000.0</v>
      </c>
      <c r="H3384" s="28">
        <v>1559.0</v>
      </c>
      <c r="I3384" s="28">
        <v>1818.0</v>
      </c>
      <c r="J3384" s="28">
        <v>1680.0</v>
      </c>
      <c r="K3384" s="25" t="s">
        <v>28</v>
      </c>
      <c r="L3384" s="26">
        <v>5.0</v>
      </c>
      <c r="M3384" s="26">
        <v>2.0</v>
      </c>
      <c r="N3384" s="26">
        <v>0.0</v>
      </c>
      <c r="O3384" s="26">
        <v>0.0</v>
      </c>
      <c r="P3384" s="34">
        <v>1600.0</v>
      </c>
      <c r="Q3384" s="35">
        <v>46.0</v>
      </c>
      <c r="R3384" s="32">
        <v>45636.0</v>
      </c>
      <c r="S3384" s="32">
        <v>41755.0</v>
      </c>
      <c r="T3384" s="29"/>
      <c r="U3384" s="33"/>
      <c r="V3384" s="1"/>
    </row>
    <row r="3385" ht="24.0" customHeight="1">
      <c r="A3385" s="1"/>
      <c r="B3385" s="24" t="str">
        <f>HYPERLINK("https://www.compass.com/listing/20-pine-street-unit-911-manhattan-ny-10005/760139314329358841/view?agent_id=610d3f3370540700019b0833","20 Pine Street, Unit 911")</f>
        <v>20 Pine Street, Unit 911</v>
      </c>
      <c r="C3385" s="25" t="s">
        <v>364</v>
      </c>
      <c r="D3385" s="26" t="s">
        <v>23</v>
      </c>
      <c r="E3385" s="27" t="str">
        <f t="shared" si="108"/>
        <v>The Collection</v>
      </c>
      <c r="F3385" s="25" t="s">
        <v>80</v>
      </c>
      <c r="G3385" s="28">
        <v>1345000.0</v>
      </c>
      <c r="H3385" s="28">
        <v>1100.0</v>
      </c>
      <c r="I3385" s="28">
        <v>3397.0</v>
      </c>
      <c r="J3385" s="28">
        <v>19379.0</v>
      </c>
      <c r="K3385" s="25" t="s">
        <v>28</v>
      </c>
      <c r="L3385" s="26">
        <v>3.0</v>
      </c>
      <c r="M3385" s="26">
        <v>2.0</v>
      </c>
      <c r="N3385" s="26">
        <v>1.0</v>
      </c>
      <c r="O3385" s="26">
        <v>0.0</v>
      </c>
      <c r="P3385" s="34">
        <v>1223.0</v>
      </c>
      <c r="Q3385" s="35">
        <v>263.0</v>
      </c>
      <c r="R3385" s="32">
        <v>44564.0</v>
      </c>
      <c r="S3385" s="32">
        <v>44300.0</v>
      </c>
      <c r="T3385" s="29"/>
      <c r="U3385" s="33"/>
      <c r="V3385" s="1"/>
    </row>
    <row r="3386" ht="24.0" customHeight="1">
      <c r="A3386" s="1"/>
      <c r="B3386" s="24" t="str">
        <f>HYPERLINK("https://www.compass.com/listing/54-pine-street-unit-5-manhattan-ny-10005/206343409542225057/view?agent_id=610d3f3370540700019b0833","54 Pine Street, Unit 5")</f>
        <v>54 Pine Street, Unit 5</v>
      </c>
      <c r="C3386" s="25" t="s">
        <v>364</v>
      </c>
      <c r="D3386" s="26" t="s">
        <v>23</v>
      </c>
      <c r="E3386" s="27" t="str">
        <f>HYPERLINK("https://www.compass.com/building/54-pine-st-manhattan-ny-10005/281895908294009525/","54 Pine St")</f>
        <v>54 Pine St</v>
      </c>
      <c r="F3386" s="25" t="s">
        <v>80</v>
      </c>
      <c r="G3386" s="28">
        <v>2750000.0</v>
      </c>
      <c r="H3386" s="28">
        <v>1524.0</v>
      </c>
      <c r="I3386" s="28">
        <v>4642.0</v>
      </c>
      <c r="J3386" s="28">
        <v>31380.0</v>
      </c>
      <c r="K3386" s="25" t="s">
        <v>28</v>
      </c>
      <c r="L3386" s="26">
        <v>6.0</v>
      </c>
      <c r="M3386" s="26">
        <v>2.0</v>
      </c>
      <c r="N3386" s="26">
        <v>0.0</v>
      </c>
      <c r="O3386" s="26">
        <v>0.0</v>
      </c>
      <c r="P3386" s="34">
        <v>1805.0</v>
      </c>
      <c r="Q3386" s="35">
        <v>66.0</v>
      </c>
      <c r="R3386" s="32">
        <v>45636.0</v>
      </c>
      <c r="S3386" s="32">
        <v>42859.0</v>
      </c>
      <c r="T3386" s="29"/>
      <c r="U3386" s="33"/>
      <c r="V3386" s="1"/>
    </row>
    <row r="3387" ht="24.0" customHeight="1">
      <c r="A3387" s="1"/>
      <c r="B3387" s="24" t="str">
        <f>HYPERLINK("https://www.compass.com/listing/100-west-57th-street-unit-10r-manhattan-ny-10019/29383713334868481/view?agent_id=610d3f3370540700019b0833","100 West 57th Street, Unit 10R")</f>
        <v>100 West 57th Street, Unit 10R</v>
      </c>
      <c r="C3387" s="25" t="s">
        <v>370</v>
      </c>
      <c r="D3387" s="26" t="s">
        <v>23</v>
      </c>
      <c r="E3387" s="27" t="str">
        <f>HYPERLINK("https://www.compass.com/building/carnegie-house-manhattan-ny/282058607502064277/","Carnegie House")</f>
        <v>Carnegie House</v>
      </c>
      <c r="F3387" s="25" t="s">
        <v>67</v>
      </c>
      <c r="G3387" s="28">
        <v>625000.0</v>
      </c>
      <c r="H3387" s="28">
        <v>694.0</v>
      </c>
      <c r="I3387" s="28">
        <v>1544.0</v>
      </c>
      <c r="J3387" s="29"/>
      <c r="K3387" s="25" t="s">
        <v>25</v>
      </c>
      <c r="L3387" s="26">
        <v>4.0</v>
      </c>
      <c r="M3387" s="26">
        <v>2.0</v>
      </c>
      <c r="N3387" s="26">
        <v>0.0</v>
      </c>
      <c r="O3387" s="26">
        <v>0.0</v>
      </c>
      <c r="P3387" s="26">
        <v>900.0</v>
      </c>
      <c r="Q3387" s="35">
        <v>0.0</v>
      </c>
      <c r="R3387" s="32">
        <v>44581.0</v>
      </c>
      <c r="S3387" s="32">
        <v>41538.0</v>
      </c>
      <c r="T3387" s="29"/>
      <c r="U3387" s="33"/>
      <c r="V3387" s="1"/>
    </row>
    <row r="3388" ht="24.0" customHeight="1">
      <c r="A3388" s="1"/>
      <c r="B3388" s="24" t="str">
        <f>HYPERLINK("https://www.compass.com/listing/365-bridge-street-unit-15b-brooklyn-ny-11201/1043472818010052641/view?agent_id=610d3f3370540700019b0833","365 Bridge Street, Unit 15B")</f>
        <v>365 Bridge Street, Unit 15B</v>
      </c>
      <c r="C3388" s="25" t="s">
        <v>364</v>
      </c>
      <c r="D3388" s="26" t="s">
        <v>23</v>
      </c>
      <c r="E3388" s="27" t="str">
        <f>HYPERLINK("https://www.compass.com/building/belltel-lofts-brooklyn-ny/282511553654250117/","BellTel Lofts")</f>
        <v>BellTel Lofts</v>
      </c>
      <c r="F3388" s="25" t="s">
        <v>31</v>
      </c>
      <c r="G3388" s="28">
        <v>1150000.0</v>
      </c>
      <c r="H3388" s="28">
        <v>1030.0</v>
      </c>
      <c r="I3388" s="28">
        <v>1567.0</v>
      </c>
      <c r="J3388" s="28">
        <v>7476.0</v>
      </c>
      <c r="K3388" s="25" t="s">
        <v>28</v>
      </c>
      <c r="L3388" s="26">
        <v>4.0</v>
      </c>
      <c r="M3388" s="26">
        <v>2.0</v>
      </c>
      <c r="N3388" s="26">
        <v>1.0</v>
      </c>
      <c r="O3388" s="30"/>
      <c r="P3388" s="34">
        <v>1117.0</v>
      </c>
      <c r="Q3388" s="35">
        <v>147.0</v>
      </c>
      <c r="R3388" s="32">
        <v>44838.0</v>
      </c>
      <c r="S3388" s="32">
        <v>44691.0</v>
      </c>
      <c r="T3388" s="29"/>
      <c r="U3388" s="33"/>
      <c r="V3388" s="1"/>
    </row>
    <row r="3389" ht="24.0" customHeight="1">
      <c r="A3389" s="1"/>
      <c r="B3389" s="24" t="str">
        <f>HYPERLINK("https://www.compass.com/listing/353-west-117th-street-unit-6c-manhattan-ny-10026/4852329798455797841/view?agent_id=610d3f3370540700019b0833","353 West 117th Street, Unit 6C")</f>
        <v>353 West 117th Street, Unit 6C</v>
      </c>
      <c r="C3389" s="25" t="s">
        <v>370</v>
      </c>
      <c r="D3389" s="26" t="s">
        <v>23</v>
      </c>
      <c r="E3389" s="27" t="str">
        <f>HYPERLINK("https://www.compass.com/building/353-w-117th-st-manhattan-ny-10026/281976654610394997/","353 W 117th St")</f>
        <v>353 W 117th St</v>
      </c>
      <c r="F3389" s="25" t="s">
        <v>45</v>
      </c>
      <c r="G3389" s="28">
        <v>320000.0</v>
      </c>
      <c r="H3389" s="29"/>
      <c r="I3389" s="28">
        <v>450.0</v>
      </c>
      <c r="J3389" s="29"/>
      <c r="K3389" s="25" t="s">
        <v>25</v>
      </c>
      <c r="L3389" s="26">
        <v>5.0</v>
      </c>
      <c r="M3389" s="26">
        <v>2.0</v>
      </c>
      <c r="N3389" s="26">
        <v>0.0</v>
      </c>
      <c r="O3389" s="26">
        <v>0.0</v>
      </c>
      <c r="P3389" s="30"/>
      <c r="Q3389" s="35">
        <v>0.0</v>
      </c>
      <c r="R3389" s="32">
        <v>44581.0</v>
      </c>
      <c r="S3389" s="32">
        <v>41512.0</v>
      </c>
      <c r="T3389" s="29"/>
      <c r="U3389" s="33"/>
      <c r="V3389" s="1"/>
    </row>
    <row r="3390" ht="24.0" customHeight="1">
      <c r="A3390" s="1"/>
      <c r="B3390" s="24" t="str">
        <f>HYPERLINK("https://www.compass.com/listing/191-willoughby-street-unit-8j-brooklyn-ny-11201/797542168754156977/view?agent_id=610d3f3370540700019b0833","191 Willoughby Street, Unit 8J")</f>
        <v>191 Willoughby Street, Unit 8J</v>
      </c>
      <c r="C3390" s="25" t="s">
        <v>364</v>
      </c>
      <c r="D3390" s="26" t="s">
        <v>23</v>
      </c>
      <c r="E3390" s="27" t="str">
        <f>HYPERLINK("https://www.compass.com/building/university-towers-brooklyn-ny/282504529948262309/","University Towers")</f>
        <v>University Towers</v>
      </c>
      <c r="F3390" s="25" t="s">
        <v>31</v>
      </c>
      <c r="G3390" s="28">
        <v>725000.0</v>
      </c>
      <c r="H3390" s="29"/>
      <c r="I3390" s="28">
        <v>1084.0</v>
      </c>
      <c r="J3390" s="28">
        <v>0.0</v>
      </c>
      <c r="K3390" s="25" t="s">
        <v>25</v>
      </c>
      <c r="L3390" s="26">
        <v>5.0</v>
      </c>
      <c r="M3390" s="26">
        <v>2.0</v>
      </c>
      <c r="N3390" s="26">
        <v>1.0</v>
      </c>
      <c r="O3390" s="26">
        <v>0.0</v>
      </c>
      <c r="P3390" s="30"/>
      <c r="Q3390" s="35">
        <v>149.0</v>
      </c>
      <c r="R3390" s="32">
        <v>44547.0</v>
      </c>
      <c r="S3390" s="32">
        <v>44352.0</v>
      </c>
      <c r="T3390" s="29"/>
      <c r="U3390" s="33"/>
      <c r="V3390" s="1"/>
    </row>
    <row r="3391" ht="24.0" customHeight="1">
      <c r="A3391" s="1"/>
      <c r="B3391" s="24" t="str">
        <f>HYPERLINK("https://www.compass.com/listing/153-bennett-avenue-unit-5f-manhattan-ny-10040/1302221398277000985/view?agent_id=610d3f3370540700019b0833","153 Bennett Avenue, Unit 5F")</f>
        <v>153 Bennett Avenue, Unit 5F</v>
      </c>
      <c r="C3391" s="25" t="s">
        <v>370</v>
      </c>
      <c r="D3391" s="26" t="s">
        <v>23</v>
      </c>
      <c r="E3391" s="27" t="str">
        <f>HYPERLINK("https://www.compass.com/building/153-bennett-ave-manhattan-ny-10040/282061180455914437/","153 Bennett Ave")</f>
        <v>153 Bennett Ave</v>
      </c>
      <c r="F3391" s="25" t="s">
        <v>58</v>
      </c>
      <c r="G3391" s="28">
        <v>569000.0</v>
      </c>
      <c r="H3391" s="29"/>
      <c r="I3391" s="28">
        <v>1131.0</v>
      </c>
      <c r="J3391" s="28">
        <v>0.0</v>
      </c>
      <c r="K3391" s="25" t="s">
        <v>25</v>
      </c>
      <c r="L3391" s="26">
        <v>5.0</v>
      </c>
      <c r="M3391" s="26">
        <v>2.0</v>
      </c>
      <c r="N3391" s="26">
        <v>1.0</v>
      </c>
      <c r="O3391" s="30"/>
      <c r="P3391" s="30"/>
      <c r="Q3391" s="35">
        <v>59.0</v>
      </c>
      <c r="R3391" s="32">
        <v>45178.0</v>
      </c>
      <c r="S3391" s="32">
        <v>45048.0</v>
      </c>
      <c r="T3391" s="29"/>
      <c r="U3391" s="33"/>
      <c r="V3391" s="1"/>
    </row>
    <row r="3392" ht="24.0" customHeight="1">
      <c r="A3392" s="1"/>
      <c r="B3392" s="24" t="str">
        <f>HYPERLINK("https://www.compass.com/listing/245-bennett-avenue-unit-3b-manhattan-ny-10040/1529792114588849537/view?agent_id=610d3f3370540700019b0833","245 Bennett Avenue, Unit 3B")</f>
        <v>245 Bennett Avenue, Unit 3B</v>
      </c>
      <c r="C3392" s="25" t="s">
        <v>365</v>
      </c>
      <c r="D3392" s="26" t="s">
        <v>23</v>
      </c>
      <c r="E3392" s="27" t="str">
        <f>HYPERLINK("https://www.compass.com/building/fort-tryon-gardens-manhattan-ny/282060771158952597/","Fort Tryon Gardens")</f>
        <v>Fort Tryon Gardens</v>
      </c>
      <c r="F3392" s="25" t="s">
        <v>58</v>
      </c>
      <c r="G3392" s="28">
        <v>550000.0</v>
      </c>
      <c r="H3392" s="28">
        <v>611.0</v>
      </c>
      <c r="I3392" s="28">
        <v>1102.0</v>
      </c>
      <c r="J3392" s="28">
        <v>0.0</v>
      </c>
      <c r="K3392" s="25" t="s">
        <v>25</v>
      </c>
      <c r="L3392" s="26">
        <v>4.0</v>
      </c>
      <c r="M3392" s="26">
        <v>2.0</v>
      </c>
      <c r="N3392" s="26">
        <v>1.0</v>
      </c>
      <c r="O3392" s="30"/>
      <c r="P3392" s="26">
        <v>900.0</v>
      </c>
      <c r="Q3392" s="35">
        <v>129.0</v>
      </c>
      <c r="R3392" s="32">
        <v>45491.0</v>
      </c>
      <c r="S3392" s="32">
        <v>45362.0</v>
      </c>
      <c r="T3392" s="29"/>
      <c r="U3392" s="33"/>
      <c r="V3392" s="1"/>
    </row>
    <row r="3393" ht="24.0" customHeight="1">
      <c r="A3393" s="1"/>
      <c r="B3393" s="24" t="str">
        <f>HYPERLINK("https://www.compass.com/listing/365-bridge-street-unit-4g-brooklyn-ny-11201/29481429461195137/view?agent_id=610d3f3370540700019b0833","365 Bridge Street, Unit 4G")</f>
        <v>365 Bridge Street, Unit 4G</v>
      </c>
      <c r="C3393" s="25" t="s">
        <v>364</v>
      </c>
      <c r="D3393" s="26" t="s">
        <v>23</v>
      </c>
      <c r="E3393" s="27" t="str">
        <f t="shared" ref="E3393:E3394" si="109">HYPERLINK("https://www.compass.com/building/belltel-lofts-brooklyn-ny/282511553654250117/","BellTel Lofts")</f>
        <v>BellTel Lofts</v>
      </c>
      <c r="F3393" s="25" t="s">
        <v>31</v>
      </c>
      <c r="G3393" s="28">
        <v>849000.0</v>
      </c>
      <c r="H3393" s="28">
        <v>723.0</v>
      </c>
      <c r="I3393" s="28">
        <v>405.0</v>
      </c>
      <c r="J3393" s="29"/>
      <c r="K3393" s="25" t="s">
        <v>28</v>
      </c>
      <c r="L3393" s="26">
        <v>3.0</v>
      </c>
      <c r="M3393" s="26">
        <v>2.0</v>
      </c>
      <c r="N3393" s="26">
        <v>1.0</v>
      </c>
      <c r="O3393" s="26">
        <v>0.0</v>
      </c>
      <c r="P3393" s="34">
        <v>1175.0</v>
      </c>
      <c r="Q3393" s="35">
        <v>2892.0</v>
      </c>
      <c r="R3393" s="32">
        <v>44699.0</v>
      </c>
      <c r="S3393" s="32">
        <v>41340.0</v>
      </c>
      <c r="T3393" s="29"/>
      <c r="U3393" s="33"/>
      <c r="V3393" s="1"/>
    </row>
    <row r="3394" ht="24.0" customHeight="1">
      <c r="A3394" s="1"/>
      <c r="B3394" s="24" t="str">
        <f>HYPERLINK("https://www.compass.com/listing/365-bridge-street-unit-8d-brooklyn-ny-11201/1311626036442614369/view?agent_id=610d3f3370540700019b0833","365 Bridge Street, Unit 8D")</f>
        <v>365 Bridge Street, Unit 8D</v>
      </c>
      <c r="C3394" s="25" t="s">
        <v>370</v>
      </c>
      <c r="D3394" s="26" t="s">
        <v>23</v>
      </c>
      <c r="E3394" s="27" t="str">
        <f t="shared" si="109"/>
        <v>BellTel Lofts</v>
      </c>
      <c r="F3394" s="25" t="s">
        <v>31</v>
      </c>
      <c r="G3394" s="28">
        <v>995000.0</v>
      </c>
      <c r="H3394" s="28">
        <v>905.0</v>
      </c>
      <c r="I3394" s="28">
        <v>1479.0</v>
      </c>
      <c r="J3394" s="28">
        <v>7512.0</v>
      </c>
      <c r="K3394" s="25" t="s">
        <v>28</v>
      </c>
      <c r="L3394" s="26">
        <v>4.0</v>
      </c>
      <c r="M3394" s="26">
        <v>2.0</v>
      </c>
      <c r="N3394" s="26">
        <v>1.0</v>
      </c>
      <c r="O3394" s="30"/>
      <c r="P3394" s="34">
        <v>1099.0</v>
      </c>
      <c r="Q3394" s="35">
        <v>0.0</v>
      </c>
      <c r="R3394" s="32">
        <v>45261.0</v>
      </c>
      <c r="S3394" s="32">
        <v>45061.0</v>
      </c>
      <c r="T3394" s="29"/>
      <c r="U3394" s="33"/>
      <c r="V3394" s="1"/>
    </row>
    <row r="3395" ht="24.0" customHeight="1">
      <c r="A3395" s="1"/>
      <c r="B3395" s="24" t="str">
        <f>HYPERLINK("https://www.compass.com/listing/20-pine-street-unit-911-manhattan-ny-10005/29356399549026657/view?agent_id=610d3f3370540700019b0833","20 Pine St, Unit 911")</f>
        <v>20 Pine St, Unit 911</v>
      </c>
      <c r="C3395" s="25" t="s">
        <v>364</v>
      </c>
      <c r="D3395" s="26" t="s">
        <v>23</v>
      </c>
      <c r="E3395" s="27" t="str">
        <f>HYPERLINK("https://www.compass.com/building/the-collection-manhattan-ny/281895891164472517/","The Collection")</f>
        <v>The Collection</v>
      </c>
      <c r="F3395" s="25" t="s">
        <v>80</v>
      </c>
      <c r="G3395" s="28">
        <v>1895000.0</v>
      </c>
      <c r="H3395" s="28">
        <v>1549.0</v>
      </c>
      <c r="I3395" s="28">
        <v>1448.0</v>
      </c>
      <c r="J3395" s="28">
        <v>1584.0</v>
      </c>
      <c r="K3395" s="25" t="s">
        <v>28</v>
      </c>
      <c r="L3395" s="26">
        <v>3.0</v>
      </c>
      <c r="M3395" s="26">
        <v>2.0</v>
      </c>
      <c r="N3395" s="30"/>
      <c r="O3395" s="30"/>
      <c r="P3395" s="34">
        <v>1223.0</v>
      </c>
      <c r="Q3395" s="35">
        <v>87.0</v>
      </c>
      <c r="R3395" s="32">
        <v>42829.0</v>
      </c>
      <c r="S3395" s="32">
        <v>42412.0</v>
      </c>
      <c r="T3395" s="29"/>
      <c r="U3395" s="33"/>
      <c r="V3395" s="1"/>
    </row>
    <row r="3396" ht="24.0" customHeight="1">
      <c r="A3396" s="1"/>
      <c r="B3396" s="24" t="str">
        <f>HYPERLINK("https://www.compass.com/listing/900-west-190th-street-unit-2d-manhattan-ny-10040/1085580190866367633/view?agent_id=610d3f3370540700019b0833","900 West 190th Street, Unit 2D")</f>
        <v>900 West 190th Street, Unit 2D</v>
      </c>
      <c r="C3396" s="25" t="s">
        <v>364</v>
      </c>
      <c r="D3396" s="26" t="s">
        <v>23</v>
      </c>
      <c r="E3396" s="27" t="str">
        <f>HYPERLINK("https://www.compass.com/building/cabrini-terrace-manhattan-ny/282034716771633221/","Cabrini Terrace")</f>
        <v>Cabrini Terrace</v>
      </c>
      <c r="F3396" s="25" t="s">
        <v>58</v>
      </c>
      <c r="G3396" s="28">
        <v>699999.0</v>
      </c>
      <c r="H3396" s="29"/>
      <c r="I3396" s="28">
        <v>1047.0</v>
      </c>
      <c r="J3396" s="28">
        <v>0.0</v>
      </c>
      <c r="K3396" s="25" t="s">
        <v>25</v>
      </c>
      <c r="L3396" s="26">
        <v>5.0</v>
      </c>
      <c r="M3396" s="26">
        <v>2.0</v>
      </c>
      <c r="N3396" s="26">
        <v>1.0</v>
      </c>
      <c r="O3396" s="30"/>
      <c r="P3396" s="30"/>
      <c r="Q3396" s="35">
        <v>76.0</v>
      </c>
      <c r="R3396" s="32">
        <v>44858.0</v>
      </c>
      <c r="S3396" s="32">
        <v>44749.0</v>
      </c>
      <c r="T3396" s="29"/>
      <c r="U3396" s="33"/>
      <c r="V3396" s="1"/>
    </row>
    <row r="3397" ht="24.0" customHeight="1">
      <c r="A3397" s="1"/>
      <c r="B3397" s="24" t="str">
        <f>HYPERLINK("https://www.compass.com/listing/176-johnson-street-unit-6a-brooklyn-ny-11201/1288494674016204065/view?agent_id=610d3f3370540700019b0833","176 Johnson St, Unit 6A")</f>
        <v>176 Johnson St, Unit 6A</v>
      </c>
      <c r="C3397" s="25" t="s">
        <v>364</v>
      </c>
      <c r="D3397" s="26" t="s">
        <v>23</v>
      </c>
      <c r="E3397" s="27" t="str">
        <f>HYPERLINK("https://www.compass.com/building/the-toy-factory-lofts-brooklyn-ny/282511298145638981/","The Toy Factory Lofts")</f>
        <v>The Toy Factory Lofts</v>
      </c>
      <c r="F3397" s="25" t="s">
        <v>31</v>
      </c>
      <c r="G3397" s="28">
        <v>1145000.0</v>
      </c>
      <c r="H3397" s="28">
        <v>1052.0</v>
      </c>
      <c r="I3397" s="28">
        <v>1925.0</v>
      </c>
      <c r="J3397" s="28">
        <v>17218.0</v>
      </c>
      <c r="K3397" s="25" t="s">
        <v>28</v>
      </c>
      <c r="L3397" s="26">
        <v>4.0</v>
      </c>
      <c r="M3397" s="26">
        <v>2.0</v>
      </c>
      <c r="N3397" s="26">
        <v>1.0</v>
      </c>
      <c r="O3397" s="30"/>
      <c r="P3397" s="34">
        <v>1088.0</v>
      </c>
      <c r="Q3397" s="35">
        <v>141.0</v>
      </c>
      <c r="R3397" s="32">
        <v>45209.0</v>
      </c>
      <c r="S3397" s="32">
        <v>45029.0</v>
      </c>
      <c r="T3397" s="29"/>
      <c r="U3397" s="33"/>
      <c r="V3397" s="1"/>
    </row>
    <row r="3398" ht="24.0" customHeight="1">
      <c r="A3398" s="1"/>
      <c r="B3398" s="24" t="str">
        <f>HYPERLINK("https://www.compass.com/listing/15-broad-street-unit-1230-manhattan-ny-10005/50877365479333505/view?agent_id=610d3f3370540700019b0833","15 Broad St, Unit 1230")</f>
        <v>15 Broad St, Unit 1230</v>
      </c>
      <c r="C3398" s="25" t="s">
        <v>364</v>
      </c>
      <c r="D3398" s="26" t="s">
        <v>23</v>
      </c>
      <c r="E3398" s="27" t="str">
        <f>HYPERLINK("https://www.compass.com/building/downtown-by-philippe-starck-manhattan-ny/281895799065944725/","Downtown by Philippe Starck")</f>
        <v>Downtown by Philippe Starck</v>
      </c>
      <c r="F3398" s="25" t="s">
        <v>80</v>
      </c>
      <c r="G3398" s="28">
        <v>1345000.0</v>
      </c>
      <c r="H3398" s="28">
        <v>949.0</v>
      </c>
      <c r="I3398" s="28">
        <v>1961.0</v>
      </c>
      <c r="J3398" s="28">
        <v>9024.0</v>
      </c>
      <c r="K3398" s="25" t="s">
        <v>28</v>
      </c>
      <c r="L3398" s="26">
        <v>4.0</v>
      </c>
      <c r="M3398" s="26">
        <v>2.0</v>
      </c>
      <c r="N3398" s="26">
        <v>1.0</v>
      </c>
      <c r="O3398" s="26">
        <v>0.0</v>
      </c>
      <c r="P3398" s="34">
        <v>1418.0</v>
      </c>
      <c r="Q3398" s="35">
        <v>163.0</v>
      </c>
      <c r="R3398" s="32">
        <v>44581.0</v>
      </c>
      <c r="S3398" s="32">
        <v>42846.0</v>
      </c>
      <c r="T3398" s="29"/>
      <c r="U3398" s="33"/>
      <c r="V3398" s="1"/>
    </row>
    <row r="3399" ht="24.0" customHeight="1">
      <c r="A3399" s="1"/>
      <c r="B3399" s="24" t="str">
        <f>HYPERLINK("https://www.compass.com/listing/825-west-179th-street-unit-2g-manhattan-ny-10033/109381394320326689/view?agent_id=610d3f3370540700019b0833","825 W 179th St, Unit 2G")</f>
        <v>825 W 179th St, Unit 2G</v>
      </c>
      <c r="C3399" s="25" t="s">
        <v>370</v>
      </c>
      <c r="D3399" s="26" t="s">
        <v>23</v>
      </c>
      <c r="E3399" s="27" t="str">
        <f>HYPERLINK("https://www.compass.com/building/825-w-179th-st-manhattan-ny-10033/282013896338835397/","825 W 179th St")</f>
        <v>825 W 179th St</v>
      </c>
      <c r="F3399" s="25" t="s">
        <v>58</v>
      </c>
      <c r="G3399" s="28">
        <v>465000.0</v>
      </c>
      <c r="H3399" s="29"/>
      <c r="I3399" s="28">
        <v>1036.0</v>
      </c>
      <c r="J3399" s="28">
        <v>0.0</v>
      </c>
      <c r="K3399" s="25" t="s">
        <v>25</v>
      </c>
      <c r="L3399" s="26">
        <v>5.0</v>
      </c>
      <c r="M3399" s="26">
        <v>2.0</v>
      </c>
      <c r="N3399" s="26">
        <v>1.0</v>
      </c>
      <c r="O3399" s="30"/>
      <c r="P3399" s="30"/>
      <c r="Q3399" s="35">
        <v>92.0</v>
      </c>
      <c r="R3399" s="32">
        <v>43567.0</v>
      </c>
      <c r="S3399" s="32">
        <v>43474.0</v>
      </c>
      <c r="T3399" s="29"/>
      <c r="U3399" s="33"/>
      <c r="V3399" s="1"/>
    </row>
    <row r="3400" ht="24.0" customHeight="1">
      <c r="A3400" s="1"/>
      <c r="B3400" s="24" t="str">
        <f>HYPERLINK("https://www.compass.com/listing/900-west-190th-street-unit-11j-manhattan-ny-10040/1560453959835287457/view?agent_id=610d3f3370540700019b0833","900 W 190th St, Unit 11J")</f>
        <v>900 W 190th St, Unit 11J</v>
      </c>
      <c r="C3400" s="25" t="s">
        <v>370</v>
      </c>
      <c r="D3400" s="26" t="s">
        <v>23</v>
      </c>
      <c r="E3400" s="27" t="str">
        <f>HYPERLINK("https://www.compass.com/building/cabrini-terrace-manhattan-ny/282034716771633221/","Cabrini Terrace")</f>
        <v>Cabrini Terrace</v>
      </c>
      <c r="F3400" s="25" t="s">
        <v>58</v>
      </c>
      <c r="G3400" s="28">
        <v>600000.0</v>
      </c>
      <c r="H3400" s="29"/>
      <c r="I3400" s="28">
        <v>1162.0</v>
      </c>
      <c r="J3400" s="28">
        <v>0.0</v>
      </c>
      <c r="K3400" s="25" t="s">
        <v>25</v>
      </c>
      <c r="L3400" s="26">
        <v>4.0</v>
      </c>
      <c r="M3400" s="26">
        <v>2.0</v>
      </c>
      <c r="N3400" s="26">
        <v>1.0</v>
      </c>
      <c r="O3400" s="30"/>
      <c r="P3400" s="30"/>
      <c r="Q3400" s="35">
        <v>69.0</v>
      </c>
      <c r="R3400" s="32">
        <v>45548.0</v>
      </c>
      <c r="S3400" s="32">
        <v>45404.0</v>
      </c>
      <c r="T3400" s="29"/>
      <c r="U3400" s="33"/>
      <c r="V3400" s="1"/>
    </row>
    <row r="3401" ht="24.0" customHeight="1">
      <c r="A3401" s="1"/>
      <c r="B3401" s="24" t="str">
        <f>HYPERLINK("https://www.compass.com/listing/365-bridge-street-unit-4g-brooklyn-ny-11201/920545201252807185/view?agent_id=610d3f3370540700019b0833","365 Bridge St, Unit 4G")</f>
        <v>365 Bridge St, Unit 4G</v>
      </c>
      <c r="C3401" s="25" t="s">
        <v>364</v>
      </c>
      <c r="D3401" s="26" t="s">
        <v>23</v>
      </c>
      <c r="E3401" s="27" t="str">
        <f>HYPERLINK("https://www.compass.com/building/belltel-lofts-brooklyn-ny/282511553654250117/","BellTel Lofts")</f>
        <v>BellTel Lofts</v>
      </c>
      <c r="F3401" s="25" t="s">
        <v>31</v>
      </c>
      <c r="G3401" s="28">
        <v>1100000.0</v>
      </c>
      <c r="H3401" s="28">
        <v>936.0</v>
      </c>
      <c r="I3401" s="28">
        <v>458.0</v>
      </c>
      <c r="J3401" s="28">
        <v>240.0</v>
      </c>
      <c r="K3401" s="25" t="s">
        <v>28</v>
      </c>
      <c r="L3401" s="26">
        <v>3.0</v>
      </c>
      <c r="M3401" s="26">
        <v>2.0</v>
      </c>
      <c r="N3401" s="26">
        <v>1.0</v>
      </c>
      <c r="O3401" s="26">
        <v>0.0</v>
      </c>
      <c r="P3401" s="34">
        <v>1175.0</v>
      </c>
      <c r="Q3401" s="35">
        <v>68.0</v>
      </c>
      <c r="R3401" s="32">
        <v>44581.0</v>
      </c>
      <c r="S3401" s="32">
        <v>42080.0</v>
      </c>
      <c r="T3401" s="29"/>
      <c r="U3401" s="33"/>
      <c r="V3401" s="1"/>
    </row>
    <row r="3402" ht="24.0" customHeight="1">
      <c r="A3402" s="1"/>
      <c r="B3402" s="24" t="str">
        <f>HYPERLINK("https://www.compass.com/listing/176-johnson-street-unit-4a-brooklyn-ny-11201/1052415509816434153/view?agent_id=610d3f3370540700019b0833","176 Johnson St, Unit 4A")</f>
        <v>176 Johnson St, Unit 4A</v>
      </c>
      <c r="C3402" s="25" t="s">
        <v>365</v>
      </c>
      <c r="D3402" s="26" t="s">
        <v>23</v>
      </c>
      <c r="E3402" s="27" t="str">
        <f>HYPERLINK("https://www.compass.com/building/the-toy-factory-lofts-brooklyn-ny/282511298145638981/","The Toy Factory Lofts")</f>
        <v>The Toy Factory Lofts</v>
      </c>
      <c r="F3402" s="25" t="s">
        <v>31</v>
      </c>
      <c r="G3402" s="28">
        <v>1150000.0</v>
      </c>
      <c r="H3402" s="28">
        <v>1045.0</v>
      </c>
      <c r="I3402" s="28">
        <v>1493.0</v>
      </c>
      <c r="J3402" s="28">
        <v>12324.0</v>
      </c>
      <c r="K3402" s="25" t="s">
        <v>28</v>
      </c>
      <c r="L3402" s="26">
        <v>2.0</v>
      </c>
      <c r="M3402" s="26">
        <v>2.0</v>
      </c>
      <c r="N3402" s="26">
        <v>1.0</v>
      </c>
      <c r="O3402" s="30"/>
      <c r="P3402" s="34">
        <v>1100.0</v>
      </c>
      <c r="Q3402" s="35">
        <v>63.0</v>
      </c>
      <c r="R3402" s="32">
        <v>44777.0</v>
      </c>
      <c r="S3402" s="32">
        <v>44713.0</v>
      </c>
      <c r="T3402" s="29"/>
      <c r="U3402" s="33"/>
      <c r="V3402" s="1"/>
    </row>
    <row r="3403" ht="24.0" customHeight="1">
      <c r="A3403" s="1"/>
      <c r="B3403" s="24" t="str">
        <f>HYPERLINK("https://www.compass.com/listing/350-cabrini-boulevard-unit-2k-manhattan-ny-10040/1838927565683742905/view?agent_id=610d3f3370540700019b0833","350 Cabrini Blvd, Unit 2K")</f>
        <v>350 Cabrini Blvd, Unit 2K</v>
      </c>
      <c r="C3403" s="25" t="s">
        <v>364</v>
      </c>
      <c r="D3403" s="26" t="s">
        <v>23</v>
      </c>
      <c r="E3403" s="27" t="str">
        <f>HYPERLINK("https://www.compass.com/building/350-cabrini-blvd-manhattan-ny-10040/282033432735792053/","350 Cabrini Blvd")</f>
        <v>350 Cabrini Blvd</v>
      </c>
      <c r="F3403" s="25" t="s">
        <v>58</v>
      </c>
      <c r="G3403" s="28">
        <v>699000.0</v>
      </c>
      <c r="H3403" s="28">
        <v>666.0</v>
      </c>
      <c r="I3403" s="28">
        <v>1252.0</v>
      </c>
      <c r="J3403" s="29"/>
      <c r="K3403" s="25" t="s">
        <v>25</v>
      </c>
      <c r="L3403" s="26">
        <v>5.0</v>
      </c>
      <c r="M3403" s="26">
        <v>2.0</v>
      </c>
      <c r="N3403" s="26">
        <v>1.0</v>
      </c>
      <c r="O3403" s="26">
        <v>0.0</v>
      </c>
      <c r="P3403" s="34">
        <v>1050.0</v>
      </c>
      <c r="Q3403" s="35">
        <v>107.0</v>
      </c>
      <c r="R3403" s="32">
        <v>45636.0</v>
      </c>
      <c r="S3403" s="32">
        <v>42578.0</v>
      </c>
      <c r="T3403" s="29"/>
      <c r="U3403" s="33"/>
      <c r="V3403" s="1"/>
    </row>
    <row r="3404" ht="24.0" customHeight="1">
      <c r="A3404" s="1"/>
      <c r="B3404" s="24" t="str">
        <f>HYPERLINK("https://www.compass.com/listing/416-ocean-avenue-unit-41-brooklyn-ny-11226/1121630383222457545/view?agent_id=610d3f3370540700019b0833","416 Ocean Ave, Unit 41")</f>
        <v>416 Ocean Ave, Unit 41</v>
      </c>
      <c r="C3404" s="25" t="s">
        <v>365</v>
      </c>
      <c r="D3404" s="26" t="s">
        <v>23</v>
      </c>
      <c r="E3404" s="27" t="str">
        <f>HYPERLINK("https://www.compass.com/building/416-ocean-ave-brooklyn-ny-11226/293416554681444533/","416 Ocean Ave")</f>
        <v>416 Ocean Ave</v>
      </c>
      <c r="F3404" s="25" t="s">
        <v>358</v>
      </c>
      <c r="G3404" s="28">
        <v>710000.0</v>
      </c>
      <c r="H3404" s="28">
        <v>747.0</v>
      </c>
      <c r="I3404" s="28">
        <v>921.0</v>
      </c>
      <c r="J3404" s="28">
        <v>0.0</v>
      </c>
      <c r="K3404" s="25" t="s">
        <v>25</v>
      </c>
      <c r="L3404" s="26">
        <v>5.0</v>
      </c>
      <c r="M3404" s="26">
        <v>2.0</v>
      </c>
      <c r="N3404" s="26">
        <v>1.0</v>
      </c>
      <c r="O3404" s="30"/>
      <c r="P3404" s="26">
        <v>950.0</v>
      </c>
      <c r="Q3404" s="35">
        <v>70.0</v>
      </c>
      <c r="R3404" s="32">
        <v>44869.0</v>
      </c>
      <c r="S3404" s="32">
        <v>44799.0</v>
      </c>
      <c r="T3404" s="29"/>
      <c r="U3404" s="33"/>
      <c r="V3404" s="1"/>
    </row>
    <row r="3405" ht="24.0" customHeight="1">
      <c r="A3405" s="1"/>
      <c r="B3405" s="24" t="str">
        <f>HYPERLINK("https://www.compass.com/listing/365-bridge-street-unit-8g-brooklyn-ny-11201/547160449567985977/view?agent_id=610d3f3370540700019b0833","365 Bridge St, Unit 8G")</f>
        <v>365 Bridge St, Unit 8G</v>
      </c>
      <c r="C3405" s="25" t="s">
        <v>364</v>
      </c>
      <c r="D3405" s="26" t="s">
        <v>23</v>
      </c>
      <c r="E3405" s="27" t="str">
        <f>HYPERLINK("https://www.compass.com/building/belltel-lofts-brooklyn-ny/282511553654250117/","BellTel Lofts")</f>
        <v>BellTel Lofts</v>
      </c>
      <c r="F3405" s="25" t="s">
        <v>31</v>
      </c>
      <c r="G3405" s="28">
        <v>1242000.0</v>
      </c>
      <c r="H3405" s="28">
        <v>1057.0</v>
      </c>
      <c r="I3405" s="28">
        <v>1143.0</v>
      </c>
      <c r="J3405" s="28">
        <v>4392.0</v>
      </c>
      <c r="K3405" s="25" t="s">
        <v>28</v>
      </c>
      <c r="L3405" s="26">
        <v>4.0</v>
      </c>
      <c r="M3405" s="26">
        <v>2.0</v>
      </c>
      <c r="N3405" s="26">
        <v>1.0</v>
      </c>
      <c r="O3405" s="26">
        <v>0.0</v>
      </c>
      <c r="P3405" s="34">
        <v>1175.0</v>
      </c>
      <c r="Q3405" s="35">
        <v>317.0</v>
      </c>
      <c r="R3405" s="32">
        <v>44324.0</v>
      </c>
      <c r="S3405" s="32">
        <v>44006.0</v>
      </c>
      <c r="T3405" s="29"/>
      <c r="U3405" s="33"/>
      <c r="V3405" s="1"/>
    </row>
    <row r="3406" ht="24.0" customHeight="1">
      <c r="A3406" s="1"/>
      <c r="B3406" s="24" t="str">
        <f>HYPERLINK("https://www.compass.com/listing/53-boerum-place-unit-4j-brooklyn-ny-11201/469481628882982969/view?agent_id=610d3f3370540700019b0833","53 Boerum Pl, Unit 4J")</f>
        <v>53 Boerum Pl, Unit 4J</v>
      </c>
      <c r="C3406" s="25" t="s">
        <v>364</v>
      </c>
      <c r="D3406" s="26" t="s">
        <v>23</v>
      </c>
      <c r="E3406" s="27" t="str">
        <f>HYPERLINK("https://www.compass.com/building/boulevard-east-brooklyn-ny/282508204007575301/","Boulevard East")</f>
        <v>Boulevard East</v>
      </c>
      <c r="F3406" s="25" t="s">
        <v>31</v>
      </c>
      <c r="G3406" s="28">
        <v>825000.0</v>
      </c>
      <c r="H3406" s="28">
        <v>979.0</v>
      </c>
      <c r="I3406" s="28">
        <v>1599.0</v>
      </c>
      <c r="J3406" s="28">
        <v>9384.0</v>
      </c>
      <c r="K3406" s="25" t="s">
        <v>28</v>
      </c>
      <c r="L3406" s="26">
        <v>4.0</v>
      </c>
      <c r="M3406" s="26">
        <v>2.0</v>
      </c>
      <c r="N3406" s="26">
        <v>1.0</v>
      </c>
      <c r="O3406" s="30"/>
      <c r="P3406" s="26">
        <v>843.0</v>
      </c>
      <c r="Q3406" s="35">
        <v>336.0</v>
      </c>
      <c r="R3406" s="32">
        <v>44341.0</v>
      </c>
      <c r="S3406" s="32">
        <v>44004.0</v>
      </c>
      <c r="T3406" s="29"/>
      <c r="U3406" s="33"/>
      <c r="V3406" s="1"/>
    </row>
    <row r="3407" ht="24.0" customHeight="1">
      <c r="A3407" s="1"/>
      <c r="B3407" s="24" t="str">
        <f>HYPERLINK("https://www.compass.com/listing/175-willoughby-street-unit-12b-brooklyn-ny-11201/29481791211537201/view?agent_id=610d3f3370540700019b0833","175 Willoughby St, Unit 12B")</f>
        <v>175 Willoughby St, Unit 12B</v>
      </c>
      <c r="C3407" s="25" t="s">
        <v>370</v>
      </c>
      <c r="D3407" s="26" t="s">
        <v>23</v>
      </c>
      <c r="E3407" s="27" t="str">
        <f>HYPERLINK("https://www.compass.com/building/university-towers-brooklyn-ny/282504632482220549/","University Towers ")</f>
        <v>University Towers </v>
      </c>
      <c r="F3407" s="25" t="s">
        <v>31</v>
      </c>
      <c r="G3407" s="28">
        <v>725000.0</v>
      </c>
      <c r="H3407" s="29"/>
      <c r="I3407" s="28">
        <v>1195.0</v>
      </c>
      <c r="J3407" s="29"/>
      <c r="K3407" s="25" t="s">
        <v>25</v>
      </c>
      <c r="L3407" s="26">
        <v>4.0</v>
      </c>
      <c r="M3407" s="26">
        <v>2.0</v>
      </c>
      <c r="N3407" s="26">
        <v>0.0</v>
      </c>
      <c r="O3407" s="26">
        <v>0.0</v>
      </c>
      <c r="P3407" s="30"/>
      <c r="Q3407" s="35">
        <v>18.0</v>
      </c>
      <c r="R3407" s="32">
        <v>45636.0</v>
      </c>
      <c r="S3407" s="32">
        <v>42166.0</v>
      </c>
      <c r="T3407" s="29"/>
      <c r="U3407" s="33"/>
      <c r="V3407" s="1"/>
    </row>
    <row r="3408" ht="24.0" customHeight="1">
      <c r="A3408" s="1"/>
      <c r="B3408" s="24" t="str">
        <f>HYPERLINK("https://www.compass.com/listing/110-livingston-street-unit-3o-brooklyn-ny-11201/923214151753004449/view?agent_id=610d3f3370540700019b0833","110 Livingston St, Unit 3O")</f>
        <v>110 Livingston St, Unit 3O</v>
      </c>
      <c r="C3408" s="25" t="s">
        <v>364</v>
      </c>
      <c r="D3408" s="26" t="s">
        <v>23</v>
      </c>
      <c r="E3408" s="27" t="str">
        <f>HYPERLINK("https://www.compass.com/building/110-livingston-brooklyn-ny/282511741156418181/","110 Livingston ")</f>
        <v>110 Livingston </v>
      </c>
      <c r="F3408" s="25" t="s">
        <v>31</v>
      </c>
      <c r="G3408" s="28">
        <v>1375000.0</v>
      </c>
      <c r="H3408" s="28">
        <v>1250.0</v>
      </c>
      <c r="I3408" s="28">
        <v>1163.0</v>
      </c>
      <c r="J3408" s="28">
        <v>5951.0</v>
      </c>
      <c r="K3408" s="25" t="s">
        <v>28</v>
      </c>
      <c r="L3408" s="26">
        <v>4.0</v>
      </c>
      <c r="M3408" s="26">
        <v>2.0</v>
      </c>
      <c r="N3408" s="26">
        <v>1.0</v>
      </c>
      <c r="O3408" s="26">
        <v>0.0</v>
      </c>
      <c r="P3408" s="34">
        <v>1100.0</v>
      </c>
      <c r="Q3408" s="35">
        <v>53.0</v>
      </c>
      <c r="R3408" s="32">
        <v>45636.0</v>
      </c>
      <c r="S3408" s="32">
        <v>44525.0</v>
      </c>
      <c r="T3408" s="29"/>
      <c r="U3408" s="33"/>
      <c r="V3408" s="1"/>
    </row>
    <row r="3409" ht="24.0" customHeight="1">
      <c r="A3409" s="1"/>
      <c r="B3409" s="24" t="str">
        <f>HYPERLINK("https://www.compass.com/listing/53-boerum-place-unit-4j-brooklyn-ny-11201/804237878984539145/view?agent_id=610d3f3370540700019b0833","53 Boerum Pl, Unit 4J")</f>
        <v>53 Boerum Pl, Unit 4J</v>
      </c>
      <c r="C3409" s="25" t="s">
        <v>364</v>
      </c>
      <c r="D3409" s="26" t="s">
        <v>23</v>
      </c>
      <c r="E3409" s="27" t="str">
        <f>HYPERLINK("https://www.compass.com/building/boulevard-east-brooklyn-ny/282508204007575301/","Boulevard East")</f>
        <v>Boulevard East</v>
      </c>
      <c r="F3409" s="25" t="s">
        <v>31</v>
      </c>
      <c r="G3409" s="28">
        <v>799000.0</v>
      </c>
      <c r="H3409" s="28">
        <v>948.0</v>
      </c>
      <c r="I3409" s="28">
        <v>1598.0</v>
      </c>
      <c r="J3409" s="28">
        <v>9384.0</v>
      </c>
      <c r="K3409" s="25" t="s">
        <v>28</v>
      </c>
      <c r="L3409" s="26">
        <v>4.0</v>
      </c>
      <c r="M3409" s="26">
        <v>2.0</v>
      </c>
      <c r="N3409" s="26">
        <v>1.0</v>
      </c>
      <c r="O3409" s="26">
        <v>0.0</v>
      </c>
      <c r="P3409" s="26">
        <v>843.0</v>
      </c>
      <c r="Q3409" s="35">
        <v>63.0</v>
      </c>
      <c r="R3409" s="32">
        <v>44424.0</v>
      </c>
      <c r="S3409" s="32">
        <v>44361.0</v>
      </c>
      <c r="T3409" s="29"/>
      <c r="U3409" s="33"/>
      <c r="V3409" s="1"/>
    </row>
    <row r="3410" ht="24.0" customHeight="1">
      <c r="A3410" s="1"/>
      <c r="B3410" s="24" t="str">
        <f>HYPERLINK("https://www.compass.com/listing/191-willoughby-street-unit-14a-brooklyn-ny-11201/192572515502005137/view?agent_id=610d3f3370540700019b0833","191 Willoughby St, Unit 14A")</f>
        <v>191 Willoughby St, Unit 14A</v>
      </c>
      <c r="C3410" s="25" t="s">
        <v>370</v>
      </c>
      <c r="D3410" s="26" t="s">
        <v>23</v>
      </c>
      <c r="E3410" s="27" t="str">
        <f>HYPERLINK("https://www.compass.com/building/university-towers-brooklyn-ny/282504529948262309/","University Towers")</f>
        <v>University Towers</v>
      </c>
      <c r="F3410" s="25" t="s">
        <v>31</v>
      </c>
      <c r="G3410" s="28">
        <v>725000.0</v>
      </c>
      <c r="H3410" s="28">
        <v>659.0</v>
      </c>
      <c r="I3410" s="28">
        <v>1183.0</v>
      </c>
      <c r="J3410" s="29"/>
      <c r="K3410" s="25" t="s">
        <v>25</v>
      </c>
      <c r="L3410" s="26">
        <v>4.0</v>
      </c>
      <c r="M3410" s="26">
        <v>2.0</v>
      </c>
      <c r="N3410" s="26">
        <v>0.0</v>
      </c>
      <c r="O3410" s="26">
        <v>0.0</v>
      </c>
      <c r="P3410" s="34">
        <v>1100.0</v>
      </c>
      <c r="Q3410" s="35">
        <v>18.0</v>
      </c>
      <c r="R3410" s="32">
        <v>45636.0</v>
      </c>
      <c r="S3410" s="32">
        <v>42166.0</v>
      </c>
      <c r="T3410" s="29"/>
      <c r="U3410" s="33"/>
      <c r="V3410" s="1"/>
    </row>
    <row r="3411" ht="24.0" customHeight="1">
      <c r="A3411" s="1"/>
      <c r="B3411" s="24" t="str">
        <f>HYPERLINK("https://www.compass.com/listing/15-broad-street-unit-1000-manhattan-ny-10005/1679712060431795801/view?agent_id=610d3f3370540700019b0833","15 Broad St, Unit 1000")</f>
        <v>15 Broad St, Unit 1000</v>
      </c>
      <c r="C3411" s="25" t="s">
        <v>364</v>
      </c>
      <c r="D3411" s="26" t="s">
        <v>23</v>
      </c>
      <c r="E3411" s="27" t="str">
        <f>HYPERLINK("https://www.compass.com/building/downtown-by-philippe-starck-manhattan-ny/281895799065944725/","Downtown by Philippe Starck")</f>
        <v>Downtown by Philippe Starck</v>
      </c>
      <c r="F3411" s="25" t="s">
        <v>80</v>
      </c>
      <c r="G3411" s="28">
        <v>1695000.0</v>
      </c>
      <c r="H3411" s="28">
        <v>1082.0</v>
      </c>
      <c r="I3411" s="28">
        <v>3566.0</v>
      </c>
      <c r="J3411" s="28">
        <v>22184.0</v>
      </c>
      <c r="K3411" s="25" t="s">
        <v>28</v>
      </c>
      <c r="L3411" s="26">
        <v>4.0</v>
      </c>
      <c r="M3411" s="26">
        <v>2.0</v>
      </c>
      <c r="N3411" s="26">
        <v>1.0</v>
      </c>
      <c r="O3411" s="30"/>
      <c r="P3411" s="34">
        <v>1567.0</v>
      </c>
      <c r="Q3411" s="35">
        <v>98.0</v>
      </c>
      <c r="R3411" s="32">
        <v>45667.0</v>
      </c>
      <c r="S3411" s="32">
        <v>45569.0</v>
      </c>
      <c r="T3411" s="29"/>
      <c r="U3411" s="33"/>
      <c r="V3411" s="1"/>
    </row>
    <row r="3412" ht="24.0" customHeight="1">
      <c r="A3412" s="1"/>
      <c r="B3412" s="24" t="str">
        <f>HYPERLINK("https://www.compass.com/listing/416-ocean-avenue-unit-75-brooklyn-ny-11226/192565876195712433/view?agent_id=610d3f3370540700019b0833","416 Ocean Ave, Unit 75")</f>
        <v>416 Ocean Ave, Unit 75</v>
      </c>
      <c r="C3412" s="25" t="s">
        <v>364</v>
      </c>
      <c r="D3412" s="26" t="s">
        <v>23</v>
      </c>
      <c r="E3412" s="27" t="str">
        <f t="shared" ref="E3412:E3413" si="110">HYPERLINK("https://www.compass.com/building/416-ocean-ave-brooklyn-ny-11226/293416554681444533/","416 Ocean Ave")</f>
        <v>416 Ocean Ave</v>
      </c>
      <c r="F3412" s="25" t="s">
        <v>358</v>
      </c>
      <c r="G3412" s="28">
        <v>595000.0</v>
      </c>
      <c r="H3412" s="29"/>
      <c r="I3412" s="28">
        <v>870.0</v>
      </c>
      <c r="J3412" s="29"/>
      <c r="K3412" s="25" t="s">
        <v>25</v>
      </c>
      <c r="L3412" s="26">
        <v>6.0</v>
      </c>
      <c r="M3412" s="26">
        <v>2.0</v>
      </c>
      <c r="N3412" s="26">
        <v>0.0</v>
      </c>
      <c r="O3412" s="26">
        <v>0.0</v>
      </c>
      <c r="P3412" s="30"/>
      <c r="Q3412" s="35">
        <v>0.0</v>
      </c>
      <c r="R3412" s="32">
        <v>44581.0</v>
      </c>
      <c r="S3412" s="32">
        <v>41350.0</v>
      </c>
      <c r="T3412" s="29"/>
      <c r="U3412" s="33"/>
      <c r="V3412" s="1"/>
    </row>
    <row r="3413" ht="24.0" customHeight="1">
      <c r="A3413" s="1"/>
      <c r="B3413" s="24" t="str">
        <f>HYPERLINK("https://www.compass.com/listing/416-ocean-avenue-unit-18-brooklyn-ny-11226/821690110216445193/view?agent_id=610d3f3370540700019b0833","416 Ocean Ave, Unit 18")</f>
        <v>416 Ocean Ave, Unit 18</v>
      </c>
      <c r="C3413" s="25" t="s">
        <v>365</v>
      </c>
      <c r="D3413" s="26" t="s">
        <v>23</v>
      </c>
      <c r="E3413" s="27" t="str">
        <f t="shared" si="110"/>
        <v>416 Ocean Ave</v>
      </c>
      <c r="F3413" s="25" t="s">
        <v>358</v>
      </c>
      <c r="G3413" s="28">
        <v>680000.0</v>
      </c>
      <c r="H3413" s="28">
        <v>618.0</v>
      </c>
      <c r="I3413" s="28">
        <v>768.0</v>
      </c>
      <c r="J3413" s="28">
        <v>0.0</v>
      </c>
      <c r="K3413" s="25" t="s">
        <v>25</v>
      </c>
      <c r="L3413" s="26">
        <v>6.0</v>
      </c>
      <c r="M3413" s="26">
        <v>2.0</v>
      </c>
      <c r="N3413" s="26">
        <v>1.0</v>
      </c>
      <c r="O3413" s="30"/>
      <c r="P3413" s="34">
        <v>1100.0</v>
      </c>
      <c r="Q3413" s="35">
        <v>145.0</v>
      </c>
      <c r="R3413" s="32">
        <v>44531.0</v>
      </c>
      <c r="S3413" s="32">
        <v>44385.0</v>
      </c>
      <c r="T3413" s="29"/>
      <c r="U3413" s="33"/>
      <c r="V3413" s="1"/>
    </row>
    <row r="3414" ht="24.0" customHeight="1">
      <c r="A3414" s="1"/>
      <c r="B3414" s="24" t="str">
        <f>HYPERLINK("https://www.compass.com/listing/57-front-street-unit-405-brooklyn-ny-11201/180303371096337249/view?agent_id=610d3f3370540700019b0833","57 Front St, Unit 405")</f>
        <v>57 Front St, Unit 405</v>
      </c>
      <c r="C3414" s="25" t="s">
        <v>364</v>
      </c>
      <c r="D3414" s="26" t="s">
        <v>23</v>
      </c>
      <c r="E3414" s="27" t="str">
        <f>HYPERLINK("https://www.compass.com/building/river-front-brooklyn-ny/282510479258114117/","River Front")</f>
        <v>River Front</v>
      </c>
      <c r="F3414" s="25" t="s">
        <v>54</v>
      </c>
      <c r="G3414" s="28">
        <v>999000.0</v>
      </c>
      <c r="H3414" s="28">
        <v>934.0</v>
      </c>
      <c r="I3414" s="28">
        <v>1097.0</v>
      </c>
      <c r="J3414" s="28">
        <v>4308.0</v>
      </c>
      <c r="K3414" s="25" t="s">
        <v>28</v>
      </c>
      <c r="L3414" s="26">
        <v>4.0</v>
      </c>
      <c r="M3414" s="26">
        <v>2.0</v>
      </c>
      <c r="N3414" s="26">
        <v>1.0</v>
      </c>
      <c r="O3414" s="26">
        <v>0.0</v>
      </c>
      <c r="P3414" s="34">
        <v>1070.0</v>
      </c>
      <c r="Q3414" s="35">
        <v>158.0</v>
      </c>
      <c r="R3414" s="32">
        <v>43659.0</v>
      </c>
      <c r="S3414" s="32">
        <v>43500.0</v>
      </c>
      <c r="T3414" s="29"/>
      <c r="U3414" s="33"/>
      <c r="V3414" s="1"/>
    </row>
    <row r="3415" ht="24.0" customHeight="1">
      <c r="A3415" s="1"/>
      <c r="B3415" s="24" t="str">
        <f>HYPERLINK("https://www.compass.com/listing/199-state-street-unit-4d-brooklyn-ny-11201/29461628168791457/view?agent_id=610d3f3370540700019b0833","199 State St, Unit 4D")</f>
        <v>199 State St, Unit 4D</v>
      </c>
      <c r="C3415" s="25" t="s">
        <v>364</v>
      </c>
      <c r="D3415" s="26" t="s">
        <v>23</v>
      </c>
      <c r="E3415" s="27" t="str">
        <f>HYPERLINK("https://www.compass.com/building/the-lookout-hill-condominium-brooklyn-ny/282508268323033413/","The Lookout Hill Condominium")</f>
        <v>The Lookout Hill Condominium</v>
      </c>
      <c r="F3415" s="25" t="s">
        <v>31</v>
      </c>
      <c r="G3415" s="28">
        <v>950000.0</v>
      </c>
      <c r="H3415" s="28">
        <v>898.0</v>
      </c>
      <c r="I3415" s="28">
        <v>1015.0</v>
      </c>
      <c r="J3415" s="28">
        <v>888.0</v>
      </c>
      <c r="K3415" s="25" t="s">
        <v>28</v>
      </c>
      <c r="L3415" s="26">
        <v>4.0</v>
      </c>
      <c r="M3415" s="26">
        <v>2.0</v>
      </c>
      <c r="N3415" s="26">
        <v>0.0</v>
      </c>
      <c r="O3415" s="26">
        <v>0.0</v>
      </c>
      <c r="P3415" s="34">
        <v>1058.0</v>
      </c>
      <c r="Q3415" s="35">
        <v>3.0</v>
      </c>
      <c r="R3415" s="32">
        <v>45636.0</v>
      </c>
      <c r="S3415" s="32">
        <v>42893.0</v>
      </c>
      <c r="T3415" s="29"/>
      <c r="U3415" s="33"/>
      <c r="V3415" s="1"/>
    </row>
    <row r="3416" ht="24.0" customHeight="1">
      <c r="A3416" s="1"/>
      <c r="B3416" s="24" t="str">
        <f>HYPERLINK("https://www.compass.com/listing/689-fort-washington-avenue-unit-3bb-manhattan-ny-10040/1242222866554438457/view?agent_id=610d3f3370540700019b0833","689 Fort Washington Ave, Unit 3BB")</f>
        <v>689 Fort Washington Ave, Unit 3BB</v>
      </c>
      <c r="C3416" s="25" t="s">
        <v>365</v>
      </c>
      <c r="D3416" s="26" t="s">
        <v>23</v>
      </c>
      <c r="E3416" s="27" t="str">
        <f>HYPERLINK("https://www.compass.com/building/689-fort-washington-ave-manhattan-ny-10040/294845336195442309/","689 Fort Washington Ave")</f>
        <v>689 Fort Washington Ave</v>
      </c>
      <c r="F3416" s="25" t="s">
        <v>58</v>
      </c>
      <c r="G3416" s="28">
        <v>649900.0</v>
      </c>
      <c r="H3416" s="29"/>
      <c r="I3416" s="28">
        <v>1109.0</v>
      </c>
      <c r="J3416" s="28">
        <v>0.0</v>
      </c>
      <c r="K3416" s="25" t="s">
        <v>25</v>
      </c>
      <c r="L3416" s="26">
        <v>4.0</v>
      </c>
      <c r="M3416" s="26">
        <v>2.0</v>
      </c>
      <c r="N3416" s="26">
        <v>1.0</v>
      </c>
      <c r="O3416" s="30"/>
      <c r="P3416" s="30"/>
      <c r="Q3416" s="35">
        <v>265.0</v>
      </c>
      <c r="R3416" s="32">
        <v>45271.0</v>
      </c>
      <c r="S3416" s="32">
        <v>44965.0</v>
      </c>
      <c r="T3416" s="29"/>
      <c r="U3416" s="33"/>
      <c r="V3416" s="1"/>
    </row>
    <row r="3417" ht="24.0" customHeight="1">
      <c r="A3417" s="1"/>
      <c r="B3417" s="24" t="str">
        <f>HYPERLINK("https://www.compass.com/listing/67-liberty-street-unit-4-manhattan-ny-10005/1838969564298083449/view?agent_id=610d3f3370540700019b0833","67 Liberty St, Unit 4")</f>
        <v>67 Liberty St, Unit 4</v>
      </c>
      <c r="C3417" s="25" t="s">
        <v>364</v>
      </c>
      <c r="D3417" s="26" t="s">
        <v>23</v>
      </c>
      <c r="E3417" s="27" t="str">
        <f>HYPERLINK("https://www.compass.com/building/67-liberty-st-manhattan-ny-10005/281896033351379685/","67 Liberty St")</f>
        <v>67 Liberty St</v>
      </c>
      <c r="F3417" s="25" t="s">
        <v>80</v>
      </c>
      <c r="G3417" s="28">
        <v>2195000.0</v>
      </c>
      <c r="H3417" s="28">
        <v>1417.0</v>
      </c>
      <c r="I3417" s="28">
        <v>2585.0</v>
      </c>
      <c r="J3417" s="28">
        <v>16200.0</v>
      </c>
      <c r="K3417" s="25" t="s">
        <v>28</v>
      </c>
      <c r="L3417" s="26">
        <v>5.0</v>
      </c>
      <c r="M3417" s="26">
        <v>2.0</v>
      </c>
      <c r="N3417" s="26">
        <v>0.0</v>
      </c>
      <c r="O3417" s="26">
        <v>0.0</v>
      </c>
      <c r="P3417" s="34">
        <v>1549.0</v>
      </c>
      <c r="Q3417" s="35">
        <v>1945.0</v>
      </c>
      <c r="R3417" s="32">
        <v>44581.0</v>
      </c>
      <c r="S3417" s="32">
        <v>42635.0</v>
      </c>
      <c r="T3417" s="29"/>
      <c r="U3417" s="33"/>
      <c r="V3417" s="1"/>
    </row>
    <row r="3418" ht="24.0" customHeight="1">
      <c r="A3418" s="1"/>
      <c r="B3418" s="24" t="str">
        <f>HYPERLINK("https://www.compass.com/listing/199-state-street-unit-4flr-d-brooklyn-ny-11201/4852287403638919329/view?agent_id=610d3f3370540700019b0833","199 State St, Unit 4FLR/D")</f>
        <v>199 State St, Unit 4FLR/D</v>
      </c>
      <c r="C3418" s="25" t="s">
        <v>370</v>
      </c>
      <c r="D3418" s="26" t="s">
        <v>23</v>
      </c>
      <c r="E3418" s="27" t="str">
        <f>HYPERLINK("https://www.compass.com/building/the-lookout-hill-condominium-brooklyn-ny/282508268323033413/","The Lookout Hill Condominium")</f>
        <v>The Lookout Hill Condominium</v>
      </c>
      <c r="F3418" s="25" t="s">
        <v>31</v>
      </c>
      <c r="G3418" s="28">
        <v>1195000.0</v>
      </c>
      <c r="H3418" s="28">
        <v>1131.0</v>
      </c>
      <c r="I3418" s="28">
        <v>1043.0</v>
      </c>
      <c r="J3418" s="28">
        <v>888.0</v>
      </c>
      <c r="K3418" s="25" t="s">
        <v>28</v>
      </c>
      <c r="L3418" s="26">
        <v>4.0</v>
      </c>
      <c r="M3418" s="26">
        <v>2.0</v>
      </c>
      <c r="N3418" s="26">
        <v>0.0</v>
      </c>
      <c r="O3418" s="26">
        <v>0.0</v>
      </c>
      <c r="P3418" s="34">
        <v>1057.0</v>
      </c>
      <c r="Q3418" s="35">
        <v>44.0</v>
      </c>
      <c r="R3418" s="32">
        <v>45636.0</v>
      </c>
      <c r="S3418" s="32">
        <v>42898.0</v>
      </c>
      <c r="T3418" s="29"/>
      <c r="U3418" s="33"/>
      <c r="V3418" s="1"/>
    </row>
    <row r="3419" ht="24.0" customHeight="1">
      <c r="A3419" s="1"/>
      <c r="B3419" s="24" t="str">
        <f>HYPERLINK("https://www.compass.com/listing/150-west-51st-street-unit-2123-manhattan-ny-10019/1164536232352345985/view?agent_id=610d3f3370540700019b0833","150 W 51st St, Unit 2123")</f>
        <v>150 W 51st St, Unit 2123</v>
      </c>
      <c r="C3419" s="25" t="s">
        <v>364</v>
      </c>
      <c r="D3419" s="26" t="s">
        <v>23</v>
      </c>
      <c r="E3419" s="27" t="str">
        <f>HYPERLINK("https://www.compass.com/building/the-executive-plaza-manhattan-ny/292848579993733925/","The Executive Plaza")</f>
        <v>The Executive Plaza</v>
      </c>
      <c r="F3419" s="25" t="s">
        <v>67</v>
      </c>
      <c r="G3419" s="28">
        <v>930000.0</v>
      </c>
      <c r="H3419" s="29"/>
      <c r="I3419" s="28">
        <v>1709.0</v>
      </c>
      <c r="J3419" s="28">
        <v>12300.0</v>
      </c>
      <c r="K3419" s="25" t="s">
        <v>28</v>
      </c>
      <c r="L3419" s="26">
        <v>3.0</v>
      </c>
      <c r="M3419" s="26">
        <v>2.0</v>
      </c>
      <c r="N3419" s="26">
        <v>1.0</v>
      </c>
      <c r="O3419" s="26">
        <v>0.0</v>
      </c>
      <c r="P3419" s="30"/>
      <c r="Q3419" s="35">
        <v>121.0</v>
      </c>
      <c r="R3419" s="32">
        <v>45071.0</v>
      </c>
      <c r="S3419" s="32">
        <v>44858.0</v>
      </c>
      <c r="T3419" s="29"/>
      <c r="U3419" s="33"/>
      <c r="V3419" s="1"/>
    </row>
    <row r="3420" ht="24.0" customHeight="1">
      <c r="A3420" s="1"/>
      <c r="B3420" s="24" t="str">
        <f>HYPERLINK("https://www.compass.com/listing/720-fort-washington-avenue-unit-3t-manhattan-ny-10040/1838979489212619769/view?agent_id=610d3f3370540700019b0833","720 Fort Washington Ave, Unit 3T")</f>
        <v>720 Fort Washington Ave, Unit 3T</v>
      </c>
      <c r="C3420" s="25" t="s">
        <v>364</v>
      </c>
      <c r="D3420" s="26" t="s">
        <v>23</v>
      </c>
      <c r="E3420" s="27" t="str">
        <f>HYPERLINK("https://www.compass.com/building/720-fort-washington-ave-manhattan-ny-10040/294847677313295957/","720 Fort Washington Ave")</f>
        <v>720 Fort Washington Ave</v>
      </c>
      <c r="F3420" s="25" t="s">
        <v>58</v>
      </c>
      <c r="G3420" s="28">
        <v>845000.0</v>
      </c>
      <c r="H3420" s="28">
        <v>768.0</v>
      </c>
      <c r="I3420" s="28">
        <v>1194.0</v>
      </c>
      <c r="J3420" s="29"/>
      <c r="K3420" s="25" t="s">
        <v>25</v>
      </c>
      <c r="L3420" s="26">
        <v>5.0</v>
      </c>
      <c r="M3420" s="26">
        <v>2.0</v>
      </c>
      <c r="N3420" s="26">
        <v>1.0</v>
      </c>
      <c r="O3420" s="26">
        <v>0.0</v>
      </c>
      <c r="P3420" s="34">
        <v>1100.0</v>
      </c>
      <c r="Q3420" s="35">
        <v>119.0</v>
      </c>
      <c r="R3420" s="32">
        <v>45636.0</v>
      </c>
      <c r="S3420" s="32">
        <v>44463.0</v>
      </c>
      <c r="T3420" s="29"/>
      <c r="U3420" s="33"/>
      <c r="V3420" s="1"/>
    </row>
    <row r="3421" ht="24.0" customHeight="1">
      <c r="A3421" s="1"/>
      <c r="B3421" s="24" t="str">
        <f>HYPERLINK("https://www.compass.com/listing/221-east-18th-street-unit-1d-brooklyn-ny-11226/640378166489373193/view?agent_id=610d3f3370540700019b0833","221 E 18th St, Unit 1D")</f>
        <v>221 E 18th St, Unit 1D</v>
      </c>
      <c r="C3421" s="25" t="s">
        <v>364</v>
      </c>
      <c r="D3421" s="26" t="s">
        <v>23</v>
      </c>
      <c r="E3421" s="27" t="str">
        <f>HYPERLINK("https://www.compass.com/building/221-e-18th-st-brooklyn-ny-11226/293530016124273445/","221 E 18th St")</f>
        <v>221 E 18th St</v>
      </c>
      <c r="F3421" s="25" t="s">
        <v>358</v>
      </c>
      <c r="G3421" s="28">
        <v>549000.0</v>
      </c>
      <c r="H3421" s="29"/>
      <c r="I3421" s="28">
        <v>839.0</v>
      </c>
      <c r="J3421" s="28">
        <v>0.0</v>
      </c>
      <c r="K3421" s="25" t="s">
        <v>25</v>
      </c>
      <c r="L3421" s="26">
        <v>4.0</v>
      </c>
      <c r="M3421" s="26">
        <v>2.0</v>
      </c>
      <c r="N3421" s="26">
        <v>1.0</v>
      </c>
      <c r="O3421" s="26">
        <v>0.0</v>
      </c>
      <c r="P3421" s="30"/>
      <c r="Q3421" s="35">
        <v>20.0</v>
      </c>
      <c r="R3421" s="32">
        <v>44295.0</v>
      </c>
      <c r="S3421" s="32">
        <v>44137.0</v>
      </c>
      <c r="T3421" s="29"/>
      <c r="U3421" s="33"/>
      <c r="V3421" s="1"/>
    </row>
    <row r="3422" ht="24.0" customHeight="1">
      <c r="A3422" s="1"/>
      <c r="B3422" s="24" t="str">
        <f>HYPERLINK("https://www.compass.com/listing/360-cabrini-boulevard-unit-8b-manhattan-ny-10040/1809627169492468777/view?agent_id=610d3f3370540700019b0833","360 Cabrini Blvd, Unit 8B")</f>
        <v>360 Cabrini Blvd, Unit 8B</v>
      </c>
      <c r="C3422" s="25" t="s">
        <v>370</v>
      </c>
      <c r="D3422" s="26" t="s">
        <v>23</v>
      </c>
      <c r="E3422" s="27" t="str">
        <f>HYPERLINK("https://www.compass.com/building/360-cabrini-blvd-manhattan-ny-10040/282033493586756821/","360 Cabrini Blvd")</f>
        <v>360 Cabrini Blvd</v>
      </c>
      <c r="F3422" s="25" t="s">
        <v>58</v>
      </c>
      <c r="G3422" s="28">
        <v>399000.0</v>
      </c>
      <c r="H3422" s="29"/>
      <c r="I3422" s="28">
        <v>1075.0</v>
      </c>
      <c r="J3422" s="29"/>
      <c r="K3422" s="25" t="s">
        <v>25</v>
      </c>
      <c r="L3422" s="26">
        <v>4.0</v>
      </c>
      <c r="M3422" s="26">
        <v>2.0</v>
      </c>
      <c r="N3422" s="26">
        <v>0.0</v>
      </c>
      <c r="O3422" s="26">
        <v>0.0</v>
      </c>
      <c r="P3422" s="30"/>
      <c r="Q3422" s="35">
        <v>0.0</v>
      </c>
      <c r="R3422" s="32">
        <v>44581.0</v>
      </c>
      <c r="S3422" s="32">
        <v>41538.0</v>
      </c>
      <c r="T3422" s="29"/>
      <c r="U3422" s="33"/>
      <c r="V3422" s="1"/>
    </row>
    <row r="3423" ht="24.0" customHeight="1">
      <c r="A3423" s="1"/>
      <c r="B3423" s="24" t="str">
        <f>HYPERLINK("https://www.compass.com/listing/409-edgecombe-avenue-unit-8b-manhattan-ny-10032/803335125756309865/view?agent_id=610d3f3370540700019b0833","409 Edgecombe Ave, Unit 8B")</f>
        <v>409 Edgecombe Ave, Unit 8B</v>
      </c>
      <c r="C3423" s="25" t="s">
        <v>364</v>
      </c>
      <c r="D3423" s="26" t="s">
        <v>23</v>
      </c>
      <c r="E3423" s="27" t="str">
        <f>HYPERLINK("https://www.compass.com/building/409-edgecombe-ave-manhattan-ny-10032/282005357549713605/","409 Edgecombe Ave")</f>
        <v>409 Edgecombe Ave</v>
      </c>
      <c r="F3423" s="25" t="s">
        <v>71</v>
      </c>
      <c r="G3423" s="28">
        <v>299000.0</v>
      </c>
      <c r="H3423" s="28">
        <v>305.0</v>
      </c>
      <c r="I3423" s="28">
        <v>1063.0</v>
      </c>
      <c r="J3423" s="29"/>
      <c r="K3423" s="25" t="s">
        <v>25</v>
      </c>
      <c r="L3423" s="26">
        <v>5.0</v>
      </c>
      <c r="M3423" s="26">
        <v>2.0</v>
      </c>
      <c r="N3423" s="26">
        <v>0.0</v>
      </c>
      <c r="O3423" s="26">
        <v>0.0</v>
      </c>
      <c r="P3423" s="26">
        <v>980.0</v>
      </c>
      <c r="Q3423" s="35">
        <v>137.0</v>
      </c>
      <c r="R3423" s="32">
        <v>45636.0</v>
      </c>
      <c r="S3423" s="32">
        <v>41501.0</v>
      </c>
      <c r="T3423" s="29"/>
      <c r="U3423" s="33"/>
      <c r="V3423" s="1"/>
    </row>
    <row r="3424" ht="24.0" customHeight="1">
      <c r="A3424" s="1"/>
      <c r="B3424" s="24" t="str">
        <f>HYPERLINK("https://www.compass.com/listing/150-west-51st-street-unit-2123-manhattan-ny-10019/1318875979665280681/view?agent_id=610d3f3370540700019b0833","150 W 51st St, Unit 2123")</f>
        <v>150 W 51st St, Unit 2123</v>
      </c>
      <c r="C3424" s="25" t="s">
        <v>364</v>
      </c>
      <c r="D3424" s="26" t="s">
        <v>23</v>
      </c>
      <c r="E3424" s="27" t="str">
        <f>HYPERLINK("https://www.compass.com/building/the-executive-plaza-manhattan-ny/292848579993733925/","The Executive Plaza")</f>
        <v>The Executive Plaza</v>
      </c>
      <c r="F3424" s="25" t="s">
        <v>67</v>
      </c>
      <c r="G3424" s="28">
        <v>900000.0</v>
      </c>
      <c r="H3424" s="29"/>
      <c r="I3424" s="28">
        <v>1709.0</v>
      </c>
      <c r="J3424" s="28">
        <v>12300.0</v>
      </c>
      <c r="K3424" s="25" t="s">
        <v>28</v>
      </c>
      <c r="L3424" s="26">
        <v>4.0</v>
      </c>
      <c r="M3424" s="26">
        <v>2.0</v>
      </c>
      <c r="N3424" s="26">
        <v>1.0</v>
      </c>
      <c r="O3424" s="30"/>
      <c r="P3424" s="30"/>
      <c r="Q3424" s="35">
        <v>92.0</v>
      </c>
      <c r="R3424" s="32">
        <v>45165.0</v>
      </c>
      <c r="S3424" s="32">
        <v>45071.0</v>
      </c>
      <c r="T3424" s="29"/>
      <c r="U3424" s="33"/>
      <c r="V3424" s="1"/>
    </row>
    <row r="3425" ht="24.0" customHeight="1">
      <c r="A3425" s="1"/>
      <c r="B3425" s="24" t="str">
        <f>HYPERLINK("https://www.compass.com/listing/200-central-park-south-unit-11-12i-manhattan-ny-10019/1838890180115640481/view?agent_id=610d3f3370540700019b0833","200 Central Park S, Unit 11/12I")</f>
        <v>200 Central Park S, Unit 11/12I</v>
      </c>
      <c r="C3425" s="25" t="s">
        <v>370</v>
      </c>
      <c r="D3425" s="26" t="s">
        <v>23</v>
      </c>
      <c r="E3425" s="27" t="str">
        <f>HYPERLINK("https://www.compass.com/building/park-south-tenants-corp-manhattan-ny/281944188096931317/","Park South Tenants Corp")</f>
        <v>Park South Tenants Corp</v>
      </c>
      <c r="F3425" s="25" t="s">
        <v>138</v>
      </c>
      <c r="G3425" s="28">
        <v>3295000.0</v>
      </c>
      <c r="H3425" s="29"/>
      <c r="I3425" s="28">
        <v>2811.0</v>
      </c>
      <c r="J3425" s="29"/>
      <c r="K3425" s="25" t="s">
        <v>25</v>
      </c>
      <c r="L3425" s="26">
        <v>5.0</v>
      </c>
      <c r="M3425" s="26">
        <v>2.0</v>
      </c>
      <c r="N3425" s="26">
        <v>0.0</v>
      </c>
      <c r="O3425" s="26">
        <v>0.0</v>
      </c>
      <c r="P3425" s="30"/>
      <c r="Q3425" s="35">
        <v>145.0</v>
      </c>
      <c r="R3425" s="32">
        <v>45636.0</v>
      </c>
      <c r="S3425" s="32">
        <v>42755.0</v>
      </c>
      <c r="T3425" s="29"/>
      <c r="U3425" s="33"/>
      <c r="V3425" s="1"/>
    </row>
    <row r="3426" ht="24.0" customHeight="1">
      <c r="A3426" s="1"/>
      <c r="B3426" s="24" t="str">
        <f>HYPERLINK("https://www.compass.com/listing/66-overlook-terrace-unit-4k-manhattan-ny-10040/1110815956764302625/view?agent_id=610d3f3370540700019b0833","66 Overlook Ter, Unit 4K")</f>
        <v>66 Overlook Ter, Unit 4K</v>
      </c>
      <c r="C3426" s="25" t="s">
        <v>365</v>
      </c>
      <c r="D3426" s="26" t="s">
        <v>23</v>
      </c>
      <c r="E3426" s="27" t="str">
        <f>HYPERLINK("https://www.compass.com/building/fort-tryon-terrace-manhattan-ny/294838983695540533/","Fort Tryon Terrace")</f>
        <v>Fort Tryon Terrace</v>
      </c>
      <c r="F3426" s="25" t="s">
        <v>58</v>
      </c>
      <c r="G3426" s="28">
        <v>560000.0</v>
      </c>
      <c r="H3426" s="29"/>
      <c r="I3426" s="28">
        <v>974.0</v>
      </c>
      <c r="J3426" s="28">
        <v>0.0</v>
      </c>
      <c r="K3426" s="25" t="s">
        <v>25</v>
      </c>
      <c r="L3426" s="26">
        <v>5.0</v>
      </c>
      <c r="M3426" s="26">
        <v>2.0</v>
      </c>
      <c r="N3426" s="26">
        <v>1.0</v>
      </c>
      <c r="O3426" s="30"/>
      <c r="P3426" s="30"/>
      <c r="Q3426" s="35">
        <v>58.0</v>
      </c>
      <c r="R3426" s="32">
        <v>45189.0</v>
      </c>
      <c r="S3426" s="32">
        <v>45131.0</v>
      </c>
      <c r="T3426" s="29"/>
      <c r="U3426" s="33"/>
      <c r="V3426" s="1"/>
    </row>
    <row r="3427" ht="24.0" customHeight="1">
      <c r="A3427" s="1"/>
      <c r="B3427" s="24" t="str">
        <f>HYPERLINK("https://www.compass.com/listing/50-bridge-street-unit-410-brooklyn-ny-11201/1358717632332597217/view?agent_id=610d3f3370540700019b0833","50 Bridge St, Unit 410")</f>
        <v>50 Bridge St, Unit 410</v>
      </c>
      <c r="C3427" s="25" t="s">
        <v>365</v>
      </c>
      <c r="D3427" s="26" t="s">
        <v>23</v>
      </c>
      <c r="E3427" s="27" t="str">
        <f>HYPERLINK("https://www.compass.com/building/bridge-no-50-brooklyn-ny/282512191104571861/","Bridge No. 50")</f>
        <v>Bridge No. 50</v>
      </c>
      <c r="F3427" s="25" t="s">
        <v>54</v>
      </c>
      <c r="G3427" s="28">
        <v>1400000.0</v>
      </c>
      <c r="H3427" s="28">
        <v>1191.0</v>
      </c>
      <c r="I3427" s="28">
        <v>1131.0</v>
      </c>
      <c r="J3427" s="28">
        <v>8724.0</v>
      </c>
      <c r="K3427" s="25" t="s">
        <v>28</v>
      </c>
      <c r="L3427" s="26">
        <v>4.0</v>
      </c>
      <c r="M3427" s="26">
        <v>2.0</v>
      </c>
      <c r="N3427" s="26">
        <v>1.0</v>
      </c>
      <c r="O3427" s="26">
        <v>0.0</v>
      </c>
      <c r="P3427" s="34">
        <v>1175.0</v>
      </c>
      <c r="Q3427" s="35">
        <v>96.0</v>
      </c>
      <c r="R3427" s="32">
        <v>45223.0</v>
      </c>
      <c r="S3427" s="32">
        <v>45126.0</v>
      </c>
      <c r="T3427" s="29"/>
      <c r="U3427" s="33"/>
      <c r="V3427" s="1"/>
    </row>
    <row r="3428" ht="24.0" customHeight="1">
      <c r="A3428" s="1"/>
      <c r="B3428" s="24" t="str">
        <f>HYPERLINK("https://www.compass.com/listing/324-east-112th-street-unit-4b-manhattan-ny-10029/70911540148103265/view?agent_id=610d3f3370540700019b0833","324 E 112th St, Unit 4B")</f>
        <v>324 E 112th St, Unit 4B</v>
      </c>
      <c r="C3428" s="25" t="s">
        <v>370</v>
      </c>
      <c r="D3428" s="26" t="s">
        <v>23</v>
      </c>
      <c r="E3428" s="27" t="str">
        <f>HYPERLINK("https://www.compass.com/building/senneca-terrace-manhattan-ny/281991545245252277/","Senneca Terrace")</f>
        <v>Senneca Terrace</v>
      </c>
      <c r="F3428" s="25" t="s">
        <v>133</v>
      </c>
      <c r="G3428" s="28">
        <v>499000.0</v>
      </c>
      <c r="H3428" s="28">
        <v>465.0</v>
      </c>
      <c r="I3428" s="28">
        <v>603.0</v>
      </c>
      <c r="J3428" s="28">
        <v>312.0</v>
      </c>
      <c r="K3428" s="25" t="s">
        <v>28</v>
      </c>
      <c r="L3428" s="26">
        <v>5.0</v>
      </c>
      <c r="M3428" s="26">
        <v>2.0</v>
      </c>
      <c r="N3428" s="26">
        <v>0.0</v>
      </c>
      <c r="O3428" s="26">
        <v>0.0</v>
      </c>
      <c r="P3428" s="34">
        <v>1073.0</v>
      </c>
      <c r="Q3428" s="35">
        <v>0.0</v>
      </c>
      <c r="R3428" s="32">
        <v>44581.0</v>
      </c>
      <c r="S3428" s="32">
        <v>41538.0</v>
      </c>
      <c r="T3428" s="29"/>
      <c r="U3428" s="33"/>
      <c r="V3428" s="1"/>
    </row>
    <row r="3429" ht="24.0" customHeight="1">
      <c r="A3429" s="1"/>
      <c r="B3429" s="24" t="str">
        <f>HYPERLINK("https://www.compass.com/listing/96-schermerhorn-street-unit-1gh-brooklyn-ny-11201/4852306282419331873/view?agent_id=610d3f3370540700019b0833","96 Schermerhorn St, Unit 1GH")</f>
        <v>96 Schermerhorn St, Unit 1GH</v>
      </c>
      <c r="C3429" s="25" t="s">
        <v>364</v>
      </c>
      <c r="D3429" s="26" t="s">
        <v>23</v>
      </c>
      <c r="E3429" s="27" t="str">
        <f>HYPERLINK("https://www.compass.com/building/boerum-court-brooklyn-ny/282504187256848085/","Boerum Court")</f>
        <v>Boerum Court</v>
      </c>
      <c r="F3429" s="25" t="s">
        <v>31</v>
      </c>
      <c r="G3429" s="28">
        <v>755000.0</v>
      </c>
      <c r="H3429" s="29"/>
      <c r="I3429" s="28">
        <v>1554.0</v>
      </c>
      <c r="J3429" s="29"/>
      <c r="K3429" s="25" t="s">
        <v>25</v>
      </c>
      <c r="L3429" s="26">
        <v>6.0</v>
      </c>
      <c r="M3429" s="26">
        <v>2.0</v>
      </c>
      <c r="N3429" s="26">
        <v>0.0</v>
      </c>
      <c r="O3429" s="26">
        <v>0.0</v>
      </c>
      <c r="P3429" s="30"/>
      <c r="Q3429" s="35">
        <v>0.0</v>
      </c>
      <c r="R3429" s="32">
        <v>44581.0</v>
      </c>
      <c r="S3429" s="32">
        <v>41531.0</v>
      </c>
      <c r="T3429" s="29"/>
      <c r="U3429" s="33"/>
      <c r="V3429" s="1"/>
    </row>
    <row r="3430" ht="24.0" customHeight="1">
      <c r="A3430" s="1"/>
      <c r="B3430" s="24" t="str">
        <f>HYPERLINK("https://www.compass.com/listing/40-clarkson-avenue-unit-6n-brooklyn-ny-11226/1262450092622118609/view?agent_id=610d3f3370540700019b0833","40 Clarkson Ave, Unit 6N")</f>
        <v>40 Clarkson Ave, Unit 6N</v>
      </c>
      <c r="C3430" s="25" t="s">
        <v>364</v>
      </c>
      <c r="D3430" s="26" t="s">
        <v>23</v>
      </c>
      <c r="E3430" s="27" t="str">
        <f>HYPERLINK("https://www.compass.com/building/40-clarkson-ave-brooklyn-ny-11226/307460745880856373/","40 Clarkson Ave")</f>
        <v>40 Clarkson Ave</v>
      </c>
      <c r="F3430" s="25" t="s">
        <v>108</v>
      </c>
      <c r="G3430" s="28">
        <v>650000.0</v>
      </c>
      <c r="H3430" s="28">
        <v>839.0</v>
      </c>
      <c r="I3430" s="28">
        <v>747.0</v>
      </c>
      <c r="J3430" s="28">
        <v>0.0</v>
      </c>
      <c r="K3430" s="25" t="s">
        <v>25</v>
      </c>
      <c r="L3430" s="26">
        <v>4.0</v>
      </c>
      <c r="M3430" s="26">
        <v>2.0</v>
      </c>
      <c r="N3430" s="26">
        <v>1.0</v>
      </c>
      <c r="O3430" s="30"/>
      <c r="P3430" s="26">
        <v>775.0</v>
      </c>
      <c r="Q3430" s="35">
        <v>68.0</v>
      </c>
      <c r="R3430" s="32">
        <v>45061.0</v>
      </c>
      <c r="S3430" s="32">
        <v>44993.0</v>
      </c>
      <c r="T3430" s="29"/>
      <c r="U3430" s="33"/>
      <c r="V3430" s="1"/>
    </row>
    <row r="3431" ht="24.0" customHeight="1">
      <c r="A3431" s="1"/>
      <c r="B3431" s="24" t="str">
        <f>HYPERLINK("https://www.compass.com/listing/1493-prospect-place-unit-1-brooklyn-ny-11213/1170248103374393313/view?agent_id=610d3f3370540700019b0833","1493 Prospect Pl, Unit 1")</f>
        <v>1493 Prospect Pl, Unit 1</v>
      </c>
      <c r="C3431" s="25" t="s">
        <v>365</v>
      </c>
      <c r="D3431" s="26" t="s">
        <v>23</v>
      </c>
      <c r="E3431" s="27" t="str">
        <f>HYPERLINK("https://www.compass.com/building/1493-prospect-pl-brooklyn-ny-11213/307431969448983541/","1493 Prospect Pl")</f>
        <v>1493 Prospect Pl</v>
      </c>
      <c r="F3431" s="25" t="s">
        <v>111</v>
      </c>
      <c r="G3431" s="28">
        <v>575000.0</v>
      </c>
      <c r="H3431" s="28">
        <v>509.0</v>
      </c>
      <c r="I3431" s="28">
        <v>443.0</v>
      </c>
      <c r="J3431" s="28">
        <v>324.0</v>
      </c>
      <c r="K3431" s="25" t="s">
        <v>28</v>
      </c>
      <c r="L3431" s="26">
        <v>4.0</v>
      </c>
      <c r="M3431" s="26">
        <v>2.0</v>
      </c>
      <c r="N3431" s="26">
        <v>1.0</v>
      </c>
      <c r="O3431" s="30"/>
      <c r="P3431" s="34">
        <v>1130.0</v>
      </c>
      <c r="Q3431" s="35">
        <v>62.0</v>
      </c>
      <c r="R3431" s="32">
        <v>44929.0</v>
      </c>
      <c r="S3431" s="32">
        <v>44867.0</v>
      </c>
      <c r="T3431" s="29"/>
      <c r="U3431" s="33"/>
      <c r="V3431" s="1"/>
    </row>
    <row r="3432" ht="24.0" customHeight="1">
      <c r="A3432" s="1"/>
      <c r="B3432" s="24" t="str">
        <f>HYPERLINK("https://www.compass.com/listing/508-a-a-lexington-avenue-unit-1-brooklyn-ny-11221/1360563936181203001/view?agent_id=610d3f3370540700019b0833","508 A A Lexington Ave, Unit 1")</f>
        <v>508 A A Lexington Ave, Unit 1</v>
      </c>
      <c r="C3432" s="25" t="s">
        <v>370</v>
      </c>
      <c r="D3432" s="26" t="s">
        <v>23</v>
      </c>
      <c r="E3432" s="26" t="s">
        <v>391</v>
      </c>
      <c r="F3432" s="25" t="s">
        <v>51</v>
      </c>
      <c r="G3432" s="28">
        <v>800000.0</v>
      </c>
      <c r="H3432" s="28">
        <v>546.0</v>
      </c>
      <c r="I3432" s="28">
        <v>1433.0</v>
      </c>
      <c r="J3432" s="28">
        <v>9780.0</v>
      </c>
      <c r="K3432" s="25" t="s">
        <v>28</v>
      </c>
      <c r="L3432" s="26">
        <v>5.0</v>
      </c>
      <c r="M3432" s="26">
        <v>2.0</v>
      </c>
      <c r="N3432" s="26">
        <v>1.0</v>
      </c>
      <c r="O3432" s="30"/>
      <c r="P3432" s="34">
        <v>1464.0</v>
      </c>
      <c r="Q3432" s="35">
        <v>142.0</v>
      </c>
      <c r="R3432" s="32">
        <v>45169.0</v>
      </c>
      <c r="S3432" s="32">
        <v>44996.0</v>
      </c>
      <c r="T3432" s="29"/>
      <c r="U3432" s="33"/>
      <c r="V3432" s="1"/>
    </row>
    <row r="3433" ht="24.0" customHeight="1">
      <c r="A3433" s="1"/>
      <c r="B3433" s="24" t="str">
        <f>HYPERLINK("https://www.compass.com/listing/85-schenectady-avenue-brooklyn-ny-11213/29472652913583729/view?agent_id=610d3f3370540700019b0833","85 Schenectady Ave")</f>
        <v>85 Schenectady Ave</v>
      </c>
      <c r="C3433" s="25" t="s">
        <v>364</v>
      </c>
      <c r="D3433" s="26" t="s">
        <v>23</v>
      </c>
      <c r="E3433" s="27" t="str">
        <f>HYPERLINK("https://www.compass.com/building/85-schenectady-ave-brooklyn-ny-11213/293527602772104997/","85 Schenectady Ave")</f>
        <v>85 Schenectady Ave</v>
      </c>
      <c r="F3433" s="25" t="s">
        <v>111</v>
      </c>
      <c r="G3433" s="28">
        <v>389000.0</v>
      </c>
      <c r="H3433" s="28">
        <v>259.0</v>
      </c>
      <c r="I3433" s="28">
        <v>0.0</v>
      </c>
      <c r="J3433" s="29"/>
      <c r="K3433" s="25" t="s">
        <v>159</v>
      </c>
      <c r="L3433" s="26">
        <v>4.0</v>
      </c>
      <c r="M3433" s="26">
        <v>2.0</v>
      </c>
      <c r="N3433" s="26">
        <v>0.0</v>
      </c>
      <c r="O3433" s="26">
        <v>0.0</v>
      </c>
      <c r="P3433" s="34">
        <v>1500.0</v>
      </c>
      <c r="Q3433" s="35">
        <v>213.0</v>
      </c>
      <c r="R3433" s="32">
        <v>44581.0</v>
      </c>
      <c r="S3433" s="32">
        <v>41960.0</v>
      </c>
      <c r="T3433" s="29"/>
      <c r="U3433" s="33"/>
      <c r="V3433" s="1"/>
    </row>
    <row r="3434" ht="24.0" customHeight="1">
      <c r="A3434" s="1"/>
      <c r="B3434" s="24" t="str">
        <f>HYPERLINK("https://www.compass.com/listing/200-central-park-south-unit-27-28c-manhattan-ny-10019/1838910735351527537/view?agent_id=610d3f3370540700019b0833","200 Central Park S, Unit 27/28C")</f>
        <v>200 Central Park S, Unit 27/28C</v>
      </c>
      <c r="C3434" s="25" t="s">
        <v>364</v>
      </c>
      <c r="D3434" s="26" t="s">
        <v>23</v>
      </c>
      <c r="E3434" s="27" t="str">
        <f t="shared" ref="E3434:E3435" si="111">HYPERLINK("https://www.compass.com/building/park-south-tenants-corp-manhattan-ny/281944188096931317/","Park South Tenants Corp")</f>
        <v>Park South Tenants Corp</v>
      </c>
      <c r="F3434" s="25" t="s">
        <v>138</v>
      </c>
      <c r="G3434" s="28">
        <v>5995000.0</v>
      </c>
      <c r="H3434" s="29"/>
      <c r="I3434" s="28">
        <v>6248.0</v>
      </c>
      <c r="J3434" s="29"/>
      <c r="K3434" s="25" t="s">
        <v>25</v>
      </c>
      <c r="L3434" s="26">
        <v>8.0</v>
      </c>
      <c r="M3434" s="26">
        <v>2.0</v>
      </c>
      <c r="N3434" s="26">
        <v>0.0</v>
      </c>
      <c r="O3434" s="26">
        <v>0.0</v>
      </c>
      <c r="P3434" s="30"/>
      <c r="Q3434" s="35">
        <v>95.0</v>
      </c>
      <c r="R3434" s="32">
        <v>45636.0</v>
      </c>
      <c r="S3434" s="32">
        <v>41957.0</v>
      </c>
      <c r="T3434" s="29"/>
      <c r="U3434" s="33"/>
      <c r="V3434" s="1"/>
    </row>
    <row r="3435" ht="24.0" customHeight="1">
      <c r="A3435" s="1"/>
      <c r="B3435" s="24" t="str">
        <f>HYPERLINK("https://www.compass.com/listing/200-central-park-south-unit-4a-manhattan-ny-10019/1838982935940671385/view?agent_id=610d3f3370540700019b0833","200 Central Park S, Unit 4A")</f>
        <v>200 Central Park S, Unit 4A</v>
      </c>
      <c r="C3435" s="25" t="s">
        <v>364</v>
      </c>
      <c r="D3435" s="26" t="s">
        <v>23</v>
      </c>
      <c r="E3435" s="27" t="str">
        <f t="shared" si="111"/>
        <v>Park South Tenants Corp</v>
      </c>
      <c r="F3435" s="25" t="s">
        <v>138</v>
      </c>
      <c r="G3435" s="28">
        <v>3995000.0</v>
      </c>
      <c r="H3435" s="29"/>
      <c r="I3435" s="28">
        <v>2618.0</v>
      </c>
      <c r="J3435" s="29"/>
      <c r="K3435" s="25" t="s">
        <v>25</v>
      </c>
      <c r="L3435" s="26">
        <v>5.0</v>
      </c>
      <c r="M3435" s="26">
        <v>2.0</v>
      </c>
      <c r="N3435" s="26">
        <v>0.0</v>
      </c>
      <c r="O3435" s="26">
        <v>0.0</v>
      </c>
      <c r="P3435" s="30"/>
      <c r="Q3435" s="35">
        <v>141.0</v>
      </c>
      <c r="R3435" s="32">
        <v>45636.0</v>
      </c>
      <c r="S3435" s="32">
        <v>42059.0</v>
      </c>
      <c r="T3435" s="29"/>
      <c r="U3435" s="33"/>
      <c r="V3435" s="1"/>
    </row>
    <row r="3436" ht="24.0" customHeight="1">
      <c r="A3436" s="1"/>
      <c r="B3436" s="24" t="str">
        <f>HYPERLINK("https://www.compass.com/listing/79-bridge-street-unit-4b-brooklyn-ny-11201/552945834210558801/view?agent_id=610d3f3370540700019b0833","79 Bridge St, Unit 4B")</f>
        <v>79 Bridge St, Unit 4B</v>
      </c>
      <c r="C3436" s="25" t="s">
        <v>365</v>
      </c>
      <c r="D3436" s="26" t="s">
        <v>23</v>
      </c>
      <c r="E3436" s="27" t="str">
        <f>HYPERLINK("https://www.compass.com/building/the-bridges-brooklyn-ny/282511619404159637/","The Bridges")</f>
        <v>The Bridges</v>
      </c>
      <c r="F3436" s="25" t="s">
        <v>54</v>
      </c>
      <c r="G3436" s="28">
        <v>1190000.0</v>
      </c>
      <c r="H3436" s="28">
        <v>1293.0</v>
      </c>
      <c r="I3436" s="28">
        <v>1116.0</v>
      </c>
      <c r="J3436" s="28">
        <v>6060.0</v>
      </c>
      <c r="K3436" s="25" t="s">
        <v>28</v>
      </c>
      <c r="L3436" s="26">
        <v>3.0</v>
      </c>
      <c r="M3436" s="26">
        <v>2.0</v>
      </c>
      <c r="N3436" s="26">
        <v>1.0</v>
      </c>
      <c r="O3436" s="26">
        <v>0.0</v>
      </c>
      <c r="P3436" s="26">
        <v>920.0</v>
      </c>
      <c r="Q3436" s="35">
        <v>119.0</v>
      </c>
      <c r="R3436" s="32">
        <v>44153.0</v>
      </c>
      <c r="S3436" s="32">
        <v>44034.0</v>
      </c>
      <c r="T3436" s="29"/>
      <c r="U3436" s="33"/>
      <c r="V3436" s="1"/>
    </row>
    <row r="3437" ht="24.0" customHeight="1">
      <c r="A3437" s="1"/>
      <c r="B3437" s="24" t="str">
        <f>HYPERLINK("https://www.compass.com/listing/200-central-park-south-unit-9-101-manhattan-ny-10019/1838888836822775577/view?agent_id=610d3f3370540700019b0833","200 Central Park S, Unit 9/101")</f>
        <v>200 Central Park S, Unit 9/101</v>
      </c>
      <c r="C3437" s="25" t="s">
        <v>364</v>
      </c>
      <c r="D3437" s="26" t="s">
        <v>23</v>
      </c>
      <c r="E3437" s="27" t="str">
        <f t="shared" ref="E3437:E3439" si="112">HYPERLINK("https://www.compass.com/building/park-south-tenants-corp-manhattan-ny/281944188096931317/","Park South Tenants Corp")</f>
        <v>Park South Tenants Corp</v>
      </c>
      <c r="F3437" s="25" t="s">
        <v>138</v>
      </c>
      <c r="G3437" s="28">
        <v>2895000.0</v>
      </c>
      <c r="H3437" s="29"/>
      <c r="I3437" s="28">
        <v>2400.0</v>
      </c>
      <c r="J3437" s="29"/>
      <c r="K3437" s="25" t="s">
        <v>25</v>
      </c>
      <c r="L3437" s="26">
        <v>5.0</v>
      </c>
      <c r="M3437" s="26">
        <v>2.0</v>
      </c>
      <c r="N3437" s="26">
        <v>0.0</v>
      </c>
      <c r="O3437" s="26">
        <v>0.0</v>
      </c>
      <c r="P3437" s="30"/>
      <c r="Q3437" s="35">
        <v>1752.0</v>
      </c>
      <c r="R3437" s="32">
        <v>44581.0</v>
      </c>
      <c r="S3437" s="32">
        <v>41184.0</v>
      </c>
      <c r="T3437" s="29"/>
      <c r="U3437" s="33"/>
      <c r="V3437" s="1"/>
    </row>
    <row r="3438" ht="24.0" customHeight="1">
      <c r="A3438" s="1"/>
      <c r="B3438" s="24" t="str">
        <f>HYPERLINK("https://www.compass.com/listing/200-central-park-south-unit-9-101-manhattan-ny-10019/1838893888199397041/view?agent_id=610d3f3370540700019b0833","200 Central Park S, Unit 9/101")</f>
        <v>200 Central Park S, Unit 9/101</v>
      </c>
      <c r="C3438" s="25" t="s">
        <v>364</v>
      </c>
      <c r="D3438" s="26" t="s">
        <v>23</v>
      </c>
      <c r="E3438" s="27" t="str">
        <f t="shared" si="112"/>
        <v>Park South Tenants Corp</v>
      </c>
      <c r="F3438" s="25" t="s">
        <v>138</v>
      </c>
      <c r="G3438" s="28">
        <v>2895000.0</v>
      </c>
      <c r="H3438" s="29"/>
      <c r="I3438" s="28">
        <v>2462.0</v>
      </c>
      <c r="J3438" s="29"/>
      <c r="K3438" s="25" t="s">
        <v>25</v>
      </c>
      <c r="L3438" s="26">
        <v>5.0</v>
      </c>
      <c r="M3438" s="26">
        <v>2.0</v>
      </c>
      <c r="N3438" s="26">
        <v>0.0</v>
      </c>
      <c r="O3438" s="26">
        <v>0.0</v>
      </c>
      <c r="P3438" s="30"/>
      <c r="Q3438" s="35">
        <v>4319.0</v>
      </c>
      <c r="R3438" s="32">
        <v>45534.0</v>
      </c>
      <c r="S3438" s="32">
        <v>41214.0</v>
      </c>
      <c r="T3438" s="29"/>
      <c r="U3438" s="33"/>
      <c r="V3438" s="1"/>
    </row>
    <row r="3439" ht="24.0" customHeight="1">
      <c r="A3439" s="1"/>
      <c r="B3439" s="24" t="str">
        <f>HYPERLINK("https://www.compass.com/listing/200-central-park-south-unit-5b-manhattan-ny-10019/1838895648053839529/view?agent_id=610d3f3370540700019b0833","200 Central Park S, Unit 5B")</f>
        <v>200 Central Park S, Unit 5B</v>
      </c>
      <c r="C3439" s="25" t="s">
        <v>364</v>
      </c>
      <c r="D3439" s="26" t="s">
        <v>23</v>
      </c>
      <c r="E3439" s="27" t="str">
        <f t="shared" si="112"/>
        <v>Park South Tenants Corp</v>
      </c>
      <c r="F3439" s="25" t="s">
        <v>138</v>
      </c>
      <c r="G3439" s="28">
        <v>4500000.0</v>
      </c>
      <c r="H3439" s="29"/>
      <c r="I3439" s="28">
        <v>3847.0</v>
      </c>
      <c r="J3439" s="29"/>
      <c r="K3439" s="25" t="s">
        <v>25</v>
      </c>
      <c r="L3439" s="26">
        <v>5.0</v>
      </c>
      <c r="M3439" s="26">
        <v>2.0</v>
      </c>
      <c r="N3439" s="26">
        <v>0.0</v>
      </c>
      <c r="O3439" s="26">
        <v>0.0</v>
      </c>
      <c r="P3439" s="30"/>
      <c r="Q3439" s="35">
        <v>1237.0</v>
      </c>
      <c r="R3439" s="32">
        <v>45636.0</v>
      </c>
      <c r="S3439" s="32">
        <v>41641.0</v>
      </c>
      <c r="T3439" s="29"/>
      <c r="U3439" s="33"/>
      <c r="V3439" s="1"/>
    </row>
    <row r="3440" ht="24.0" customHeight="1">
      <c r="A3440" s="1"/>
      <c r="B3440" s="24" t="str">
        <f>HYPERLINK("https://www.compass.com/listing/40-clarkson-avenue-unit-6m-brooklyn-ny-11226/1014030524361643537/view?agent_id=610d3f3370540700019b0833","40 Clarkson Ave, Unit 6M")</f>
        <v>40 Clarkson Ave, Unit 6M</v>
      </c>
      <c r="C3440" s="25" t="s">
        <v>365</v>
      </c>
      <c r="D3440" s="26" t="s">
        <v>23</v>
      </c>
      <c r="E3440" s="27" t="str">
        <f>HYPERLINK("https://www.compass.com/building/40-clarkson-ave-brooklyn-ny-11226/307460745880856373/","40 Clarkson Ave")</f>
        <v>40 Clarkson Ave</v>
      </c>
      <c r="F3440" s="25" t="s">
        <v>108</v>
      </c>
      <c r="G3440" s="28">
        <v>875000.0</v>
      </c>
      <c r="H3440" s="28">
        <v>716.0</v>
      </c>
      <c r="I3440" s="28">
        <v>1123.0</v>
      </c>
      <c r="J3440" s="28">
        <v>0.0</v>
      </c>
      <c r="K3440" s="25" t="s">
        <v>25</v>
      </c>
      <c r="L3440" s="26">
        <v>5.0</v>
      </c>
      <c r="M3440" s="26">
        <v>2.0</v>
      </c>
      <c r="N3440" s="26">
        <v>1.0</v>
      </c>
      <c r="O3440" s="30"/>
      <c r="P3440" s="34">
        <v>1222.0</v>
      </c>
      <c r="Q3440" s="35">
        <v>126.0</v>
      </c>
      <c r="R3440" s="32">
        <v>44778.0</v>
      </c>
      <c r="S3440" s="32">
        <v>44652.0</v>
      </c>
      <c r="T3440" s="29"/>
      <c r="U3440" s="33"/>
      <c r="V3440" s="1"/>
    </row>
    <row r="3441" ht="24.0" customHeight="1">
      <c r="A3441" s="1"/>
      <c r="B3441" s="24" t="str">
        <f>HYPERLINK("https://www.compass.com/listing/57-west-58th-street-unit-8e-manhattan-ny-10019/1003152327998074969/view?agent_id=610d3f3370540700019b0833","57 W 58th St, Unit 8E")</f>
        <v>57 W 58th St, Unit 8E</v>
      </c>
      <c r="C3441" s="25" t="s">
        <v>365</v>
      </c>
      <c r="D3441" s="26" t="s">
        <v>23</v>
      </c>
      <c r="E3441" s="27" t="str">
        <f t="shared" ref="E3441:E3442" si="113">HYPERLINK("https://www.compass.com/building/the-coronet-manhattan-ny/281946549305538133/","The Coronet")</f>
        <v>The Coronet</v>
      </c>
      <c r="F3441" s="25" t="s">
        <v>138</v>
      </c>
      <c r="G3441" s="28">
        <v>980000.0</v>
      </c>
      <c r="H3441" s="28">
        <v>1314.0</v>
      </c>
      <c r="I3441" s="28">
        <v>2102.0</v>
      </c>
      <c r="J3441" s="28">
        <v>12408.0</v>
      </c>
      <c r="K3441" s="25" t="s">
        <v>28</v>
      </c>
      <c r="L3441" s="26">
        <v>5.0</v>
      </c>
      <c r="M3441" s="26">
        <v>2.0</v>
      </c>
      <c r="N3441" s="26">
        <v>1.0</v>
      </c>
      <c r="O3441" s="26">
        <v>0.0</v>
      </c>
      <c r="P3441" s="26">
        <v>746.0</v>
      </c>
      <c r="Q3441" s="35">
        <v>119.0</v>
      </c>
      <c r="R3441" s="32">
        <v>44754.0</v>
      </c>
      <c r="S3441" s="32">
        <v>44635.0</v>
      </c>
      <c r="T3441" s="29"/>
      <c r="U3441" s="33"/>
      <c r="V3441" s="1"/>
    </row>
    <row r="3442" ht="24.0" customHeight="1">
      <c r="A3442" s="1"/>
      <c r="B3442" s="24" t="str">
        <f>HYPERLINK("https://www.compass.com/listing/57-west-58th-street-unit-8e-manhattan-ny-10019/1582768942761455145/view?agent_id=610d3f3370540700019b0833","57 W 58th St, Unit 8E")</f>
        <v>57 W 58th St, Unit 8E</v>
      </c>
      <c r="C3442" s="25" t="s">
        <v>370</v>
      </c>
      <c r="D3442" s="26" t="s">
        <v>23</v>
      </c>
      <c r="E3442" s="27" t="str">
        <f t="shared" si="113"/>
        <v>The Coronet</v>
      </c>
      <c r="F3442" s="25" t="s">
        <v>138</v>
      </c>
      <c r="G3442" s="28">
        <v>950000.0</v>
      </c>
      <c r="H3442" s="28">
        <v>1273.0</v>
      </c>
      <c r="I3442" s="28">
        <v>2102.0</v>
      </c>
      <c r="J3442" s="28">
        <v>12816.0</v>
      </c>
      <c r="K3442" s="25" t="s">
        <v>28</v>
      </c>
      <c r="L3442" s="26">
        <v>5.0</v>
      </c>
      <c r="M3442" s="26">
        <v>2.0</v>
      </c>
      <c r="N3442" s="26">
        <v>1.0</v>
      </c>
      <c r="O3442" s="26">
        <v>0.0</v>
      </c>
      <c r="P3442" s="26">
        <v>746.0</v>
      </c>
      <c r="Q3442" s="35">
        <v>130.0</v>
      </c>
      <c r="R3442" s="32">
        <v>45566.0</v>
      </c>
      <c r="S3442" s="32">
        <v>45435.0</v>
      </c>
      <c r="T3442" s="29"/>
      <c r="U3442" s="33"/>
      <c r="V3442" s="1"/>
    </row>
    <row r="3443" ht="24.0" customHeight="1">
      <c r="A3443" s="1"/>
      <c r="B3443" s="24" t="str">
        <f>HYPERLINK("https://www.compass.com/listing/409-edgecombe-avenue-unit-13e-manhattan-ny-10032/328562487536166033/view?agent_id=610d3f3370540700019b0833","409 Edgecombe Ave, Unit 13E")</f>
        <v>409 Edgecombe Ave, Unit 13E</v>
      </c>
      <c r="C3443" s="25" t="s">
        <v>364</v>
      </c>
      <c r="D3443" s="26" t="s">
        <v>23</v>
      </c>
      <c r="E3443" s="27" t="str">
        <f>HYPERLINK("https://www.compass.com/building/409-edgecombe-ave-manhattan-ny-10032/282005357549713605/","409 Edgecombe Ave")</f>
        <v>409 Edgecombe Ave</v>
      </c>
      <c r="F3443" s="25" t="s">
        <v>71</v>
      </c>
      <c r="G3443" s="28">
        <v>425000.0</v>
      </c>
      <c r="H3443" s="28">
        <v>354.0</v>
      </c>
      <c r="I3443" s="28">
        <v>1099.0</v>
      </c>
      <c r="J3443" s="29"/>
      <c r="K3443" s="25" t="s">
        <v>25</v>
      </c>
      <c r="L3443" s="26">
        <v>4.0</v>
      </c>
      <c r="M3443" s="26">
        <v>2.0</v>
      </c>
      <c r="N3443" s="26">
        <v>1.0</v>
      </c>
      <c r="O3443" s="26">
        <v>0.0</v>
      </c>
      <c r="P3443" s="34">
        <v>1200.0</v>
      </c>
      <c r="Q3443" s="35">
        <v>594.0</v>
      </c>
      <c r="R3443" s="32">
        <v>45636.0</v>
      </c>
      <c r="S3443" s="32">
        <v>42621.0</v>
      </c>
      <c r="T3443" s="29"/>
      <c r="U3443" s="33"/>
      <c r="V3443" s="1"/>
    </row>
    <row r="3444" ht="24.0" customHeight="1">
      <c r="A3444" s="1"/>
      <c r="B3444" s="24" t="str">
        <f>HYPERLINK("https://www.compass.com/listing/720-fort-washington-avenue-unit-t-manhattan-ny-10040/1002751557844968025/view?agent_id=610d3f3370540700019b0833","720 Fort Washington Ave, Unit T")</f>
        <v>720 Fort Washington Ave, Unit T</v>
      </c>
      <c r="C3444" s="25" t="s">
        <v>364</v>
      </c>
      <c r="D3444" s="26" t="s">
        <v>23</v>
      </c>
      <c r="E3444" s="27" t="str">
        <f>HYPERLINK("https://www.compass.com/building/720-fort-washington-ave-manhattan-ny-10040/294847677313295957/","720 Fort Washington Ave")</f>
        <v>720 Fort Washington Ave</v>
      </c>
      <c r="F3444" s="25" t="s">
        <v>58</v>
      </c>
      <c r="G3444" s="28">
        <v>775000.0</v>
      </c>
      <c r="H3444" s="29"/>
      <c r="I3444" s="28">
        <v>1246.0</v>
      </c>
      <c r="J3444" s="28">
        <v>0.0</v>
      </c>
      <c r="K3444" s="25" t="s">
        <v>25</v>
      </c>
      <c r="L3444" s="26">
        <v>5.0</v>
      </c>
      <c r="M3444" s="26">
        <v>2.0</v>
      </c>
      <c r="N3444" s="26">
        <v>1.0</v>
      </c>
      <c r="O3444" s="30"/>
      <c r="P3444" s="30"/>
      <c r="Q3444" s="35">
        <v>120.0</v>
      </c>
      <c r="R3444" s="32">
        <v>45020.0</v>
      </c>
      <c r="S3444" s="32">
        <v>44835.0</v>
      </c>
      <c r="T3444" s="29"/>
      <c r="U3444" s="33"/>
      <c r="V3444" s="1"/>
    </row>
    <row r="3445" ht="24.0" customHeight="1">
      <c r="A3445" s="1"/>
      <c r="B3445" s="24" t="str">
        <f>HYPERLINK("https://www.compass.com/listing/206-front-street-unit-1b-brooklyn-ny-11201/1566115072352047361/view?agent_id=610d3f3370540700019b0833","206 Front St, Unit 1B")</f>
        <v>206 Front St, Unit 1B</v>
      </c>
      <c r="C3445" s="25" t="s">
        <v>365</v>
      </c>
      <c r="D3445" s="26" t="s">
        <v>23</v>
      </c>
      <c r="E3445" s="27" t="str">
        <f>HYPERLINK("https://www.compass.com/building/206-front-st-brooklyn-ny-11201/282508152384082165/","206 Front St")</f>
        <v>206 Front St</v>
      </c>
      <c r="F3445" s="25" t="s">
        <v>54</v>
      </c>
      <c r="G3445" s="28">
        <v>1250000.0</v>
      </c>
      <c r="H3445" s="28">
        <v>1362.0</v>
      </c>
      <c r="I3445" s="28">
        <v>1766.0</v>
      </c>
      <c r="J3445" s="28">
        <v>11999.0</v>
      </c>
      <c r="K3445" s="25" t="s">
        <v>28</v>
      </c>
      <c r="L3445" s="26">
        <v>4.0</v>
      </c>
      <c r="M3445" s="26">
        <v>2.0</v>
      </c>
      <c r="N3445" s="26">
        <v>1.0</v>
      </c>
      <c r="O3445" s="30"/>
      <c r="P3445" s="26">
        <v>918.0</v>
      </c>
      <c r="Q3445" s="35">
        <v>49.0</v>
      </c>
      <c r="R3445" s="32">
        <v>45462.0</v>
      </c>
      <c r="S3445" s="32">
        <v>45412.0</v>
      </c>
      <c r="T3445" s="29"/>
      <c r="U3445" s="33"/>
      <c r="V3445" s="1"/>
    </row>
    <row r="3446" ht="24.0" customHeight="1">
      <c r="A3446" s="1"/>
      <c r="B3446" s="24" t="str">
        <f>HYPERLINK("https://www.compass.com/listing/210-central-park-south-unit-17bc-manhattan-ny-10019/1809612958838211801/view?agent_id=610d3f3370540700019b0833","210 Central Park South, Unit 17BC")</f>
        <v>210 Central Park South, Unit 17BC</v>
      </c>
      <c r="C3446" s="25" t="s">
        <v>370</v>
      </c>
      <c r="D3446" s="26" t="s">
        <v>23</v>
      </c>
      <c r="E3446" s="27" t="str">
        <f>HYPERLINK("https://www.compass.com/building/210-central-park-s-manhattan-ny-10019/281923144837534501/","210 Central Park S")</f>
        <v>210 Central Park S</v>
      </c>
      <c r="F3446" s="25" t="s">
        <v>138</v>
      </c>
      <c r="G3446" s="28">
        <v>3298000.0</v>
      </c>
      <c r="H3446" s="28">
        <v>1885.0</v>
      </c>
      <c r="I3446" s="28">
        <v>3112.0</v>
      </c>
      <c r="J3446" s="29"/>
      <c r="K3446" s="25" t="s">
        <v>25</v>
      </c>
      <c r="L3446" s="26">
        <v>4.0</v>
      </c>
      <c r="M3446" s="26">
        <v>2.0</v>
      </c>
      <c r="N3446" s="26">
        <v>0.0</v>
      </c>
      <c r="O3446" s="26">
        <v>0.0</v>
      </c>
      <c r="P3446" s="34">
        <v>1750.0</v>
      </c>
      <c r="Q3446" s="35">
        <v>0.0</v>
      </c>
      <c r="R3446" s="32">
        <v>44581.0</v>
      </c>
      <c r="S3446" s="32">
        <v>41538.0</v>
      </c>
      <c r="T3446" s="29"/>
      <c r="U3446" s="33"/>
      <c r="V3446" s="1"/>
    </row>
    <row r="3447" ht="24.0" customHeight="1">
      <c r="A3447" s="1"/>
      <c r="B3447" s="24" t="str">
        <f>HYPERLINK("https://www.compass.com/listing/133-water-street-unit-5e-brooklyn-ny-11201/29512680834462225/view?agent_id=610d3f3370540700019b0833","133 Water Street, Unit 5E")</f>
        <v>133 Water Street, Unit 5E</v>
      </c>
      <c r="C3447" s="25" t="s">
        <v>370</v>
      </c>
      <c r="D3447" s="26" t="s">
        <v>23</v>
      </c>
      <c r="E3447" s="27" t="str">
        <f>HYPERLINK("https://www.compass.com/building/one-three-three-water-condo-brooklyn-ny/282510355417096181/","One Three Three Water Condo")</f>
        <v>One Three Three Water Condo</v>
      </c>
      <c r="F3447" s="25" t="s">
        <v>54</v>
      </c>
      <c r="G3447" s="28">
        <v>825000.0</v>
      </c>
      <c r="H3447" s="28">
        <v>905.0</v>
      </c>
      <c r="I3447" s="28">
        <v>1012.0</v>
      </c>
      <c r="J3447" s="28">
        <v>324.0</v>
      </c>
      <c r="K3447" s="25" t="s">
        <v>28</v>
      </c>
      <c r="L3447" s="26">
        <v>3.0</v>
      </c>
      <c r="M3447" s="26">
        <v>2.0</v>
      </c>
      <c r="N3447" s="26">
        <v>0.0</v>
      </c>
      <c r="O3447" s="26">
        <v>0.0</v>
      </c>
      <c r="P3447" s="26">
        <v>912.0</v>
      </c>
      <c r="Q3447" s="35">
        <v>122.0</v>
      </c>
      <c r="R3447" s="32">
        <v>45636.0</v>
      </c>
      <c r="S3447" s="32">
        <v>42880.0</v>
      </c>
      <c r="T3447" s="29"/>
      <c r="U3447" s="33"/>
      <c r="V3447" s="1"/>
    </row>
    <row r="3448" ht="24.0" customHeight="1">
      <c r="A3448" s="1"/>
      <c r="B3448" s="24" t="str">
        <f>HYPERLINK("https://www.compass.com/listing/2132-2nd-avenue-unit-3a-manhattan-ny-10029/29427993667501233/view?agent_id=610d3f3370540700019b0833","2132 2nd Avenue, Unit 3A")</f>
        <v>2132 2nd Avenue, Unit 3A</v>
      </c>
      <c r="C3448" s="25" t="s">
        <v>364</v>
      </c>
      <c r="D3448" s="26" t="s">
        <v>23</v>
      </c>
      <c r="E3448" s="27" t="str">
        <f>HYPERLINK("https://www.compass.com/building/2132-2nd-ave-manhattan-ny-10029/389269588251556037/","2132 2nd Ave")</f>
        <v>2132 2nd Ave</v>
      </c>
      <c r="F3448" s="25" t="s">
        <v>133</v>
      </c>
      <c r="G3448" s="28">
        <v>475000.0</v>
      </c>
      <c r="H3448" s="28">
        <v>617.0</v>
      </c>
      <c r="I3448" s="28">
        <v>1020.0</v>
      </c>
      <c r="J3448" s="28">
        <v>4500.0</v>
      </c>
      <c r="K3448" s="25" t="s">
        <v>28</v>
      </c>
      <c r="L3448" s="26">
        <v>4.0</v>
      </c>
      <c r="M3448" s="26">
        <v>2.0</v>
      </c>
      <c r="N3448" s="26">
        <v>0.0</v>
      </c>
      <c r="O3448" s="26">
        <v>0.0</v>
      </c>
      <c r="P3448" s="26">
        <v>770.0</v>
      </c>
      <c r="Q3448" s="35">
        <v>164.0</v>
      </c>
      <c r="R3448" s="32">
        <v>44581.0</v>
      </c>
      <c r="S3448" s="32">
        <v>41391.0</v>
      </c>
      <c r="T3448" s="29"/>
      <c r="U3448" s="33"/>
      <c r="V3448" s="1"/>
    </row>
    <row r="3449" ht="24.0" customHeight="1">
      <c r="A3449" s="1"/>
      <c r="B3449" s="24" t="str">
        <f>HYPERLINK("https://www.compass.com/listing/70-washington-street-unit-2j-brooklyn-ny-11201/921095314093120265/view?agent_id=610d3f3370540700019b0833","70 Washington Street, Unit 2J")</f>
        <v>70 Washington Street, Unit 2J</v>
      </c>
      <c r="C3449" s="25" t="s">
        <v>364</v>
      </c>
      <c r="D3449" s="26" t="s">
        <v>23</v>
      </c>
      <c r="E3449" s="27" t="str">
        <f>HYPERLINK("https://www.compass.com/building/70-washington-st-brooklyn-ny-11201/282510590625273381/","70 Washington St")</f>
        <v>70 Washington St</v>
      </c>
      <c r="F3449" s="25" t="s">
        <v>54</v>
      </c>
      <c r="G3449" s="28">
        <v>2200000.0</v>
      </c>
      <c r="H3449" s="28">
        <v>999.0</v>
      </c>
      <c r="I3449" s="28">
        <v>833.0</v>
      </c>
      <c r="J3449" s="28">
        <v>1236.0</v>
      </c>
      <c r="K3449" s="25" t="s">
        <v>28</v>
      </c>
      <c r="L3449" s="26">
        <v>5.0</v>
      </c>
      <c r="M3449" s="26">
        <v>2.0</v>
      </c>
      <c r="N3449" s="26">
        <v>0.0</v>
      </c>
      <c r="O3449" s="26">
        <v>0.0</v>
      </c>
      <c r="P3449" s="34">
        <v>2202.0</v>
      </c>
      <c r="Q3449" s="35">
        <v>29.0</v>
      </c>
      <c r="R3449" s="32">
        <v>45636.0</v>
      </c>
      <c r="S3449" s="32">
        <v>42079.0</v>
      </c>
      <c r="T3449" s="29"/>
      <c r="U3449" s="33"/>
      <c r="V3449" s="1"/>
    </row>
    <row r="3450" ht="24.0" customHeight="1">
      <c r="A3450" s="1"/>
      <c r="B3450" s="24" t="str">
        <f>HYPERLINK("https://www.compass.com/listing/50-east-129th-street-unit-2c-manhattan-ny-10035/1033413257179769937/view?agent_id=610d3f3370540700019b0833","50 East 129th Street, Unit 2C")</f>
        <v>50 East 129th Street, Unit 2C</v>
      </c>
      <c r="C3450" s="25" t="s">
        <v>365</v>
      </c>
      <c r="D3450" s="26" t="s">
        <v>23</v>
      </c>
      <c r="E3450" s="27" t="str">
        <f>HYPERLINK("https://www.compass.com/building/the-tatum-manhattan-ny/281927862448074325/","The Tatum")</f>
        <v>The Tatum</v>
      </c>
      <c r="F3450" s="25" t="s">
        <v>32</v>
      </c>
      <c r="G3450" s="28">
        <v>699000.0</v>
      </c>
      <c r="H3450" s="29"/>
      <c r="I3450" s="28">
        <v>781.0</v>
      </c>
      <c r="J3450" s="28">
        <v>36.0</v>
      </c>
      <c r="K3450" s="25" t="s">
        <v>28</v>
      </c>
      <c r="L3450" s="26">
        <v>4.0</v>
      </c>
      <c r="M3450" s="26">
        <v>2.0</v>
      </c>
      <c r="N3450" s="26">
        <v>1.0</v>
      </c>
      <c r="O3450" s="26">
        <v>0.0</v>
      </c>
      <c r="P3450" s="30"/>
      <c r="Q3450" s="35">
        <v>82.0</v>
      </c>
      <c r="R3450" s="32">
        <v>44769.0</v>
      </c>
      <c r="S3450" s="32">
        <v>44686.0</v>
      </c>
      <c r="T3450" s="29"/>
      <c r="U3450" s="33"/>
      <c r="V3450" s="1"/>
    </row>
    <row r="3451" ht="24.0" customHeight="1">
      <c r="A3451" s="1"/>
      <c r="B3451" s="24" t="str">
        <f>HYPERLINK("https://www.compass.com/listing/116-central-park-south-unit-9a-manhattan-ny-10019/1838894539189026297/view?agent_id=610d3f3370540700019b0833","116 Central Park South, Unit 9A")</f>
        <v>116 Central Park South, Unit 9A</v>
      </c>
      <c r="C3451" s="25" t="s">
        <v>370</v>
      </c>
      <c r="D3451" s="26" t="s">
        <v>23</v>
      </c>
      <c r="E3451" s="27" t="str">
        <f>HYPERLINK("https://www.compass.com/building/116-park-house-manhattan-ny/281923112767888277/","116 Park House")</f>
        <v>116 Park House</v>
      </c>
      <c r="F3451" s="25" t="s">
        <v>138</v>
      </c>
      <c r="G3451" s="28">
        <v>2595000.0</v>
      </c>
      <c r="H3451" s="29"/>
      <c r="I3451" s="28">
        <v>2556.0</v>
      </c>
      <c r="J3451" s="28">
        <v>11340.0</v>
      </c>
      <c r="K3451" s="25" t="s">
        <v>28</v>
      </c>
      <c r="L3451" s="26">
        <v>6.0</v>
      </c>
      <c r="M3451" s="26">
        <v>2.0</v>
      </c>
      <c r="N3451" s="26">
        <v>0.0</v>
      </c>
      <c r="O3451" s="26">
        <v>0.0</v>
      </c>
      <c r="P3451" s="30"/>
      <c r="Q3451" s="35">
        <v>103.0</v>
      </c>
      <c r="R3451" s="32">
        <v>45695.0</v>
      </c>
      <c r="S3451" s="32">
        <v>43392.0</v>
      </c>
      <c r="T3451" s="29"/>
      <c r="U3451" s="33"/>
      <c r="V3451" s="1"/>
    </row>
    <row r="3452" ht="24.0" customHeight="1">
      <c r="A3452" s="1"/>
      <c r="B3452" s="24" t="str">
        <f>HYPERLINK("https://www.compass.com/listing/200-central-park-south-unit-4g-manhattan-ny-10019/1838968835823534297/view?agent_id=610d3f3370540700019b0833","200 Central Park South, Unit 4G")</f>
        <v>200 Central Park South, Unit 4G</v>
      </c>
      <c r="C3452" s="25" t="s">
        <v>364</v>
      </c>
      <c r="D3452" s="26" t="s">
        <v>23</v>
      </c>
      <c r="E3452" s="27" t="str">
        <f>HYPERLINK("https://www.compass.com/building/park-south-tenants-corp-manhattan-ny/281944188096931317/","Park South Tenants Corp")</f>
        <v>Park South Tenants Corp</v>
      </c>
      <c r="F3452" s="25" t="s">
        <v>138</v>
      </c>
      <c r="G3452" s="28">
        <v>1995000.0</v>
      </c>
      <c r="H3452" s="29"/>
      <c r="I3452" s="28">
        <v>1866.0</v>
      </c>
      <c r="J3452" s="29"/>
      <c r="K3452" s="25" t="s">
        <v>25</v>
      </c>
      <c r="L3452" s="26">
        <v>4.0</v>
      </c>
      <c r="M3452" s="26">
        <v>2.0</v>
      </c>
      <c r="N3452" s="26">
        <v>0.0</v>
      </c>
      <c r="O3452" s="26">
        <v>0.0</v>
      </c>
      <c r="P3452" s="30"/>
      <c r="Q3452" s="35">
        <v>91.0</v>
      </c>
      <c r="R3452" s="32">
        <v>44581.0</v>
      </c>
      <c r="S3452" s="32">
        <v>41443.0</v>
      </c>
      <c r="T3452" s="29"/>
      <c r="U3452" s="33"/>
      <c r="V3452" s="1"/>
    </row>
    <row r="3453" ht="24.0" customHeight="1">
      <c r="A3453" s="1"/>
      <c r="B3453" s="24" t="str">
        <f>HYPERLINK("https://www.compass.com/listing/150-central-park-south-unit-1810-manhattan-ny-10019/1838988183241462281/view?agent_id=610d3f3370540700019b0833","150 Central Park South, Unit 1810")</f>
        <v>150 Central Park South, Unit 1810</v>
      </c>
      <c r="C3453" s="25" t="s">
        <v>364</v>
      </c>
      <c r="D3453" s="26" t="s">
        <v>23</v>
      </c>
      <c r="E3453" s="27" t="str">
        <f>HYPERLINK("https://www.compass.com/building/hampshire-house-manhattan-ny/281943917723708997/","Hampshire House")</f>
        <v>Hampshire House</v>
      </c>
      <c r="F3453" s="25" t="s">
        <v>138</v>
      </c>
      <c r="G3453" s="28">
        <v>2750000.0</v>
      </c>
      <c r="H3453" s="29"/>
      <c r="I3453" s="28">
        <v>5576.0</v>
      </c>
      <c r="J3453" s="29"/>
      <c r="K3453" s="25" t="s">
        <v>25</v>
      </c>
      <c r="L3453" s="26">
        <v>6.0</v>
      </c>
      <c r="M3453" s="26">
        <v>2.0</v>
      </c>
      <c r="N3453" s="26">
        <v>0.0</v>
      </c>
      <c r="O3453" s="26">
        <v>0.0</v>
      </c>
      <c r="P3453" s="30"/>
      <c r="Q3453" s="35">
        <v>1603.0</v>
      </c>
      <c r="R3453" s="32">
        <v>45636.0</v>
      </c>
      <c r="S3453" s="32">
        <v>41549.0</v>
      </c>
      <c r="T3453" s="29"/>
      <c r="U3453" s="33"/>
      <c r="V3453" s="1"/>
    </row>
    <row r="3454" ht="24.0" customHeight="1">
      <c r="A3454" s="1"/>
      <c r="B3454" s="24" t="str">
        <f>HYPERLINK("https://www.compass.com/listing/222-central-park-south-unit-8-manhattan-ny-10019/1838916189112451105/view?agent_id=610d3f3370540700019b0833","222 Central Park South, Unit 8")</f>
        <v>222 Central Park South, Unit 8</v>
      </c>
      <c r="C3454" s="25" t="s">
        <v>364</v>
      </c>
      <c r="D3454" s="26" t="s">
        <v>23</v>
      </c>
      <c r="E3454" s="27" t="str">
        <f t="shared" ref="E3454:E3455" si="114">HYPERLINK("https://www.compass.com/building/gainsborough-studios-manhattan-ny/281944236146880229/","Gainsborough Studios")</f>
        <v>Gainsborough Studios</v>
      </c>
      <c r="F3454" s="25" t="s">
        <v>138</v>
      </c>
      <c r="G3454" s="28">
        <v>3675000.0</v>
      </c>
      <c r="H3454" s="29"/>
      <c r="I3454" s="28">
        <v>3912.0</v>
      </c>
      <c r="J3454" s="29"/>
      <c r="K3454" s="25" t="s">
        <v>25</v>
      </c>
      <c r="L3454" s="26">
        <v>4.0</v>
      </c>
      <c r="M3454" s="26">
        <v>2.0</v>
      </c>
      <c r="N3454" s="26">
        <v>0.0</v>
      </c>
      <c r="O3454" s="26">
        <v>0.0</v>
      </c>
      <c r="P3454" s="30"/>
      <c r="Q3454" s="35">
        <v>1752.0</v>
      </c>
      <c r="R3454" s="32">
        <v>44581.0</v>
      </c>
      <c r="S3454" s="32">
        <v>41184.0</v>
      </c>
      <c r="T3454" s="29"/>
      <c r="U3454" s="33"/>
      <c r="V3454" s="1"/>
    </row>
    <row r="3455" ht="24.0" customHeight="1">
      <c r="A3455" s="1"/>
      <c r="B3455" s="24" t="str">
        <f>HYPERLINK("https://www.compass.com/listing/222-central-park-south-unit-8-manhattan-ny-10019/1838948568878962777/view?agent_id=610d3f3370540700019b0833","222 Central Park South, Unit 8")</f>
        <v>222 Central Park South, Unit 8</v>
      </c>
      <c r="C3455" s="25" t="s">
        <v>364</v>
      </c>
      <c r="D3455" s="26" t="s">
        <v>23</v>
      </c>
      <c r="E3455" s="27" t="str">
        <f t="shared" si="114"/>
        <v>Gainsborough Studios</v>
      </c>
      <c r="F3455" s="25" t="s">
        <v>138</v>
      </c>
      <c r="G3455" s="28">
        <v>3675000.0</v>
      </c>
      <c r="H3455" s="29"/>
      <c r="I3455" s="28">
        <v>3912.0</v>
      </c>
      <c r="J3455" s="29"/>
      <c r="K3455" s="25" t="s">
        <v>25</v>
      </c>
      <c r="L3455" s="26">
        <v>4.0</v>
      </c>
      <c r="M3455" s="26">
        <v>2.0</v>
      </c>
      <c r="N3455" s="26">
        <v>0.0</v>
      </c>
      <c r="O3455" s="26">
        <v>0.0</v>
      </c>
      <c r="P3455" s="30"/>
      <c r="Q3455" s="35">
        <v>1721.0</v>
      </c>
      <c r="R3455" s="32">
        <v>44581.0</v>
      </c>
      <c r="S3455" s="32">
        <v>41214.0</v>
      </c>
      <c r="T3455" s="29"/>
      <c r="U3455" s="33"/>
      <c r="V3455" s="1"/>
    </row>
    <row r="3456" ht="24.0" customHeight="1">
      <c r="A3456" s="1"/>
      <c r="B3456" s="24" t="str">
        <f>HYPERLINK("https://www.compass.com/listing/324-east-112th-street-unit-1c-manhattan-ny-10029/29428053117554353/view?agent_id=610d3f3370540700019b0833","324 East 112th Street, Unit 1C")</f>
        <v>324 East 112th Street, Unit 1C</v>
      </c>
      <c r="C3456" s="25" t="s">
        <v>370</v>
      </c>
      <c r="D3456" s="26" t="s">
        <v>23</v>
      </c>
      <c r="E3456" s="27" t="str">
        <f>HYPERLINK("https://www.compass.com/building/senneca-terrace-manhattan-ny/281991545245252277/","Senneca Terrace")</f>
        <v>Senneca Terrace</v>
      </c>
      <c r="F3456" s="25" t="s">
        <v>133</v>
      </c>
      <c r="G3456" s="28">
        <v>510000.0</v>
      </c>
      <c r="H3456" s="28">
        <v>425.0</v>
      </c>
      <c r="I3456" s="28">
        <v>665.0</v>
      </c>
      <c r="J3456" s="28">
        <v>300.0</v>
      </c>
      <c r="K3456" s="25" t="s">
        <v>28</v>
      </c>
      <c r="L3456" s="26">
        <v>4.0</v>
      </c>
      <c r="M3456" s="26">
        <v>2.0</v>
      </c>
      <c r="N3456" s="26">
        <v>0.0</v>
      </c>
      <c r="O3456" s="26">
        <v>0.0</v>
      </c>
      <c r="P3456" s="34">
        <v>1200.0</v>
      </c>
      <c r="Q3456" s="35">
        <v>370.0</v>
      </c>
      <c r="R3456" s="32">
        <v>45636.0</v>
      </c>
      <c r="S3456" s="32">
        <v>41172.0</v>
      </c>
      <c r="T3456" s="29"/>
      <c r="U3456" s="33"/>
      <c r="V3456" s="1"/>
    </row>
    <row r="3457" ht="24.0" customHeight="1">
      <c r="A3457" s="1"/>
      <c r="B3457" s="24" t="str">
        <f>HYPERLINK("https://www.compass.com/listing/120-central-park-south-unit-7a-manhattan-ny-10019/1838912218826259017/view?agent_id=610d3f3370540700019b0833","120 Central Park South, Unit 7A")</f>
        <v>120 Central Park South, Unit 7A</v>
      </c>
      <c r="C3457" s="25" t="s">
        <v>364</v>
      </c>
      <c r="D3457" s="26" t="s">
        <v>23</v>
      </c>
      <c r="E3457" s="27" t="str">
        <f>HYPERLINK("https://www.compass.com/building/the-berkeley-house-manhattan-ny/281943705047330277/","The Berkeley House")</f>
        <v>The Berkeley House</v>
      </c>
      <c r="F3457" s="25" t="s">
        <v>138</v>
      </c>
      <c r="G3457" s="28">
        <v>2599000.0</v>
      </c>
      <c r="H3457" s="29"/>
      <c r="I3457" s="28">
        <v>3095.0</v>
      </c>
      <c r="J3457" s="29"/>
      <c r="K3457" s="25" t="s">
        <v>25</v>
      </c>
      <c r="L3457" s="26">
        <v>5.0</v>
      </c>
      <c r="M3457" s="26">
        <v>2.0</v>
      </c>
      <c r="N3457" s="26">
        <v>0.0</v>
      </c>
      <c r="O3457" s="26">
        <v>0.0</v>
      </c>
      <c r="P3457" s="30"/>
      <c r="Q3457" s="35">
        <v>2242.0</v>
      </c>
      <c r="R3457" s="32">
        <v>44581.0</v>
      </c>
      <c r="S3457" s="32">
        <v>42338.0</v>
      </c>
      <c r="T3457" s="29"/>
      <c r="U3457" s="33"/>
      <c r="V3457" s="1"/>
    </row>
    <row r="3458" ht="24.0" customHeight="1">
      <c r="A3458" s="1"/>
      <c r="B3458" s="24" t="str">
        <f>HYPERLINK("https://www.compass.com/listing/1810-3rd-avenue-unit-a11c-manhattan-ny-10029/796979964732026833/view?agent_id=610d3f3370540700019b0833","1810 3rd Avenue, Unit A11C")</f>
        <v>1810 3rd Avenue, Unit A11C</v>
      </c>
      <c r="C3458" s="25" t="s">
        <v>364</v>
      </c>
      <c r="D3458" s="26" t="s">
        <v>23</v>
      </c>
      <c r="E3458" s="27" t="str">
        <f>HYPERLINK("https://www.compass.com/building/the-art-house-condominiums-manhattan-ny/281989881993998229/","The Art House Condominiums")</f>
        <v>The Art House Condominiums</v>
      </c>
      <c r="F3458" s="25" t="s">
        <v>133</v>
      </c>
      <c r="G3458" s="28">
        <v>575000.0</v>
      </c>
      <c r="H3458" s="29"/>
      <c r="I3458" s="28">
        <v>1127.0</v>
      </c>
      <c r="J3458" s="28">
        <v>7092.0</v>
      </c>
      <c r="K3458" s="25" t="s">
        <v>28</v>
      </c>
      <c r="L3458" s="26">
        <v>4.0</v>
      </c>
      <c r="M3458" s="26">
        <v>2.0</v>
      </c>
      <c r="N3458" s="26">
        <v>1.0</v>
      </c>
      <c r="O3458" s="30"/>
      <c r="P3458" s="30"/>
      <c r="Q3458" s="35">
        <v>103.0</v>
      </c>
      <c r="R3458" s="32">
        <v>44454.0</v>
      </c>
      <c r="S3458" s="32">
        <v>44351.0</v>
      </c>
      <c r="T3458" s="29"/>
      <c r="U3458" s="33"/>
      <c r="V3458" s="1"/>
    </row>
    <row r="3459" ht="24.0" customHeight="1">
      <c r="A3459" s="1"/>
      <c r="B3459" s="24" t="str">
        <f>HYPERLINK("https://www.compass.com/listing/579-west-215th-street-unit-10f-manhattan-ny-10034/157071150004950001/view?agent_id=610d3f3370540700019b0833","579 West 215th Street, Unit 10F")</f>
        <v>579 West 215th Street, Unit 10F</v>
      </c>
      <c r="C3459" s="25" t="s">
        <v>364</v>
      </c>
      <c r="D3459" s="26" t="s">
        <v>23</v>
      </c>
      <c r="E3459" s="27" t="str">
        <f>HYPERLINK("https://www.compass.com/building/579-w-215th-st-manhattan-ny-10034/292912686818142117/","579 W 215th St")</f>
        <v>579 W 215th St</v>
      </c>
      <c r="F3459" s="25" t="s">
        <v>81</v>
      </c>
      <c r="G3459" s="28">
        <v>633000.0</v>
      </c>
      <c r="H3459" s="29"/>
      <c r="I3459" s="28">
        <v>1087.0</v>
      </c>
      <c r="J3459" s="29"/>
      <c r="K3459" s="25" t="s">
        <v>25</v>
      </c>
      <c r="L3459" s="26">
        <v>5.0</v>
      </c>
      <c r="M3459" s="26">
        <v>2.0</v>
      </c>
      <c r="N3459" s="26">
        <v>1.0</v>
      </c>
      <c r="O3459" s="26">
        <v>0.0</v>
      </c>
      <c r="P3459" s="30"/>
      <c r="Q3459" s="35">
        <v>82.0</v>
      </c>
      <c r="R3459" s="32">
        <v>45636.0</v>
      </c>
      <c r="S3459" s="32">
        <v>41905.0</v>
      </c>
      <c r="T3459" s="29"/>
      <c r="U3459" s="33"/>
      <c r="V3459" s="1"/>
    </row>
    <row r="3460" ht="24.0" customHeight="1">
      <c r="A3460" s="1"/>
      <c r="B3460" s="24" t="str">
        <f>HYPERLINK("https://www.compass.com/listing/416-ocean-avenue-unit-36-brooklyn-ny-11226/29498109562219297/view?agent_id=610d3f3370540700019b0833","416 Ocean Avenue, Unit 36")</f>
        <v>416 Ocean Avenue, Unit 36</v>
      </c>
      <c r="C3460" s="25" t="s">
        <v>364</v>
      </c>
      <c r="D3460" s="26" t="s">
        <v>23</v>
      </c>
      <c r="E3460" s="27" t="str">
        <f>HYPERLINK("https://www.compass.com/building/416-ocean-ave-brooklyn-ny-11226/293416554681444533/","416 Ocean Ave")</f>
        <v>416 Ocean Ave</v>
      </c>
      <c r="F3460" s="25" t="s">
        <v>358</v>
      </c>
      <c r="G3460" s="28">
        <v>419000.0</v>
      </c>
      <c r="H3460" s="29"/>
      <c r="I3460" s="28">
        <v>580.0</v>
      </c>
      <c r="J3460" s="29"/>
      <c r="K3460" s="25" t="s">
        <v>25</v>
      </c>
      <c r="L3460" s="26">
        <v>4.0</v>
      </c>
      <c r="M3460" s="26">
        <v>2.0</v>
      </c>
      <c r="N3460" s="26">
        <v>0.0</v>
      </c>
      <c r="O3460" s="26">
        <v>0.0</v>
      </c>
      <c r="P3460" s="30"/>
      <c r="Q3460" s="35">
        <v>144.0</v>
      </c>
      <c r="R3460" s="32">
        <v>44581.0</v>
      </c>
      <c r="S3460" s="32">
        <v>41185.0</v>
      </c>
      <c r="T3460" s="29"/>
      <c r="U3460" s="33"/>
      <c r="V3460" s="1"/>
    </row>
    <row r="3461" ht="24.0" customHeight="1">
      <c r="A3461" s="1"/>
      <c r="B3461" s="24" t="str">
        <f>HYPERLINK("https://www.compass.com/listing/100-west-57th-street-unit-5c-manhattan-ny-10019/4852306493283769585/view?agent_id=610d3f3370540700019b0833","100 West 57th Street, Unit 5C")</f>
        <v>100 West 57th Street, Unit 5C</v>
      </c>
      <c r="C3461" s="25" t="s">
        <v>370</v>
      </c>
      <c r="D3461" s="26" t="s">
        <v>23</v>
      </c>
      <c r="E3461" s="27" t="str">
        <f>HYPERLINK("https://www.compass.com/building/carnegie-house-manhattan-ny/282058607502064277/","Carnegie House")</f>
        <v>Carnegie House</v>
      </c>
      <c r="F3461" s="25" t="s">
        <v>67</v>
      </c>
      <c r="G3461" s="28">
        <v>975000.0</v>
      </c>
      <c r="H3461" s="28">
        <v>650.0</v>
      </c>
      <c r="I3461" s="28">
        <v>2961.0</v>
      </c>
      <c r="J3461" s="29"/>
      <c r="K3461" s="25" t="s">
        <v>25</v>
      </c>
      <c r="L3461" s="26">
        <v>5.0</v>
      </c>
      <c r="M3461" s="26">
        <v>2.0</v>
      </c>
      <c r="N3461" s="26">
        <v>0.0</v>
      </c>
      <c r="O3461" s="26">
        <v>0.0</v>
      </c>
      <c r="P3461" s="34">
        <v>1500.0</v>
      </c>
      <c r="Q3461" s="35">
        <v>340.0</v>
      </c>
      <c r="R3461" s="32">
        <v>45636.0</v>
      </c>
      <c r="S3461" s="32">
        <v>42272.0</v>
      </c>
      <c r="T3461" s="29"/>
      <c r="U3461" s="33"/>
      <c r="V3461" s="1"/>
    </row>
    <row r="3462" ht="24.0" customHeight="1">
      <c r="A3462" s="1"/>
      <c r="B3462" s="24" t="str">
        <f>HYPERLINK("https://www.compass.com/listing/222-central-park-south-unit-34-manhattan-ny-10019/1838979503263538545/view?agent_id=610d3f3370540700019b0833","222 Central Park South, Unit 34")</f>
        <v>222 Central Park South, Unit 34</v>
      </c>
      <c r="C3462" s="25" t="s">
        <v>364</v>
      </c>
      <c r="D3462" s="26" t="s">
        <v>23</v>
      </c>
      <c r="E3462" s="27" t="str">
        <f>HYPERLINK("https://www.compass.com/building/gainsborough-studios-manhattan-ny/281944236146880229/","Gainsborough Studios")</f>
        <v>Gainsborough Studios</v>
      </c>
      <c r="F3462" s="25" t="s">
        <v>138</v>
      </c>
      <c r="G3462" s="28">
        <v>1100000.0</v>
      </c>
      <c r="H3462" s="29"/>
      <c r="I3462" s="28">
        <v>1777.0</v>
      </c>
      <c r="J3462" s="29"/>
      <c r="K3462" s="25" t="s">
        <v>25</v>
      </c>
      <c r="L3462" s="26">
        <v>4.0</v>
      </c>
      <c r="M3462" s="26">
        <v>2.0</v>
      </c>
      <c r="N3462" s="26">
        <v>0.0</v>
      </c>
      <c r="O3462" s="26">
        <v>0.0</v>
      </c>
      <c r="P3462" s="30"/>
      <c r="Q3462" s="35">
        <v>4319.0</v>
      </c>
      <c r="R3462" s="32">
        <v>45534.0</v>
      </c>
      <c r="S3462" s="32">
        <v>41214.0</v>
      </c>
      <c r="T3462" s="29"/>
      <c r="U3462" s="33"/>
      <c r="V3462" s="1"/>
    </row>
    <row r="3463" ht="24.0" customHeight="1">
      <c r="A3463" s="1"/>
      <c r="B3463" s="24" t="str">
        <f>HYPERLINK("https://www.compass.com/listing/55-liberty-street-unit-9a-manhattan-ny-10005/921348293741339329/view?agent_id=610d3f3370540700019b0833","55 Liberty Street, Unit 9A")</f>
        <v>55 Liberty Street, Unit 9A</v>
      </c>
      <c r="C3463" s="25" t="s">
        <v>364</v>
      </c>
      <c r="D3463" s="26" t="s">
        <v>23</v>
      </c>
      <c r="E3463" s="27" t="str">
        <f>HYPERLINK("https://www.compass.com/building/liberty-tower-manhattan-ny/292920991909171765/","Liberty Tower")</f>
        <v>Liberty Tower</v>
      </c>
      <c r="F3463" s="25" t="s">
        <v>80</v>
      </c>
      <c r="G3463" s="28">
        <v>999000.0</v>
      </c>
      <c r="H3463" s="28">
        <v>942.0</v>
      </c>
      <c r="I3463" s="28">
        <v>2694.0</v>
      </c>
      <c r="J3463" s="29"/>
      <c r="K3463" s="25" t="s">
        <v>25</v>
      </c>
      <c r="L3463" s="26">
        <v>5.0</v>
      </c>
      <c r="M3463" s="26">
        <v>2.0</v>
      </c>
      <c r="N3463" s="26">
        <v>0.0</v>
      </c>
      <c r="O3463" s="26">
        <v>0.0</v>
      </c>
      <c r="P3463" s="34">
        <v>1060.0</v>
      </c>
      <c r="Q3463" s="35">
        <v>0.0</v>
      </c>
      <c r="R3463" s="32">
        <v>45636.0</v>
      </c>
      <c r="S3463" s="32">
        <v>42640.0</v>
      </c>
      <c r="T3463" s="29"/>
      <c r="U3463" s="33"/>
      <c r="V3463" s="1"/>
    </row>
    <row r="3464" ht="24.0" customHeight="1">
      <c r="A3464" s="1"/>
      <c r="B3464" s="24" t="str">
        <f>HYPERLINK("https://www.compass.com/listing/25-parade-place-unit-3c-brooklyn-ny-11218/1299483840131398977/view?agent_id=610d3f3370540700019b0833","25 Parade Place, Unit 3C")</f>
        <v>25 Parade Place, Unit 3C</v>
      </c>
      <c r="C3464" s="25" t="s">
        <v>370</v>
      </c>
      <c r="D3464" s="26" t="s">
        <v>23</v>
      </c>
      <c r="E3464" s="26" t="s">
        <v>392</v>
      </c>
      <c r="F3464" s="25" t="s">
        <v>358</v>
      </c>
      <c r="G3464" s="28">
        <v>695000.0</v>
      </c>
      <c r="H3464" s="29"/>
      <c r="I3464" s="28">
        <v>702.0</v>
      </c>
      <c r="J3464" s="29"/>
      <c r="K3464" s="25" t="s">
        <v>25</v>
      </c>
      <c r="L3464" s="26">
        <v>6.0</v>
      </c>
      <c r="M3464" s="26">
        <v>2.0</v>
      </c>
      <c r="N3464" s="26">
        <v>1.0</v>
      </c>
      <c r="O3464" s="30"/>
      <c r="P3464" s="30"/>
      <c r="Q3464" s="35">
        <v>66.0</v>
      </c>
      <c r="R3464" s="32">
        <v>44512.0</v>
      </c>
      <c r="S3464" s="32">
        <v>44155.0</v>
      </c>
      <c r="T3464" s="29"/>
      <c r="U3464" s="33"/>
      <c r="V3464" s="1"/>
    </row>
    <row r="3465" ht="24.0" customHeight="1">
      <c r="A3465" s="1"/>
      <c r="B3465" s="24" t="str">
        <f>HYPERLINK("https://www.compass.com/listing/416-ocean-avenue-unit-58-brooklyn-ny-11226/4852312590954544353/view?agent_id=610d3f3370540700019b0833","416 Ocean Avenue, Unit 58")</f>
        <v>416 Ocean Avenue, Unit 58</v>
      </c>
      <c r="C3465" s="25" t="s">
        <v>364</v>
      </c>
      <c r="D3465" s="26" t="s">
        <v>23</v>
      </c>
      <c r="E3465" s="27" t="str">
        <f>HYPERLINK("https://www.compass.com/building/416-ocean-ave-brooklyn-ny-11226/293416554681444533/","416 Ocean Ave")</f>
        <v>416 Ocean Ave</v>
      </c>
      <c r="F3465" s="25" t="s">
        <v>358</v>
      </c>
      <c r="G3465" s="28">
        <v>395000.0</v>
      </c>
      <c r="H3465" s="29"/>
      <c r="I3465" s="28">
        <v>579.0</v>
      </c>
      <c r="J3465" s="29"/>
      <c r="K3465" s="25" t="s">
        <v>25</v>
      </c>
      <c r="L3465" s="26">
        <v>5.0</v>
      </c>
      <c r="M3465" s="26">
        <v>2.0</v>
      </c>
      <c r="N3465" s="26">
        <v>0.0</v>
      </c>
      <c r="O3465" s="26">
        <v>0.0</v>
      </c>
      <c r="P3465" s="30"/>
      <c r="Q3465" s="35">
        <v>110.0</v>
      </c>
      <c r="R3465" s="32">
        <v>44581.0</v>
      </c>
      <c r="S3465" s="32">
        <v>41223.0</v>
      </c>
      <c r="T3465" s="29"/>
      <c r="U3465" s="33"/>
      <c r="V3465" s="1"/>
    </row>
    <row r="3466" ht="24.0" customHeight="1">
      <c r="A3466" s="1"/>
      <c r="B3466" s="24" t="str">
        <f>HYPERLINK("https://www.compass.com/listing/222-central-park-south-unit-34-manhattan-ny-10019/1838913135734573089/view?agent_id=610d3f3370540700019b0833","222 Central Park South, Unit 34")</f>
        <v>222 Central Park South, Unit 34</v>
      </c>
      <c r="C3466" s="25" t="s">
        <v>364</v>
      </c>
      <c r="D3466" s="26" t="s">
        <v>23</v>
      </c>
      <c r="E3466" s="27" t="str">
        <f>HYPERLINK("https://www.compass.com/building/gainsborough-studios-manhattan-ny/281944236146880229/","Gainsborough Studios")</f>
        <v>Gainsborough Studios</v>
      </c>
      <c r="F3466" s="25" t="s">
        <v>138</v>
      </c>
      <c r="G3466" s="28">
        <v>1350000.0</v>
      </c>
      <c r="H3466" s="29"/>
      <c r="I3466" s="28">
        <v>1777.0</v>
      </c>
      <c r="J3466" s="29"/>
      <c r="K3466" s="25" t="s">
        <v>25</v>
      </c>
      <c r="L3466" s="26">
        <v>4.0</v>
      </c>
      <c r="M3466" s="26">
        <v>2.0</v>
      </c>
      <c r="N3466" s="26">
        <v>0.0</v>
      </c>
      <c r="O3466" s="26">
        <v>0.0</v>
      </c>
      <c r="P3466" s="30"/>
      <c r="Q3466" s="35">
        <v>1752.0</v>
      </c>
      <c r="R3466" s="32">
        <v>44581.0</v>
      </c>
      <c r="S3466" s="32">
        <v>41184.0</v>
      </c>
      <c r="T3466" s="29"/>
      <c r="U3466" s="33"/>
      <c r="V3466" s="1"/>
    </row>
    <row r="3467" ht="24.0" customHeight="1">
      <c r="A3467" s="1"/>
      <c r="B3467" s="24" t="str">
        <f>HYPERLINK("https://www.compass.com/listing/85-adams-street-unit-19c-brooklyn-ny-11201/192565880322912497/view?agent_id=610d3f3370540700019b0833","85 Adams Street, Unit 19C")</f>
        <v>85 Adams Street, Unit 19C</v>
      </c>
      <c r="C3467" s="25" t="s">
        <v>364</v>
      </c>
      <c r="D3467" s="26" t="s">
        <v>23</v>
      </c>
      <c r="E3467" s="27" t="str">
        <f t="shared" ref="E3467:E3468" si="115">HYPERLINK("https://www.compass.com/building/the-beacon-tower-brooklyn-ny/282510616101478437/","The Beacon Tower")</f>
        <v>The Beacon Tower</v>
      </c>
      <c r="F3467" s="25" t="s">
        <v>54</v>
      </c>
      <c r="G3467" s="28">
        <v>949000.0</v>
      </c>
      <c r="H3467" s="29"/>
      <c r="I3467" s="28">
        <v>1018.0</v>
      </c>
      <c r="J3467" s="28">
        <v>372.0</v>
      </c>
      <c r="K3467" s="25" t="s">
        <v>28</v>
      </c>
      <c r="L3467" s="26">
        <v>4.0</v>
      </c>
      <c r="M3467" s="26">
        <v>2.0</v>
      </c>
      <c r="N3467" s="26">
        <v>0.0</v>
      </c>
      <c r="O3467" s="26">
        <v>0.0</v>
      </c>
      <c r="P3467" s="30"/>
      <c r="Q3467" s="35">
        <v>0.0</v>
      </c>
      <c r="R3467" s="32">
        <v>44581.0</v>
      </c>
      <c r="S3467" s="32">
        <v>41344.0</v>
      </c>
      <c r="T3467" s="29"/>
      <c r="U3467" s="33"/>
      <c r="V3467" s="1"/>
    </row>
    <row r="3468" ht="24.0" customHeight="1">
      <c r="A3468" s="1"/>
      <c r="B3468" s="24" t="str">
        <f>HYPERLINK("https://www.compass.com/listing/85-adams-street-unit-5d-brooklyn-ny-11201/29458115892171073/view?agent_id=610d3f3370540700019b0833","85 Adams Street, Unit 5D")</f>
        <v>85 Adams Street, Unit 5D</v>
      </c>
      <c r="C3468" s="25" t="s">
        <v>370</v>
      </c>
      <c r="D3468" s="26" t="s">
        <v>23</v>
      </c>
      <c r="E3468" s="27" t="str">
        <f t="shared" si="115"/>
        <v>The Beacon Tower</v>
      </c>
      <c r="F3468" s="25" t="s">
        <v>54</v>
      </c>
      <c r="G3468" s="28">
        <v>899000.0</v>
      </c>
      <c r="H3468" s="28">
        <v>769.0</v>
      </c>
      <c r="I3468" s="28">
        <v>1020.0</v>
      </c>
      <c r="J3468" s="28">
        <v>360.0</v>
      </c>
      <c r="K3468" s="25" t="s">
        <v>28</v>
      </c>
      <c r="L3468" s="26">
        <v>4.0</v>
      </c>
      <c r="M3468" s="26">
        <v>2.0</v>
      </c>
      <c r="N3468" s="26">
        <v>0.0</v>
      </c>
      <c r="O3468" s="26">
        <v>0.0</v>
      </c>
      <c r="P3468" s="34">
        <v>1169.0</v>
      </c>
      <c r="Q3468" s="35">
        <v>0.0</v>
      </c>
      <c r="R3468" s="32">
        <v>44581.0</v>
      </c>
      <c r="S3468" s="32">
        <v>41538.0</v>
      </c>
      <c r="T3468" s="29"/>
      <c r="U3468" s="33"/>
      <c r="V3468" s="1"/>
    </row>
    <row r="3469" ht="24.0" customHeight="1">
      <c r="A3469" s="1"/>
      <c r="B3469" s="24" t="str">
        <f>HYPERLINK("https://www.compass.com/listing/306-gold-street-unit-6d-brooklyn-ny-11201/29458860641199649/view?agent_id=610d3f3370540700019b0833","306 Gold Street, Unit 6D")</f>
        <v>306 Gold Street, Unit 6D</v>
      </c>
      <c r="C3469" s="25" t="s">
        <v>370</v>
      </c>
      <c r="D3469" s="26" t="s">
        <v>23</v>
      </c>
      <c r="E3469" s="27" t="str">
        <f t="shared" ref="E3469:E3472" si="116">HYPERLINK("https://www.compass.com/building/oro-building-brooklyn-ny/282510682337925237/","Oro Building")</f>
        <v>Oro Building</v>
      </c>
      <c r="F3469" s="25" t="s">
        <v>31</v>
      </c>
      <c r="G3469" s="28">
        <v>670000.0</v>
      </c>
      <c r="H3469" s="28">
        <v>744.0</v>
      </c>
      <c r="I3469" s="28">
        <v>612.0</v>
      </c>
      <c r="J3469" s="28">
        <v>144.0</v>
      </c>
      <c r="K3469" s="25" t="s">
        <v>28</v>
      </c>
      <c r="L3469" s="26">
        <v>5.0</v>
      </c>
      <c r="M3469" s="26">
        <v>2.0</v>
      </c>
      <c r="N3469" s="26">
        <v>0.0</v>
      </c>
      <c r="O3469" s="26">
        <v>0.0</v>
      </c>
      <c r="P3469" s="26">
        <v>901.0</v>
      </c>
      <c r="Q3469" s="35">
        <v>0.0</v>
      </c>
      <c r="R3469" s="32">
        <v>44581.0</v>
      </c>
      <c r="S3469" s="32">
        <v>41538.0</v>
      </c>
      <c r="T3469" s="29"/>
      <c r="U3469" s="33"/>
      <c r="V3469" s="1"/>
    </row>
    <row r="3470" ht="24.0" customHeight="1">
      <c r="A3470" s="1"/>
      <c r="B3470" s="24" t="str">
        <f>HYPERLINK("https://www.compass.com/listing/306-gold-street-unit-8d-brooklyn-ny-11201/29458873551201457/view?agent_id=610d3f3370540700019b0833","306 Gold Street, Unit 8D")</f>
        <v>306 Gold Street, Unit 8D</v>
      </c>
      <c r="C3470" s="25" t="s">
        <v>370</v>
      </c>
      <c r="D3470" s="26" t="s">
        <v>23</v>
      </c>
      <c r="E3470" s="27" t="str">
        <f t="shared" si="116"/>
        <v>Oro Building</v>
      </c>
      <c r="F3470" s="25" t="s">
        <v>31</v>
      </c>
      <c r="G3470" s="28">
        <v>680000.0</v>
      </c>
      <c r="H3470" s="28">
        <v>755.0</v>
      </c>
      <c r="I3470" s="28">
        <v>585.0</v>
      </c>
      <c r="J3470" s="28">
        <v>144.0</v>
      </c>
      <c r="K3470" s="25" t="s">
        <v>28</v>
      </c>
      <c r="L3470" s="26">
        <v>4.0</v>
      </c>
      <c r="M3470" s="26">
        <v>2.0</v>
      </c>
      <c r="N3470" s="26">
        <v>0.0</v>
      </c>
      <c r="O3470" s="26">
        <v>0.0</v>
      </c>
      <c r="P3470" s="26">
        <v>901.0</v>
      </c>
      <c r="Q3470" s="35">
        <v>0.0</v>
      </c>
      <c r="R3470" s="32">
        <v>44581.0</v>
      </c>
      <c r="S3470" s="32">
        <v>41538.0</v>
      </c>
      <c r="T3470" s="29"/>
      <c r="U3470" s="33"/>
      <c r="V3470" s="1"/>
    </row>
    <row r="3471" ht="24.0" customHeight="1">
      <c r="A3471" s="1"/>
      <c r="B3471" s="24" t="str">
        <f>HYPERLINK("https://www.compass.com/listing/306-gold-street-unit-5d-brooklyn-ny-11201/4852306158603469121/view?agent_id=610d3f3370540700019b0833","306 Gold Street, Unit 5D")</f>
        <v>306 Gold Street, Unit 5D</v>
      </c>
      <c r="C3471" s="25" t="s">
        <v>370</v>
      </c>
      <c r="D3471" s="26" t="s">
        <v>23</v>
      </c>
      <c r="E3471" s="27" t="str">
        <f t="shared" si="116"/>
        <v>Oro Building</v>
      </c>
      <c r="F3471" s="25" t="s">
        <v>31</v>
      </c>
      <c r="G3471" s="28">
        <v>665000.0</v>
      </c>
      <c r="H3471" s="29"/>
      <c r="I3471" s="28">
        <v>613.0</v>
      </c>
      <c r="J3471" s="28">
        <v>144.0</v>
      </c>
      <c r="K3471" s="25" t="s">
        <v>28</v>
      </c>
      <c r="L3471" s="26">
        <v>4.0</v>
      </c>
      <c r="M3471" s="26">
        <v>2.0</v>
      </c>
      <c r="N3471" s="26">
        <v>1.0</v>
      </c>
      <c r="O3471" s="26">
        <v>0.0</v>
      </c>
      <c r="P3471" s="30"/>
      <c r="Q3471" s="35">
        <v>0.0</v>
      </c>
      <c r="R3471" s="32">
        <v>44581.0</v>
      </c>
      <c r="S3471" s="32">
        <v>41538.0</v>
      </c>
      <c r="T3471" s="29"/>
      <c r="U3471" s="33"/>
      <c r="V3471" s="1"/>
    </row>
    <row r="3472" ht="24.0" customHeight="1">
      <c r="A3472" s="1"/>
      <c r="B3472" s="24" t="str">
        <f>HYPERLINK("https://www.compass.com/listing/306-gold-street-unit-7d-brooklyn-ny-11201/4852329642931010865/view?agent_id=610d3f3370540700019b0833","306 Gold Street, Unit 7D")</f>
        <v>306 Gold Street, Unit 7D</v>
      </c>
      <c r="C3472" s="25" t="s">
        <v>370</v>
      </c>
      <c r="D3472" s="26" t="s">
        <v>23</v>
      </c>
      <c r="E3472" s="27" t="str">
        <f t="shared" si="116"/>
        <v>Oro Building</v>
      </c>
      <c r="F3472" s="25" t="s">
        <v>31</v>
      </c>
      <c r="G3472" s="28">
        <v>675000.0</v>
      </c>
      <c r="H3472" s="28">
        <v>749.0</v>
      </c>
      <c r="I3472" s="28">
        <v>585.0</v>
      </c>
      <c r="J3472" s="28">
        <v>144.0</v>
      </c>
      <c r="K3472" s="25" t="s">
        <v>28</v>
      </c>
      <c r="L3472" s="26">
        <v>4.0</v>
      </c>
      <c r="M3472" s="26">
        <v>2.0</v>
      </c>
      <c r="N3472" s="26">
        <v>0.0</v>
      </c>
      <c r="O3472" s="26">
        <v>0.0</v>
      </c>
      <c r="P3472" s="26">
        <v>901.0</v>
      </c>
      <c r="Q3472" s="35">
        <v>0.0</v>
      </c>
      <c r="R3472" s="32">
        <v>44581.0</v>
      </c>
      <c r="S3472" s="32">
        <v>41538.0</v>
      </c>
      <c r="T3472" s="29"/>
      <c r="U3472" s="33"/>
      <c r="V3472" s="1"/>
    </row>
    <row r="3473" ht="24.0" customHeight="1">
      <c r="A3473" s="1"/>
      <c r="B3473" s="24" t="str">
        <f>HYPERLINK("https://www.compass.com/listing/446-kingston-avenue-unit-d9-brooklyn-ny-11225/608017197178443681/view?agent_id=610d3f3370540700019b0833","446 Kingston Avenue, Unit D9")</f>
        <v>446 Kingston Avenue, Unit D9</v>
      </c>
      <c r="C3473" s="25" t="s">
        <v>370</v>
      </c>
      <c r="D3473" s="26" t="s">
        <v>23</v>
      </c>
      <c r="E3473" s="27" t="str">
        <f>HYPERLINK("https://www.compass.com/building/446-kingston-ave-brooklyn-ny-11225/293528646776352965/","446 Kingston Ave")</f>
        <v>446 Kingston Ave</v>
      </c>
      <c r="F3473" s="25" t="s">
        <v>61</v>
      </c>
      <c r="G3473" s="28">
        <v>425000.0</v>
      </c>
      <c r="H3473" s="28">
        <v>354.0</v>
      </c>
      <c r="I3473" s="28">
        <v>680.0</v>
      </c>
      <c r="J3473" s="28">
        <v>0.0</v>
      </c>
      <c r="K3473" s="25" t="s">
        <v>25</v>
      </c>
      <c r="L3473" s="26">
        <v>5.0</v>
      </c>
      <c r="M3473" s="26">
        <v>2.0</v>
      </c>
      <c r="N3473" s="26">
        <v>1.0</v>
      </c>
      <c r="O3473" s="30"/>
      <c r="P3473" s="34">
        <v>1200.0</v>
      </c>
      <c r="Q3473" s="31"/>
      <c r="R3473" s="32">
        <v>44261.0</v>
      </c>
      <c r="S3473" s="33"/>
      <c r="T3473" s="29"/>
      <c r="U3473" s="33"/>
      <c r="V3473" s="1"/>
    </row>
    <row r="3474" ht="24.0" customHeight="1">
      <c r="A3474" s="1"/>
      <c r="B3474" s="24" t="str">
        <f>HYPERLINK("https://www.compass.com/listing/254-west-54th-street-unit-5b-manhattan-ny-10019/1299547404682694105/view?agent_id=610d3f3370540700019b0833","254 West 54th Street, Unit 5B")</f>
        <v>254 West 54th Street, Unit 5B</v>
      </c>
      <c r="C3474" s="25" t="s">
        <v>370</v>
      </c>
      <c r="D3474" s="26" t="s">
        <v>23</v>
      </c>
      <c r="E3474" s="27" t="str">
        <f>HYPERLINK("https://www.compass.com/building/254-w-54th-st-manhattan-ny-10019/293529386827668389/","254 W 54th St")</f>
        <v>254 W 54th St</v>
      </c>
      <c r="F3474" s="25" t="s">
        <v>67</v>
      </c>
      <c r="G3474" s="28">
        <v>925000.0</v>
      </c>
      <c r="H3474" s="29"/>
      <c r="I3474" s="28">
        <v>1505.0</v>
      </c>
      <c r="J3474" s="29"/>
      <c r="K3474" s="25" t="s">
        <v>25</v>
      </c>
      <c r="L3474" s="26">
        <v>4.0</v>
      </c>
      <c r="M3474" s="26">
        <v>2.0</v>
      </c>
      <c r="N3474" s="26">
        <v>1.0</v>
      </c>
      <c r="O3474" s="30"/>
      <c r="P3474" s="30"/>
      <c r="Q3474" s="35">
        <v>94.0</v>
      </c>
      <c r="R3474" s="32">
        <v>44707.0</v>
      </c>
      <c r="S3474" s="32">
        <v>44613.0</v>
      </c>
      <c r="T3474" s="29"/>
      <c r="U3474" s="33"/>
      <c r="V3474" s="1"/>
    </row>
    <row r="3475" ht="24.0" customHeight="1">
      <c r="A3475" s="1"/>
      <c r="B3475" s="24" t="str">
        <f>HYPERLINK("https://www.compass.com/listing/160-central-park-south-unit-1730-31-33-manhattan-ny-10019/1809624647256196257/view?agent_id=610d3f3370540700019b0833","160 Central Park South, Unit 1730/31/33")</f>
        <v>160 Central Park South, Unit 1730/31/33</v>
      </c>
      <c r="C3475" s="25" t="s">
        <v>370</v>
      </c>
      <c r="D3475" s="26" t="s">
        <v>23</v>
      </c>
      <c r="E3475" s="27" t="str">
        <f>HYPERLINK("https://www.compass.com/building/essex-house-manhattan-ny/281944082752794229/","Essex House")</f>
        <v>Essex House</v>
      </c>
      <c r="F3475" s="25" t="s">
        <v>138</v>
      </c>
      <c r="G3475" s="28">
        <v>3850000.0</v>
      </c>
      <c r="H3475" s="28">
        <v>2567.0</v>
      </c>
      <c r="I3475" s="28">
        <v>6942.0</v>
      </c>
      <c r="J3475" s="28">
        <v>23304.0</v>
      </c>
      <c r="K3475" s="25" t="s">
        <v>28</v>
      </c>
      <c r="L3475" s="26">
        <v>5.0</v>
      </c>
      <c r="M3475" s="26">
        <v>2.0</v>
      </c>
      <c r="N3475" s="26">
        <v>0.0</v>
      </c>
      <c r="O3475" s="26">
        <v>0.0</v>
      </c>
      <c r="P3475" s="34">
        <v>1500.0</v>
      </c>
      <c r="Q3475" s="35">
        <v>69.0</v>
      </c>
      <c r="R3475" s="32">
        <v>44581.0</v>
      </c>
      <c r="S3475" s="32">
        <v>42906.0</v>
      </c>
      <c r="T3475" s="29"/>
      <c r="U3475" s="33"/>
      <c r="V3475" s="1"/>
    </row>
    <row r="3476" ht="24.0" customHeight="1">
      <c r="A3476" s="1"/>
      <c r="B3476" s="24" t="str">
        <f>HYPERLINK("https://www.compass.com/listing/306-gold-street-unit-4h-brooklyn-ny-11201/29458851338166801/view?agent_id=610d3f3370540700019b0833","306 Gold Street, Unit 4H")</f>
        <v>306 Gold Street, Unit 4H</v>
      </c>
      <c r="C3476" s="25" t="s">
        <v>370</v>
      </c>
      <c r="D3476" s="26" t="s">
        <v>23</v>
      </c>
      <c r="E3476" s="27" t="str">
        <f t="shared" ref="E3476:E3483" si="117">HYPERLINK("https://www.compass.com/building/oro-building-brooklyn-ny/282510682337925237/","Oro Building")</f>
        <v>Oro Building</v>
      </c>
      <c r="F3476" s="25" t="s">
        <v>31</v>
      </c>
      <c r="G3476" s="28">
        <v>815000.0</v>
      </c>
      <c r="H3476" s="28">
        <v>755.0</v>
      </c>
      <c r="I3476" s="28">
        <v>740.0</v>
      </c>
      <c r="J3476" s="28">
        <v>180.0</v>
      </c>
      <c r="K3476" s="25" t="s">
        <v>28</v>
      </c>
      <c r="L3476" s="26">
        <v>2.0</v>
      </c>
      <c r="M3476" s="26">
        <v>2.0</v>
      </c>
      <c r="N3476" s="26">
        <v>0.0</v>
      </c>
      <c r="O3476" s="26">
        <v>0.0</v>
      </c>
      <c r="P3476" s="34">
        <v>1080.0</v>
      </c>
      <c r="Q3476" s="35">
        <v>0.0</v>
      </c>
      <c r="R3476" s="32">
        <v>44581.0</v>
      </c>
      <c r="S3476" s="32">
        <v>41538.0</v>
      </c>
      <c r="T3476" s="29"/>
      <c r="U3476" s="33"/>
      <c r="V3476" s="1"/>
    </row>
    <row r="3477" ht="24.0" customHeight="1">
      <c r="A3477" s="1"/>
      <c r="B3477" s="24" t="str">
        <f>HYPERLINK("https://www.compass.com/listing/306-gold-street-unit-14a-brooklyn-ny-11201/29458895521004177/view?agent_id=610d3f3370540700019b0833","306 Gold Street, Unit 14A")</f>
        <v>306 Gold Street, Unit 14A</v>
      </c>
      <c r="C3477" s="25" t="s">
        <v>370</v>
      </c>
      <c r="D3477" s="26" t="s">
        <v>23</v>
      </c>
      <c r="E3477" s="27" t="str">
        <f t="shared" si="117"/>
        <v>Oro Building</v>
      </c>
      <c r="F3477" s="25" t="s">
        <v>31</v>
      </c>
      <c r="G3477" s="28">
        <v>840000.0</v>
      </c>
      <c r="H3477" s="28">
        <v>695.0</v>
      </c>
      <c r="I3477" s="28">
        <v>1117.0</v>
      </c>
      <c r="J3477" s="28">
        <v>204.0</v>
      </c>
      <c r="K3477" s="25" t="s">
        <v>28</v>
      </c>
      <c r="L3477" s="26">
        <v>4.0</v>
      </c>
      <c r="M3477" s="26">
        <v>2.0</v>
      </c>
      <c r="N3477" s="26">
        <v>0.0</v>
      </c>
      <c r="O3477" s="26">
        <v>0.0</v>
      </c>
      <c r="P3477" s="34">
        <v>1208.0</v>
      </c>
      <c r="Q3477" s="35">
        <v>0.0</v>
      </c>
      <c r="R3477" s="32">
        <v>44581.0</v>
      </c>
      <c r="S3477" s="32">
        <v>41538.0</v>
      </c>
      <c r="T3477" s="29"/>
      <c r="U3477" s="33"/>
      <c r="V3477" s="1"/>
    </row>
    <row r="3478" ht="24.0" customHeight="1">
      <c r="A3478" s="1"/>
      <c r="B3478" s="24" t="str">
        <f>HYPERLINK("https://www.compass.com/listing/306-gold-street-unit-15a-brooklyn-ny-11201/29458900436690801/view?agent_id=610d3f3370540700019b0833","306 Gold Street, Unit 15A")</f>
        <v>306 Gold Street, Unit 15A</v>
      </c>
      <c r="C3478" s="25" t="s">
        <v>370</v>
      </c>
      <c r="D3478" s="26" t="s">
        <v>23</v>
      </c>
      <c r="E3478" s="27" t="str">
        <f t="shared" si="117"/>
        <v>Oro Building</v>
      </c>
      <c r="F3478" s="25" t="s">
        <v>31</v>
      </c>
      <c r="G3478" s="28">
        <v>845000.0</v>
      </c>
      <c r="H3478" s="28">
        <v>700.0</v>
      </c>
      <c r="I3478" s="28">
        <v>822.0</v>
      </c>
      <c r="J3478" s="28">
        <v>204.0</v>
      </c>
      <c r="K3478" s="25" t="s">
        <v>28</v>
      </c>
      <c r="L3478" s="26">
        <v>4.0</v>
      </c>
      <c r="M3478" s="26">
        <v>2.0</v>
      </c>
      <c r="N3478" s="26">
        <v>0.0</v>
      </c>
      <c r="O3478" s="26">
        <v>0.0</v>
      </c>
      <c r="P3478" s="34">
        <v>1208.0</v>
      </c>
      <c r="Q3478" s="35">
        <v>0.0</v>
      </c>
      <c r="R3478" s="32">
        <v>44581.0</v>
      </c>
      <c r="S3478" s="32">
        <v>41538.0</v>
      </c>
      <c r="T3478" s="29"/>
      <c r="U3478" s="33"/>
      <c r="V3478" s="1"/>
    </row>
    <row r="3479" ht="24.0" customHeight="1">
      <c r="A3479" s="1"/>
      <c r="B3479" s="24" t="str">
        <f>HYPERLINK("https://www.compass.com/listing/306-gold-street-unit-25a-brooklyn-ny-11201/29458934033104561/view?agent_id=610d3f3370540700019b0833","306 Gold Street, Unit 25A")</f>
        <v>306 Gold Street, Unit 25A</v>
      </c>
      <c r="C3479" s="25" t="s">
        <v>370</v>
      </c>
      <c r="D3479" s="26" t="s">
        <v>23</v>
      </c>
      <c r="E3479" s="27" t="str">
        <f t="shared" si="117"/>
        <v>Oro Building</v>
      </c>
      <c r="F3479" s="25" t="s">
        <v>31</v>
      </c>
      <c r="G3479" s="28">
        <v>895000.0</v>
      </c>
      <c r="H3479" s="28">
        <v>741.0</v>
      </c>
      <c r="I3479" s="28">
        <v>822.0</v>
      </c>
      <c r="J3479" s="28">
        <v>204.0</v>
      </c>
      <c r="K3479" s="25" t="s">
        <v>28</v>
      </c>
      <c r="L3479" s="26">
        <v>5.0</v>
      </c>
      <c r="M3479" s="26">
        <v>2.0</v>
      </c>
      <c r="N3479" s="26">
        <v>0.0</v>
      </c>
      <c r="O3479" s="26">
        <v>0.0</v>
      </c>
      <c r="P3479" s="34">
        <v>1208.0</v>
      </c>
      <c r="Q3479" s="35">
        <v>0.0</v>
      </c>
      <c r="R3479" s="32">
        <v>44581.0</v>
      </c>
      <c r="S3479" s="32">
        <v>41538.0</v>
      </c>
      <c r="T3479" s="29"/>
      <c r="U3479" s="33"/>
      <c r="V3479" s="1"/>
    </row>
    <row r="3480" ht="24.0" customHeight="1">
      <c r="A3480" s="1"/>
      <c r="B3480" s="24" t="str">
        <f>HYPERLINK("https://www.compass.com/listing/306-gold-street-unit-26d-brooklyn-ny-11201/29458937304690241/view?agent_id=610d3f3370540700019b0833","306 Gold Street, Unit 26D")</f>
        <v>306 Gold Street, Unit 26D</v>
      </c>
      <c r="C3480" s="25" t="s">
        <v>370</v>
      </c>
      <c r="D3480" s="26" t="s">
        <v>23</v>
      </c>
      <c r="E3480" s="27" t="str">
        <f t="shared" si="117"/>
        <v>Oro Building</v>
      </c>
      <c r="F3480" s="25" t="s">
        <v>31</v>
      </c>
      <c r="G3480" s="28">
        <v>817000.0</v>
      </c>
      <c r="H3480" s="28">
        <v>748.0</v>
      </c>
      <c r="I3480" s="28">
        <v>742.0</v>
      </c>
      <c r="J3480" s="28">
        <v>180.0</v>
      </c>
      <c r="K3480" s="25" t="s">
        <v>28</v>
      </c>
      <c r="L3480" s="26">
        <v>5.0</v>
      </c>
      <c r="M3480" s="26">
        <v>2.0</v>
      </c>
      <c r="N3480" s="26">
        <v>0.0</v>
      </c>
      <c r="O3480" s="26">
        <v>0.0</v>
      </c>
      <c r="P3480" s="34">
        <v>1092.0</v>
      </c>
      <c r="Q3480" s="35">
        <v>0.0</v>
      </c>
      <c r="R3480" s="32">
        <v>44581.0</v>
      </c>
      <c r="S3480" s="32">
        <v>41538.0</v>
      </c>
      <c r="T3480" s="29"/>
      <c r="U3480" s="33"/>
      <c r="V3480" s="1"/>
    </row>
    <row r="3481" ht="24.0" customHeight="1">
      <c r="A3481" s="1"/>
      <c r="B3481" s="24" t="str">
        <f>HYPERLINK("https://www.compass.com/listing/306-gold-street-unit-29a-brooklyn-ny-11201/29458944602750929/view?agent_id=610d3f3370540700019b0833","306 Gold Street, Unit 29A")</f>
        <v>306 Gold Street, Unit 29A</v>
      </c>
      <c r="C3481" s="25" t="s">
        <v>370</v>
      </c>
      <c r="D3481" s="26" t="s">
        <v>23</v>
      </c>
      <c r="E3481" s="27" t="str">
        <f t="shared" si="117"/>
        <v>Oro Building</v>
      </c>
      <c r="F3481" s="25" t="s">
        <v>31</v>
      </c>
      <c r="G3481" s="28">
        <v>915000.0</v>
      </c>
      <c r="H3481" s="28">
        <v>757.0</v>
      </c>
      <c r="I3481" s="28">
        <v>822.0</v>
      </c>
      <c r="J3481" s="28">
        <v>204.0</v>
      </c>
      <c r="K3481" s="25" t="s">
        <v>28</v>
      </c>
      <c r="L3481" s="26">
        <v>4.0</v>
      </c>
      <c r="M3481" s="26">
        <v>2.0</v>
      </c>
      <c r="N3481" s="26">
        <v>0.0</v>
      </c>
      <c r="O3481" s="26">
        <v>0.0</v>
      </c>
      <c r="P3481" s="34">
        <v>1208.0</v>
      </c>
      <c r="Q3481" s="35">
        <v>0.0</v>
      </c>
      <c r="R3481" s="32">
        <v>44581.0</v>
      </c>
      <c r="S3481" s="32">
        <v>41538.0</v>
      </c>
      <c r="T3481" s="29"/>
      <c r="U3481" s="33"/>
      <c r="V3481" s="1"/>
    </row>
    <row r="3482" ht="24.0" customHeight="1">
      <c r="A3482" s="1"/>
      <c r="B3482" s="24" t="str">
        <f>HYPERLINK("https://www.compass.com/listing/306-gold-street-unit-32a-brooklyn-ny-11201/29458955658965121/view?agent_id=610d3f3370540700019b0833","306 Gold Street, Unit 32A")</f>
        <v>306 Gold Street, Unit 32A</v>
      </c>
      <c r="C3482" s="25" t="s">
        <v>370</v>
      </c>
      <c r="D3482" s="26" t="s">
        <v>23</v>
      </c>
      <c r="E3482" s="27" t="str">
        <f t="shared" si="117"/>
        <v>Oro Building</v>
      </c>
      <c r="F3482" s="25" t="s">
        <v>31</v>
      </c>
      <c r="G3482" s="28">
        <v>930000.0</v>
      </c>
      <c r="H3482" s="28">
        <v>770.0</v>
      </c>
      <c r="I3482" s="28">
        <v>857.0</v>
      </c>
      <c r="J3482" s="28">
        <v>192.0</v>
      </c>
      <c r="K3482" s="25" t="s">
        <v>28</v>
      </c>
      <c r="L3482" s="26">
        <v>3.0</v>
      </c>
      <c r="M3482" s="26">
        <v>2.0</v>
      </c>
      <c r="N3482" s="26">
        <v>0.0</v>
      </c>
      <c r="O3482" s="26">
        <v>0.0</v>
      </c>
      <c r="P3482" s="34">
        <v>1208.0</v>
      </c>
      <c r="Q3482" s="35">
        <v>0.0</v>
      </c>
      <c r="R3482" s="32">
        <v>44581.0</v>
      </c>
      <c r="S3482" s="32">
        <v>41538.0</v>
      </c>
      <c r="T3482" s="29"/>
      <c r="U3482" s="33"/>
      <c r="V3482" s="1"/>
    </row>
    <row r="3483" ht="24.0" customHeight="1">
      <c r="A3483" s="1"/>
      <c r="B3483" s="24" t="str">
        <f>HYPERLINK("https://www.compass.com/listing/306-gold-street-unit-27d-brooklyn-ny-11201/4852329746530310049/view?agent_id=610d3f3370540700019b0833","306 Gold Street, Unit 27D")</f>
        <v>306 Gold Street, Unit 27D</v>
      </c>
      <c r="C3483" s="25" t="s">
        <v>370</v>
      </c>
      <c r="D3483" s="26" t="s">
        <v>23</v>
      </c>
      <c r="E3483" s="27" t="str">
        <f t="shared" si="117"/>
        <v>Oro Building</v>
      </c>
      <c r="F3483" s="25" t="s">
        <v>31</v>
      </c>
      <c r="G3483" s="28">
        <v>822000.0</v>
      </c>
      <c r="H3483" s="28">
        <v>753.0</v>
      </c>
      <c r="I3483" s="28">
        <v>742.0</v>
      </c>
      <c r="J3483" s="28">
        <v>180.0</v>
      </c>
      <c r="K3483" s="25" t="s">
        <v>28</v>
      </c>
      <c r="L3483" s="26">
        <v>4.0</v>
      </c>
      <c r="M3483" s="26">
        <v>2.0</v>
      </c>
      <c r="N3483" s="26">
        <v>0.0</v>
      </c>
      <c r="O3483" s="26">
        <v>0.0</v>
      </c>
      <c r="P3483" s="34">
        <v>1092.0</v>
      </c>
      <c r="Q3483" s="35">
        <v>0.0</v>
      </c>
      <c r="R3483" s="32">
        <v>44581.0</v>
      </c>
      <c r="S3483" s="32">
        <v>41538.0</v>
      </c>
      <c r="T3483" s="29"/>
      <c r="U3483" s="33"/>
      <c r="V3483" s="1"/>
    </row>
    <row r="3484" ht="24.0" customHeight="1">
      <c r="A3484" s="1"/>
      <c r="B3484" s="24" t="str">
        <f>HYPERLINK("https://www.compass.com/listing/790-riverside-drive-unit-2lx-manhattan-ny-10032/1795030730065322377/view?agent_id=610d3f3370540700019b0833","790 Riverside Drive, Unit 2LX")</f>
        <v>790 Riverside Drive, Unit 2LX</v>
      </c>
      <c r="C3484" s="25" t="s">
        <v>365</v>
      </c>
      <c r="D3484" s="26" t="s">
        <v>23</v>
      </c>
      <c r="E3484" s="27" t="str">
        <f>HYPERLINK("https://www.compass.com/building/the-riviera-manhattan-ny/282009310966446917/","The Riviera")</f>
        <v>The Riviera</v>
      </c>
      <c r="F3484" s="25" t="s">
        <v>77</v>
      </c>
      <c r="G3484" s="28">
        <v>679000.0</v>
      </c>
      <c r="H3484" s="28">
        <v>790.0</v>
      </c>
      <c r="I3484" s="28">
        <v>1912.0</v>
      </c>
      <c r="J3484" s="28">
        <v>0.0</v>
      </c>
      <c r="K3484" s="25" t="s">
        <v>25</v>
      </c>
      <c r="L3484" s="26">
        <v>4.0</v>
      </c>
      <c r="M3484" s="26">
        <v>2.0</v>
      </c>
      <c r="N3484" s="26">
        <v>1.0</v>
      </c>
      <c r="O3484" s="26">
        <v>0.0</v>
      </c>
      <c r="P3484" s="26">
        <v>859.0</v>
      </c>
      <c r="Q3484" s="35">
        <v>89.0</v>
      </c>
      <c r="R3484" s="32">
        <v>45857.0</v>
      </c>
      <c r="S3484" s="32">
        <v>45768.0</v>
      </c>
      <c r="T3484" s="29"/>
      <c r="U3484" s="33"/>
      <c r="V3484" s="1"/>
    </row>
    <row r="3485" ht="24.0" customHeight="1">
      <c r="A3485" s="1"/>
      <c r="B3485" s="24" t="str">
        <f>HYPERLINK("https://www.compass.com/listing/306-gold-street-unit-22f-brooklyn-ny-11201/29458926483319297/view?agent_id=610d3f3370540700019b0833","306 Gold Street, Unit 22F")</f>
        <v>306 Gold Street, Unit 22F</v>
      </c>
      <c r="C3485" s="25" t="s">
        <v>370</v>
      </c>
      <c r="D3485" s="26" t="s">
        <v>23</v>
      </c>
      <c r="E3485" s="27" t="str">
        <f t="shared" ref="E3485:E3487" si="118">HYPERLINK("https://www.compass.com/building/oro-building-brooklyn-ny/282510682337925237/","Oro Building")</f>
        <v>Oro Building</v>
      </c>
      <c r="F3485" s="25" t="s">
        <v>31</v>
      </c>
      <c r="G3485" s="28">
        <v>965000.0</v>
      </c>
      <c r="H3485" s="28">
        <v>723.0</v>
      </c>
      <c r="I3485" s="28">
        <v>947.0</v>
      </c>
      <c r="J3485" s="28">
        <v>216.0</v>
      </c>
      <c r="K3485" s="25" t="s">
        <v>28</v>
      </c>
      <c r="L3485" s="26">
        <v>4.0</v>
      </c>
      <c r="M3485" s="26">
        <v>2.0</v>
      </c>
      <c r="N3485" s="26">
        <v>0.0</v>
      </c>
      <c r="O3485" s="26">
        <v>0.0</v>
      </c>
      <c r="P3485" s="34">
        <v>1334.0</v>
      </c>
      <c r="Q3485" s="35">
        <v>0.0</v>
      </c>
      <c r="R3485" s="32">
        <v>44581.0</v>
      </c>
      <c r="S3485" s="32">
        <v>41538.0</v>
      </c>
      <c r="T3485" s="29"/>
      <c r="U3485" s="33"/>
      <c r="V3485" s="1"/>
    </row>
    <row r="3486" ht="24.0" customHeight="1">
      <c r="A3486" s="1"/>
      <c r="B3486" s="24" t="str">
        <f>HYPERLINK("https://www.compass.com/listing/306-gold-street-unit-25f-brooklyn-ny-11201/29458935098457809/view?agent_id=610d3f3370540700019b0833","306 Gold Street, Unit 25F")</f>
        <v>306 Gold Street, Unit 25F</v>
      </c>
      <c r="C3486" s="25" t="s">
        <v>370</v>
      </c>
      <c r="D3486" s="26" t="s">
        <v>23</v>
      </c>
      <c r="E3486" s="27" t="str">
        <f t="shared" si="118"/>
        <v>Oro Building</v>
      </c>
      <c r="F3486" s="25" t="s">
        <v>31</v>
      </c>
      <c r="G3486" s="28">
        <v>995000.0</v>
      </c>
      <c r="H3486" s="28">
        <v>744.0</v>
      </c>
      <c r="I3486" s="28">
        <v>947.0</v>
      </c>
      <c r="J3486" s="28">
        <v>216.0</v>
      </c>
      <c r="K3486" s="25" t="s">
        <v>28</v>
      </c>
      <c r="L3486" s="26">
        <v>4.0</v>
      </c>
      <c r="M3486" s="26">
        <v>2.0</v>
      </c>
      <c r="N3486" s="26">
        <v>0.0</v>
      </c>
      <c r="O3486" s="26">
        <v>0.0</v>
      </c>
      <c r="P3486" s="34">
        <v>1337.0</v>
      </c>
      <c r="Q3486" s="35">
        <v>0.0</v>
      </c>
      <c r="R3486" s="32">
        <v>44581.0</v>
      </c>
      <c r="S3486" s="32">
        <v>41538.0</v>
      </c>
      <c r="T3486" s="29"/>
      <c r="U3486" s="33"/>
      <c r="V3486" s="1"/>
    </row>
    <row r="3487" ht="24.0" customHeight="1">
      <c r="A3487" s="1"/>
      <c r="B3487" s="24" t="str">
        <f>HYPERLINK("https://www.compass.com/listing/306-gold-street-unit-30f-brooklyn-ny-11201/29458951707930625/view?agent_id=610d3f3370540700019b0833","306 Gold Street, Unit 30F")</f>
        <v>306 Gold Street, Unit 30F</v>
      </c>
      <c r="C3487" s="25" t="s">
        <v>370</v>
      </c>
      <c r="D3487" s="26" t="s">
        <v>23</v>
      </c>
      <c r="E3487" s="27" t="str">
        <f t="shared" si="118"/>
        <v>Oro Building</v>
      </c>
      <c r="F3487" s="25" t="s">
        <v>31</v>
      </c>
      <c r="G3487" s="28">
        <v>1045000.0</v>
      </c>
      <c r="H3487" s="28">
        <v>782.0</v>
      </c>
      <c r="I3487" s="28">
        <v>974.0</v>
      </c>
      <c r="J3487" s="28">
        <v>216.0</v>
      </c>
      <c r="K3487" s="25" t="s">
        <v>28</v>
      </c>
      <c r="L3487" s="26">
        <v>4.0</v>
      </c>
      <c r="M3487" s="26">
        <v>2.0</v>
      </c>
      <c r="N3487" s="26">
        <v>0.0</v>
      </c>
      <c r="O3487" s="26">
        <v>0.0</v>
      </c>
      <c r="P3487" s="34">
        <v>1337.0</v>
      </c>
      <c r="Q3487" s="35">
        <v>0.0</v>
      </c>
      <c r="R3487" s="32">
        <v>44581.0</v>
      </c>
      <c r="S3487" s="32">
        <v>41511.0</v>
      </c>
      <c r="T3487" s="29"/>
      <c r="U3487" s="33"/>
      <c r="V3487" s="1"/>
    </row>
    <row r="3488" ht="24.0" customHeight="1">
      <c r="A3488" s="1"/>
      <c r="B3488" s="24" t="str">
        <f>HYPERLINK("https://www.compass.com/listing/57-west-58th-street-unit-3e-manhattan-ny-10019/1166811804512838857/view?agent_id=610d3f3370540700019b0833","57 West 58th Street, Unit 3E")</f>
        <v>57 West 58th Street, Unit 3E</v>
      </c>
      <c r="C3488" s="25" t="s">
        <v>364</v>
      </c>
      <c r="D3488" s="26" t="s">
        <v>23</v>
      </c>
      <c r="E3488" s="27" t="str">
        <f>HYPERLINK("https://www.compass.com/building/the-coronet-manhattan-ny/281946549305538133/","The Coronet")</f>
        <v>The Coronet</v>
      </c>
      <c r="F3488" s="25" t="s">
        <v>138</v>
      </c>
      <c r="G3488" s="28">
        <v>1100000.0</v>
      </c>
      <c r="H3488" s="28">
        <v>1111.0</v>
      </c>
      <c r="I3488" s="28">
        <v>2728.0</v>
      </c>
      <c r="J3488" s="28">
        <v>17316.0</v>
      </c>
      <c r="K3488" s="25" t="s">
        <v>28</v>
      </c>
      <c r="L3488" s="26">
        <v>4.0</v>
      </c>
      <c r="M3488" s="26">
        <v>2.0</v>
      </c>
      <c r="N3488" s="26">
        <v>1.0</v>
      </c>
      <c r="O3488" s="30"/>
      <c r="P3488" s="26">
        <v>990.0</v>
      </c>
      <c r="Q3488" s="35">
        <v>77.0</v>
      </c>
      <c r="R3488" s="32">
        <v>44939.0</v>
      </c>
      <c r="S3488" s="32">
        <v>44862.0</v>
      </c>
      <c r="T3488" s="29"/>
      <c r="U3488" s="33"/>
      <c r="V3488" s="1"/>
    </row>
    <row r="3489" ht="24.0" customHeight="1">
      <c r="A3489" s="1"/>
      <c r="B3489" s="24" t="str">
        <f>HYPERLINK("https://www.compass.com/listing/306-gold-street-unit-21f-brooklyn-ny-11201/29458923161430465/view?agent_id=610d3f3370540700019b0833","306 Gold Street, Unit 21F")</f>
        <v>306 Gold Street, Unit 21F</v>
      </c>
      <c r="C3489" s="25" t="s">
        <v>370</v>
      </c>
      <c r="D3489" s="26" t="s">
        <v>23</v>
      </c>
      <c r="E3489" s="27" t="str">
        <f>HYPERLINK("https://www.compass.com/building/oro-building-brooklyn-ny/282510682337925237/","Oro Building")</f>
        <v>Oro Building</v>
      </c>
      <c r="F3489" s="25" t="s">
        <v>31</v>
      </c>
      <c r="G3489" s="28">
        <v>955000.0</v>
      </c>
      <c r="H3489" s="28">
        <v>716.0</v>
      </c>
      <c r="I3489" s="28">
        <v>907.0</v>
      </c>
      <c r="J3489" s="28">
        <v>216.0</v>
      </c>
      <c r="K3489" s="25" t="s">
        <v>28</v>
      </c>
      <c r="L3489" s="26">
        <v>6.0</v>
      </c>
      <c r="M3489" s="26">
        <v>2.0</v>
      </c>
      <c r="N3489" s="26">
        <v>0.0</v>
      </c>
      <c r="O3489" s="26">
        <v>0.0</v>
      </c>
      <c r="P3489" s="34">
        <v>1334.0</v>
      </c>
      <c r="Q3489" s="35">
        <v>0.0</v>
      </c>
      <c r="R3489" s="32">
        <v>44581.0</v>
      </c>
      <c r="S3489" s="32">
        <v>41538.0</v>
      </c>
      <c r="T3489" s="29"/>
      <c r="U3489" s="33"/>
      <c r="V3489" s="1"/>
    </row>
    <row r="3490" ht="24.0" customHeight="1">
      <c r="A3490" s="1"/>
      <c r="B3490" s="24" t="str">
        <f>HYPERLINK("https://www.compass.com/listing/680-west-204th-street-unit-3e-manhattan-ny-10034/1354670993488565049/view?agent_id=610d3f3370540700019b0833","680 West 204th Street, Unit 3E")</f>
        <v>680 West 204th Street, Unit 3E</v>
      </c>
      <c r="C3490" s="25" t="s">
        <v>364</v>
      </c>
      <c r="D3490" s="26" t="s">
        <v>23</v>
      </c>
      <c r="E3490" s="27" t="str">
        <f>HYPERLINK("https://www.compass.com/building/680-w-204th-st-manhattan-ny-10034/282060364311462373/","680 W 204th St")</f>
        <v>680 W 204th St</v>
      </c>
      <c r="F3490" s="25" t="s">
        <v>81</v>
      </c>
      <c r="G3490" s="28">
        <v>450000.0</v>
      </c>
      <c r="H3490" s="28">
        <v>474.0</v>
      </c>
      <c r="I3490" s="28">
        <v>1455.0</v>
      </c>
      <c r="J3490" s="28">
        <v>0.0</v>
      </c>
      <c r="K3490" s="25" t="s">
        <v>25</v>
      </c>
      <c r="L3490" s="26">
        <v>4.0</v>
      </c>
      <c r="M3490" s="26">
        <v>2.0</v>
      </c>
      <c r="N3490" s="26">
        <v>1.0</v>
      </c>
      <c r="O3490" s="30"/>
      <c r="P3490" s="26">
        <v>950.0</v>
      </c>
      <c r="Q3490" s="35">
        <v>110.0</v>
      </c>
      <c r="R3490" s="32">
        <v>45231.0</v>
      </c>
      <c r="S3490" s="32">
        <v>45120.0</v>
      </c>
      <c r="T3490" s="29"/>
      <c r="U3490" s="33"/>
      <c r="V3490" s="1"/>
    </row>
    <row r="3491" ht="24.0" customHeight="1">
      <c r="A3491" s="1"/>
      <c r="B3491" s="24" t="str">
        <f>HYPERLINK("https://www.compass.com/listing/675-academy-street-unit-5e-manhattan-ny-10034/539762899559330777/view?agent_id=610d3f3370540700019b0833","675 Academy Street, Unit 5E")</f>
        <v>675 Academy Street, Unit 5E</v>
      </c>
      <c r="C3491" s="25" t="s">
        <v>364</v>
      </c>
      <c r="D3491" s="26" t="s">
        <v>23</v>
      </c>
      <c r="E3491" s="27" t="str">
        <f>HYPERLINK("https://www.compass.com/building/the-ivy-league-manhattan-ny/282015897307059813/","The Ivy League")</f>
        <v>The Ivy League</v>
      </c>
      <c r="F3491" s="25" t="s">
        <v>81</v>
      </c>
      <c r="G3491" s="28">
        <v>650000.0</v>
      </c>
      <c r="H3491" s="29"/>
      <c r="I3491" s="28">
        <v>1100.0</v>
      </c>
      <c r="J3491" s="28">
        <v>0.0</v>
      </c>
      <c r="K3491" s="25" t="s">
        <v>25</v>
      </c>
      <c r="L3491" s="26">
        <v>5.0</v>
      </c>
      <c r="M3491" s="26">
        <v>2.0</v>
      </c>
      <c r="N3491" s="26">
        <v>1.0</v>
      </c>
      <c r="O3491" s="30"/>
      <c r="P3491" s="30"/>
      <c r="Q3491" s="31"/>
      <c r="R3491" s="32">
        <v>44060.0</v>
      </c>
      <c r="S3491" s="33"/>
      <c r="T3491" s="29"/>
      <c r="U3491" s="33"/>
      <c r="V3491" s="1"/>
    </row>
    <row r="3492" ht="24.0" customHeight="1">
      <c r="A3492" s="1"/>
      <c r="B3492" s="24" t="str">
        <f>HYPERLINK("https://www.compass.com/listing/231-bay-ridge-parkway-unit-2b-brooklyn-ny-11209/29505148275520929/view?agent_id=610d3f3370540700019b0833","231 Bay Ridge Parkway, Unit 2B")</f>
        <v>231 Bay Ridge Parkway, Unit 2B</v>
      </c>
      <c r="C3492" s="25" t="s">
        <v>364</v>
      </c>
      <c r="D3492" s="26" t="s">
        <v>23</v>
      </c>
      <c r="E3492" s="27" t="str">
        <f>HYPERLINK("https://www.compass.com/building/231-bay-ridge-pkwy-brooklyn-ny-11209/307443101241003797/","231 Bay Ridge Pkwy")</f>
        <v>231 Bay Ridge Pkwy</v>
      </c>
      <c r="F3492" s="25" t="s">
        <v>55</v>
      </c>
      <c r="G3492" s="28">
        <v>650000.0</v>
      </c>
      <c r="H3492" s="29"/>
      <c r="I3492" s="28">
        <v>434.0</v>
      </c>
      <c r="J3492" s="28">
        <v>2388.0</v>
      </c>
      <c r="K3492" s="25" t="s">
        <v>28</v>
      </c>
      <c r="L3492" s="26">
        <v>3.0</v>
      </c>
      <c r="M3492" s="26">
        <v>2.0</v>
      </c>
      <c r="N3492" s="26">
        <v>0.0</v>
      </c>
      <c r="O3492" s="26">
        <v>0.0</v>
      </c>
      <c r="P3492" s="30"/>
      <c r="Q3492" s="35">
        <v>151.0</v>
      </c>
      <c r="R3492" s="32">
        <v>44581.0</v>
      </c>
      <c r="S3492" s="32">
        <v>41185.0</v>
      </c>
      <c r="T3492" s="29"/>
      <c r="U3492" s="33"/>
      <c r="V3492" s="1"/>
    </row>
    <row r="3493" ht="24.0" customHeight="1">
      <c r="A3493" s="1"/>
      <c r="B3493" s="24" t="str">
        <f>HYPERLINK("https://www.compass.com/listing/77-park-terrace-east-unit-d37-manhattan-ny-10034/29437121915907969/view?agent_id=610d3f3370540700019b0833","77 Park Terrace East, Unit D37")</f>
        <v>77 Park Terrace East, Unit D37</v>
      </c>
      <c r="C3493" s="25" t="s">
        <v>364</v>
      </c>
      <c r="D3493" s="26" t="s">
        <v>23</v>
      </c>
      <c r="E3493" s="27" t="str">
        <f>HYPERLINK("https://www.compass.com/building/park-terrace-gardens-manhattan-ny/282016051229626261/","Park Terrace Gardens")</f>
        <v>Park Terrace Gardens</v>
      </c>
      <c r="F3493" s="25" t="s">
        <v>81</v>
      </c>
      <c r="G3493" s="28">
        <v>475000.0</v>
      </c>
      <c r="H3493" s="28">
        <v>500.0</v>
      </c>
      <c r="I3493" s="28">
        <v>1057.0</v>
      </c>
      <c r="J3493" s="29"/>
      <c r="K3493" s="25" t="s">
        <v>25</v>
      </c>
      <c r="L3493" s="26">
        <v>4.0</v>
      </c>
      <c r="M3493" s="26">
        <v>2.0</v>
      </c>
      <c r="N3493" s="26">
        <v>1.0</v>
      </c>
      <c r="O3493" s="26">
        <v>0.0</v>
      </c>
      <c r="P3493" s="26">
        <v>950.0</v>
      </c>
      <c r="Q3493" s="35">
        <v>32.0</v>
      </c>
      <c r="R3493" s="32">
        <v>45636.0</v>
      </c>
      <c r="S3493" s="32">
        <v>41750.0</v>
      </c>
      <c r="T3493" s="29"/>
      <c r="U3493" s="33"/>
      <c r="V3493" s="1"/>
    </row>
    <row r="3494" ht="24.0" customHeight="1">
      <c r="A3494" s="1"/>
      <c r="B3494" s="24" t="str">
        <f>HYPERLINK("https://www.compass.com/listing/70-lenox-road-unit-1e-brooklyn-ny-11226/847084097104609609/view?agent_id=610d3f3370540700019b0833","70 Lenox Road, Unit 1E")</f>
        <v>70 Lenox Road, Unit 1E</v>
      </c>
      <c r="C3494" s="25" t="s">
        <v>365</v>
      </c>
      <c r="D3494" s="26" t="s">
        <v>23</v>
      </c>
      <c r="E3494" s="27" t="str">
        <f>HYPERLINK("https://www.compass.com/building/70-lenox-rd-brooklyn-ny-11226/293533789907336869/","70 Lenox Rd")</f>
        <v>70 Lenox Rd</v>
      </c>
      <c r="F3494" s="25" t="s">
        <v>112</v>
      </c>
      <c r="G3494" s="28">
        <v>750000.0</v>
      </c>
      <c r="H3494" s="28">
        <v>625.0</v>
      </c>
      <c r="I3494" s="28">
        <v>615.0</v>
      </c>
      <c r="J3494" s="28">
        <v>0.0</v>
      </c>
      <c r="K3494" s="25" t="s">
        <v>25</v>
      </c>
      <c r="L3494" s="26">
        <v>4.0</v>
      </c>
      <c r="M3494" s="26">
        <v>2.0</v>
      </c>
      <c r="N3494" s="26">
        <v>1.0</v>
      </c>
      <c r="O3494" s="30"/>
      <c r="P3494" s="34">
        <v>1200.0</v>
      </c>
      <c r="Q3494" s="35">
        <v>92.0</v>
      </c>
      <c r="R3494" s="32">
        <v>44513.0</v>
      </c>
      <c r="S3494" s="32">
        <v>44420.0</v>
      </c>
      <c r="T3494" s="29"/>
      <c r="U3494" s="33"/>
      <c r="V3494" s="1"/>
    </row>
    <row r="3495" ht="24.0" customHeight="1">
      <c r="A3495" s="1"/>
      <c r="B3495" s="24" t="str">
        <f>HYPERLINK("https://www.compass.com/listing/270-seaman-avenue-unit-e6-manhattan-ny-10034/803357488057201329/view?agent_id=610d3f3370540700019b0833","270 Seaman Avenue, Unit E6")</f>
        <v>270 Seaman Avenue, Unit E6</v>
      </c>
      <c r="C3495" s="25" t="s">
        <v>364</v>
      </c>
      <c r="D3495" s="26" t="s">
        <v>23</v>
      </c>
      <c r="E3495" s="27" t="str">
        <f t="shared" ref="E3495:E3497" si="119">HYPERLINK("https://www.compass.com/building/270-seaman-ave-manhattan-ny-10034/282014878107961973/","270 Seaman Ave")</f>
        <v>270 Seaman Ave</v>
      </c>
      <c r="F3495" s="25" t="s">
        <v>81</v>
      </c>
      <c r="G3495" s="28">
        <v>589000.0</v>
      </c>
      <c r="H3495" s="28">
        <v>610.0</v>
      </c>
      <c r="I3495" s="28">
        <v>705.0</v>
      </c>
      <c r="J3495" s="29"/>
      <c r="K3495" s="25" t="s">
        <v>25</v>
      </c>
      <c r="L3495" s="26">
        <v>4.0</v>
      </c>
      <c r="M3495" s="26">
        <v>2.0</v>
      </c>
      <c r="N3495" s="26">
        <v>1.0</v>
      </c>
      <c r="O3495" s="26">
        <v>0.0</v>
      </c>
      <c r="P3495" s="26">
        <v>965.0</v>
      </c>
      <c r="Q3495" s="35">
        <v>47.0</v>
      </c>
      <c r="R3495" s="32">
        <v>45636.0</v>
      </c>
      <c r="S3495" s="32">
        <v>43681.0</v>
      </c>
      <c r="T3495" s="29"/>
      <c r="U3495" s="33"/>
      <c r="V3495" s="1"/>
    </row>
    <row r="3496" ht="24.0" customHeight="1">
      <c r="A3496" s="1"/>
      <c r="B3496" s="24" t="str">
        <f>HYPERLINK("https://www.compass.com/listing/270-seaman-avenue-unit-e6-manhattan-ny-10034/922030493696275777/view?agent_id=610d3f3370540700019b0833","270 Seaman Avenue, Unit E6")</f>
        <v>270 Seaman Avenue, Unit E6</v>
      </c>
      <c r="C3496" s="25" t="s">
        <v>364</v>
      </c>
      <c r="D3496" s="26" t="s">
        <v>23</v>
      </c>
      <c r="E3496" s="27" t="str">
        <f t="shared" si="119"/>
        <v>270 Seaman Ave</v>
      </c>
      <c r="F3496" s="25" t="s">
        <v>81</v>
      </c>
      <c r="G3496" s="28">
        <v>589000.0</v>
      </c>
      <c r="H3496" s="28">
        <v>610.0</v>
      </c>
      <c r="I3496" s="28">
        <v>705.0</v>
      </c>
      <c r="J3496" s="29"/>
      <c r="K3496" s="25" t="s">
        <v>25</v>
      </c>
      <c r="L3496" s="26">
        <v>4.0</v>
      </c>
      <c r="M3496" s="26">
        <v>2.0</v>
      </c>
      <c r="N3496" s="26">
        <v>1.0</v>
      </c>
      <c r="O3496" s="26">
        <v>0.0</v>
      </c>
      <c r="P3496" s="26">
        <v>965.0</v>
      </c>
      <c r="Q3496" s="35">
        <v>212.0</v>
      </c>
      <c r="R3496" s="32">
        <v>45636.0</v>
      </c>
      <c r="S3496" s="32">
        <v>43434.0</v>
      </c>
      <c r="T3496" s="29"/>
      <c r="U3496" s="33"/>
      <c r="V3496" s="1"/>
    </row>
    <row r="3497" ht="24.0" customHeight="1">
      <c r="A3497" s="1"/>
      <c r="B3497" s="24" t="str">
        <f>HYPERLINK("https://www.compass.com/listing/270-seaman-avenue-unit-d5-manhattan-ny-10034/1838870711532082537/view?agent_id=610d3f3370540700019b0833","270 Seaman Avenue, Unit D5")</f>
        <v>270 Seaman Avenue, Unit D5</v>
      </c>
      <c r="C3497" s="25" t="s">
        <v>364</v>
      </c>
      <c r="D3497" s="26" t="s">
        <v>23</v>
      </c>
      <c r="E3497" s="27" t="str">
        <f t="shared" si="119"/>
        <v>270 Seaman Ave</v>
      </c>
      <c r="F3497" s="25" t="s">
        <v>81</v>
      </c>
      <c r="G3497" s="28">
        <v>425000.0</v>
      </c>
      <c r="H3497" s="29"/>
      <c r="I3497" s="28">
        <v>658.0</v>
      </c>
      <c r="J3497" s="29"/>
      <c r="K3497" s="25" t="s">
        <v>110</v>
      </c>
      <c r="L3497" s="26">
        <v>5.0</v>
      </c>
      <c r="M3497" s="26">
        <v>2.0</v>
      </c>
      <c r="N3497" s="26">
        <v>0.0</v>
      </c>
      <c r="O3497" s="26">
        <v>0.0</v>
      </c>
      <c r="P3497" s="30"/>
      <c r="Q3497" s="35">
        <v>267.0</v>
      </c>
      <c r="R3497" s="32">
        <v>44581.0</v>
      </c>
      <c r="S3497" s="32">
        <v>41185.0</v>
      </c>
      <c r="T3497" s="29"/>
      <c r="U3497" s="33"/>
      <c r="V3497" s="1"/>
    </row>
    <row r="3498" ht="24.0" customHeight="1">
      <c r="A3498" s="1"/>
      <c r="B3498" s="24" t="str">
        <f>HYPERLINK("https://www.compass.com/listing/109-seaman-avenue-unit-3e-manhattan-ny-10034/1457288465719376641/view?agent_id=610d3f3370540700019b0833","109 Seaman Avenue, Unit 3E")</f>
        <v>109 Seaman Avenue, Unit 3E</v>
      </c>
      <c r="C3498" s="25" t="s">
        <v>365</v>
      </c>
      <c r="D3498" s="26" t="s">
        <v>23</v>
      </c>
      <c r="E3498" s="27" t="str">
        <f>HYPERLINK("https://www.compass.com/building/109-seaman-ave-manhattan-ny-10034/282014130364223781/","109 Seaman Ave")</f>
        <v>109 Seaman Ave</v>
      </c>
      <c r="F3498" s="25" t="s">
        <v>81</v>
      </c>
      <c r="G3498" s="28">
        <v>599000.0</v>
      </c>
      <c r="H3498" s="28">
        <v>560.0</v>
      </c>
      <c r="I3498" s="28">
        <v>1213.0</v>
      </c>
      <c r="J3498" s="28">
        <v>0.0</v>
      </c>
      <c r="K3498" s="25" t="s">
        <v>25</v>
      </c>
      <c r="L3498" s="26">
        <v>5.0</v>
      </c>
      <c r="M3498" s="26">
        <v>2.0</v>
      </c>
      <c r="N3498" s="26">
        <v>1.0</v>
      </c>
      <c r="O3498" s="30"/>
      <c r="P3498" s="34">
        <v>1070.0</v>
      </c>
      <c r="Q3498" s="35">
        <v>253.0</v>
      </c>
      <c r="R3498" s="32">
        <v>45516.0</v>
      </c>
      <c r="S3498" s="32">
        <v>45262.0</v>
      </c>
      <c r="T3498" s="29"/>
      <c r="U3498" s="33"/>
      <c r="V3498" s="1"/>
    </row>
    <row r="3499" ht="24.0" customHeight="1">
      <c r="A3499" s="1"/>
      <c r="B3499" s="24" t="str">
        <f>HYPERLINK("https://www.compass.com/listing/150-west-56th-street-unit-5806-manhattan-ny-10019/4824869502044870321/view?agent_id=610d3f3370540700019b0833","150 West 56th Street, Unit 5806")</f>
        <v>150 West 56th Street, Unit 5806</v>
      </c>
      <c r="C3499" s="25" t="s">
        <v>364</v>
      </c>
      <c r="D3499" s="26" t="s">
        <v>23</v>
      </c>
      <c r="E3499" s="27" t="str">
        <f>HYPERLINK("https://www.compass.com/building/cityspire-manhattan-ny/281943965303891365/","CitySpire")</f>
        <v>CitySpire</v>
      </c>
      <c r="F3499" s="25" t="s">
        <v>67</v>
      </c>
      <c r="G3499" s="28">
        <v>2345000.0</v>
      </c>
      <c r="H3499" s="28">
        <v>1954.0</v>
      </c>
      <c r="I3499" s="28">
        <v>2843.0</v>
      </c>
      <c r="J3499" s="28">
        <v>17076.0</v>
      </c>
      <c r="K3499" s="25" t="s">
        <v>28</v>
      </c>
      <c r="L3499" s="26">
        <v>4.0</v>
      </c>
      <c r="M3499" s="26">
        <v>2.0</v>
      </c>
      <c r="N3499" s="26">
        <v>0.0</v>
      </c>
      <c r="O3499" s="26">
        <v>0.0</v>
      </c>
      <c r="P3499" s="34">
        <v>1200.0</v>
      </c>
      <c r="Q3499" s="35">
        <v>44.0</v>
      </c>
      <c r="R3499" s="32">
        <v>45636.0</v>
      </c>
      <c r="S3499" s="32">
        <v>42461.0</v>
      </c>
      <c r="T3499" s="29"/>
      <c r="U3499" s="33"/>
      <c r="V3499" s="1"/>
    </row>
    <row r="3500" ht="24.0" customHeight="1">
      <c r="A3500" s="1"/>
      <c r="B3500" s="24" t="str">
        <f>HYPERLINK("https://www.compass.com/listing/270-seaman-avenue-unit-d5-manhattan-ny-10034/167876727152853137/view?agent_id=610d3f3370540700019b0833","270 Seaman Avenue, Unit D5")</f>
        <v>270 Seaman Avenue, Unit D5</v>
      </c>
      <c r="C3500" s="25" t="s">
        <v>364</v>
      </c>
      <c r="D3500" s="26" t="s">
        <v>23</v>
      </c>
      <c r="E3500" s="27" t="str">
        <f>HYPERLINK("https://www.compass.com/building/270-seaman-ave-manhattan-ny-10034/282014878107961973/","270 Seaman Ave")</f>
        <v>270 Seaman Ave</v>
      </c>
      <c r="F3500" s="25" t="s">
        <v>81</v>
      </c>
      <c r="G3500" s="28">
        <v>410000.0</v>
      </c>
      <c r="H3500" s="29"/>
      <c r="I3500" s="28">
        <v>658.0</v>
      </c>
      <c r="J3500" s="29"/>
      <c r="K3500" s="25" t="s">
        <v>25</v>
      </c>
      <c r="L3500" s="26">
        <v>4.0</v>
      </c>
      <c r="M3500" s="26">
        <v>2.0</v>
      </c>
      <c r="N3500" s="26">
        <v>0.0</v>
      </c>
      <c r="O3500" s="26">
        <v>0.0</v>
      </c>
      <c r="P3500" s="30"/>
      <c r="Q3500" s="35">
        <v>182.0</v>
      </c>
      <c r="R3500" s="32">
        <v>44581.0</v>
      </c>
      <c r="S3500" s="32">
        <v>41452.0</v>
      </c>
      <c r="T3500" s="28">
        <v>410000.0</v>
      </c>
      <c r="U3500" s="32">
        <v>41635.0</v>
      </c>
      <c r="V3500" s="1"/>
    </row>
    <row r="3501" ht="24.0" customHeight="1">
      <c r="A3501" s="1"/>
      <c r="B3501" s="24" t="str">
        <f>HYPERLINK("https://www.compass.com/listing/680-west-204th-street-unit-1b-manhattan-ny-10034/888520352220888673/view?agent_id=610d3f3370540700019b0833","680 West 204th Street, Unit 1B")</f>
        <v>680 West 204th Street, Unit 1B</v>
      </c>
      <c r="C3501" s="25" t="s">
        <v>370</v>
      </c>
      <c r="D3501" s="26" t="s">
        <v>23</v>
      </c>
      <c r="E3501" s="27" t="str">
        <f>HYPERLINK("https://www.compass.com/building/680-w-204th-st-manhattan-ny-10034/282060364311462373/","680 W 204th St")</f>
        <v>680 W 204th St</v>
      </c>
      <c r="F3501" s="25" t="s">
        <v>81</v>
      </c>
      <c r="G3501" s="28">
        <v>499000.0</v>
      </c>
      <c r="H3501" s="28">
        <v>454.0</v>
      </c>
      <c r="I3501" s="28">
        <v>1930.0</v>
      </c>
      <c r="J3501" s="28">
        <v>0.0</v>
      </c>
      <c r="K3501" s="25" t="s">
        <v>25</v>
      </c>
      <c r="L3501" s="26">
        <v>5.0</v>
      </c>
      <c r="M3501" s="26">
        <v>2.0</v>
      </c>
      <c r="N3501" s="26">
        <v>1.0</v>
      </c>
      <c r="O3501" s="26">
        <v>0.0</v>
      </c>
      <c r="P3501" s="34">
        <v>1100.0</v>
      </c>
      <c r="Q3501" s="35">
        <v>313.0</v>
      </c>
      <c r="R3501" s="32">
        <v>44791.0</v>
      </c>
      <c r="S3501" s="32">
        <v>44477.0</v>
      </c>
      <c r="T3501" s="29"/>
      <c r="U3501" s="33"/>
      <c r="V3501" s="1"/>
    </row>
    <row r="3502" ht="24.0" customHeight="1">
      <c r="A3502" s="1"/>
      <c r="B3502" s="24" t="str">
        <f>HYPERLINK("https://www.compass.com/listing/270-seaman-avenue-unit-a8-manhattan-ny-10034/811536455836028025/view?agent_id=610d3f3370540700019b0833","270 Seaman Avenue, Unit A8")</f>
        <v>270 Seaman Avenue, Unit A8</v>
      </c>
      <c r="C3502" s="25" t="s">
        <v>364</v>
      </c>
      <c r="D3502" s="26" t="s">
        <v>23</v>
      </c>
      <c r="E3502" s="27" t="str">
        <f>HYPERLINK("https://www.compass.com/building/270-seaman-ave-manhattan-ny-10034/282014878107961973/","270 Seaman Ave")</f>
        <v>270 Seaman Ave</v>
      </c>
      <c r="F3502" s="25" t="s">
        <v>81</v>
      </c>
      <c r="G3502" s="28">
        <v>495000.0</v>
      </c>
      <c r="H3502" s="29"/>
      <c r="I3502" s="28">
        <v>528.0</v>
      </c>
      <c r="J3502" s="28">
        <v>0.0</v>
      </c>
      <c r="K3502" s="25" t="s">
        <v>25</v>
      </c>
      <c r="L3502" s="26">
        <v>5.0</v>
      </c>
      <c r="M3502" s="26">
        <v>2.0</v>
      </c>
      <c r="N3502" s="26">
        <v>1.0</v>
      </c>
      <c r="O3502" s="26">
        <v>0.0</v>
      </c>
      <c r="P3502" s="30"/>
      <c r="Q3502" s="35">
        <v>139.0</v>
      </c>
      <c r="R3502" s="32">
        <v>44652.0</v>
      </c>
      <c r="S3502" s="32">
        <v>44512.0</v>
      </c>
      <c r="T3502" s="29"/>
      <c r="U3502" s="33"/>
      <c r="V3502" s="1"/>
    </row>
    <row r="3503" ht="24.0" customHeight="1">
      <c r="A3503" s="1"/>
      <c r="B3503" s="24" t="str">
        <f>HYPERLINK("https://www.compass.com/listing/100-west-57th-street-unit-20-21e-manhattan-ny-10019/803299345273143193/view?agent_id=610d3f3370540700019b0833","100 West 57th Street, Unit 20/21E")</f>
        <v>100 West 57th Street, Unit 20/21E</v>
      </c>
      <c r="C3503" s="25" t="s">
        <v>370</v>
      </c>
      <c r="D3503" s="26" t="s">
        <v>23</v>
      </c>
      <c r="E3503" s="27" t="str">
        <f>HYPERLINK("https://www.compass.com/building/carnegie-house-manhattan-ny/282058607502064277/","Carnegie House")</f>
        <v>Carnegie House</v>
      </c>
      <c r="F3503" s="25" t="s">
        <v>67</v>
      </c>
      <c r="G3503" s="28">
        <v>999000.0</v>
      </c>
      <c r="H3503" s="28">
        <v>768.0</v>
      </c>
      <c r="I3503" s="28">
        <v>3543.0</v>
      </c>
      <c r="J3503" s="29"/>
      <c r="K3503" s="25" t="s">
        <v>25</v>
      </c>
      <c r="L3503" s="26">
        <v>4.0</v>
      </c>
      <c r="M3503" s="26">
        <v>2.0</v>
      </c>
      <c r="N3503" s="26">
        <v>0.0</v>
      </c>
      <c r="O3503" s="26">
        <v>0.0</v>
      </c>
      <c r="P3503" s="34">
        <v>1300.0</v>
      </c>
      <c r="Q3503" s="35">
        <v>286.0</v>
      </c>
      <c r="R3503" s="32">
        <v>45636.0</v>
      </c>
      <c r="S3503" s="32">
        <v>42403.0</v>
      </c>
      <c r="T3503" s="29"/>
      <c r="U3503" s="33"/>
      <c r="V3503" s="1"/>
    </row>
    <row r="3504" ht="24.0" customHeight="1">
      <c r="A3504" s="1"/>
      <c r="B3504" s="24" t="str">
        <f>HYPERLINK("https://www.compass.com/listing/303-cooper-street-unit-ph-305-brooklyn-ny-11237/4852267217309402289/view?agent_id=610d3f3370540700019b0833","303 Cooper Street, Unit PH(305)")</f>
        <v>303 Cooper Street, Unit PH(305)</v>
      </c>
      <c r="C3504" s="25" t="s">
        <v>364</v>
      </c>
      <c r="D3504" s="26" t="s">
        <v>23</v>
      </c>
      <c r="E3504" s="27" t="str">
        <f>HYPERLINK("https://www.compass.com/building/303-cooper-st-brooklyn-ny-11237/282436881982021365/","303 Cooper St")</f>
        <v>303 Cooper St</v>
      </c>
      <c r="F3504" s="25" t="s">
        <v>82</v>
      </c>
      <c r="G3504" s="28">
        <v>625000.0</v>
      </c>
      <c r="H3504" s="28">
        <v>679.0</v>
      </c>
      <c r="I3504" s="28">
        <v>1081.0</v>
      </c>
      <c r="J3504" s="28">
        <v>5904.0</v>
      </c>
      <c r="K3504" s="25" t="s">
        <v>28</v>
      </c>
      <c r="L3504" s="26">
        <v>5.0</v>
      </c>
      <c r="M3504" s="26">
        <v>2.0</v>
      </c>
      <c r="N3504" s="26">
        <v>0.0</v>
      </c>
      <c r="O3504" s="26">
        <v>0.0</v>
      </c>
      <c r="P3504" s="26">
        <v>920.0</v>
      </c>
      <c r="Q3504" s="35">
        <v>637.0</v>
      </c>
      <c r="R3504" s="32">
        <v>44581.0</v>
      </c>
      <c r="S3504" s="32">
        <v>42241.0</v>
      </c>
      <c r="T3504" s="29"/>
      <c r="U3504" s="33"/>
      <c r="V3504" s="1"/>
    </row>
    <row r="3505" ht="24.0" customHeight="1">
      <c r="A3505" s="1"/>
      <c r="B3505" s="24" t="str">
        <f>HYPERLINK("https://www.compass.com/listing/230-west-56th-street-unit-52c-manhattan-ny-10019/29509797409784321/view?agent_id=610d3f3370540700019b0833","230 West 56th Street, Unit 52C")</f>
        <v>230 West 56th Street, Unit 52C</v>
      </c>
      <c r="C3505" s="25" t="s">
        <v>370</v>
      </c>
      <c r="D3505" s="26" t="s">
        <v>23</v>
      </c>
      <c r="E3505" s="27" t="str">
        <f>HYPERLINK("https://www.compass.com/building/the-park-imperial-manhattan-ny/281944268837285637/","The Park Imperial")</f>
        <v>The Park Imperial</v>
      </c>
      <c r="F3505" s="25" t="s">
        <v>67</v>
      </c>
      <c r="G3505" s="28">
        <v>3900000.0</v>
      </c>
      <c r="H3505" s="28">
        <v>2762.0</v>
      </c>
      <c r="I3505" s="28">
        <v>4275.0</v>
      </c>
      <c r="J3505" s="28">
        <v>23124.0</v>
      </c>
      <c r="K3505" s="25" t="s">
        <v>28</v>
      </c>
      <c r="L3505" s="26">
        <v>6.0</v>
      </c>
      <c r="M3505" s="26">
        <v>2.0</v>
      </c>
      <c r="N3505" s="26">
        <v>0.0</v>
      </c>
      <c r="O3505" s="26">
        <v>0.0</v>
      </c>
      <c r="P3505" s="34">
        <v>1412.0</v>
      </c>
      <c r="Q3505" s="35">
        <v>468.0</v>
      </c>
      <c r="R3505" s="32">
        <v>45636.0</v>
      </c>
      <c r="S3505" s="32">
        <v>43012.0</v>
      </c>
      <c r="T3505" s="29"/>
      <c r="U3505" s="33"/>
      <c r="V3505" s="1"/>
    </row>
    <row r="3506" ht="24.0" customHeight="1">
      <c r="A3506" s="1"/>
      <c r="B3506" s="24" t="str">
        <f>HYPERLINK("https://www.compass.com/listing/98-park-terrace-east-unit-1c-manhattan-ny-10034/1553073011525888817/view?agent_id=610d3f3370540700019b0833","98 Park Terrace East, Unit 1C")</f>
        <v>98 Park Terrace East, Unit 1C</v>
      </c>
      <c r="C3506" s="25" t="s">
        <v>365</v>
      </c>
      <c r="D3506" s="26" t="s">
        <v>23</v>
      </c>
      <c r="E3506" s="27" t="str">
        <f>HYPERLINK("https://www.compass.com/building/98-park-ter-e-manhattan-ny-10034/282016316980727429/","98 Park Ter E")</f>
        <v>98 Park Ter E</v>
      </c>
      <c r="F3506" s="25" t="s">
        <v>81</v>
      </c>
      <c r="G3506" s="28">
        <v>529000.0</v>
      </c>
      <c r="H3506" s="28">
        <v>529.0</v>
      </c>
      <c r="I3506" s="28">
        <v>1628.0</v>
      </c>
      <c r="J3506" s="28">
        <v>0.0</v>
      </c>
      <c r="K3506" s="25" t="s">
        <v>25</v>
      </c>
      <c r="L3506" s="26">
        <v>5.0</v>
      </c>
      <c r="M3506" s="26">
        <v>2.0</v>
      </c>
      <c r="N3506" s="26">
        <v>1.0</v>
      </c>
      <c r="O3506" s="30"/>
      <c r="P3506" s="34">
        <v>1000.0</v>
      </c>
      <c r="Q3506" s="35">
        <v>144.0</v>
      </c>
      <c r="R3506" s="32">
        <v>45539.0</v>
      </c>
      <c r="S3506" s="32">
        <v>45394.0</v>
      </c>
      <c r="T3506" s="29"/>
      <c r="U3506" s="33"/>
      <c r="V3506" s="1"/>
    </row>
    <row r="3507" ht="24.0" customHeight="1">
      <c r="A3507" s="1"/>
      <c r="B3507" s="24" t="str">
        <f>HYPERLINK("https://www.compass.com/listing/159-00-riverside-drive-west-unit-2j-manhattan-ny-10032/221639445378524145/view?agent_id=610d3f3370540700019b0833","159-00 Riverside Drive West, Unit 2J")</f>
        <v>159-00 Riverside Drive West, Unit 2J</v>
      </c>
      <c r="C3507" s="25" t="s">
        <v>364</v>
      </c>
      <c r="D3507" s="26" t="s">
        <v>23</v>
      </c>
      <c r="E3507" s="27" t="str">
        <f>HYPERLINK("https://www.compass.com/building/the-river-arts-manhattan-ny/282059396610031317/","The River Arts")</f>
        <v>The River Arts</v>
      </c>
      <c r="F3507" s="25" t="s">
        <v>77</v>
      </c>
      <c r="G3507" s="28">
        <v>785000.0</v>
      </c>
      <c r="H3507" s="28">
        <v>826.0</v>
      </c>
      <c r="I3507" s="28">
        <v>807.0</v>
      </c>
      <c r="J3507" s="29"/>
      <c r="K3507" s="25" t="s">
        <v>25</v>
      </c>
      <c r="L3507" s="26">
        <v>5.0</v>
      </c>
      <c r="M3507" s="26">
        <v>2.0</v>
      </c>
      <c r="N3507" s="26">
        <v>1.0</v>
      </c>
      <c r="O3507" s="26">
        <v>0.0</v>
      </c>
      <c r="P3507" s="26">
        <v>950.0</v>
      </c>
      <c r="Q3507" s="35">
        <v>59.0</v>
      </c>
      <c r="R3507" s="32">
        <v>45636.0</v>
      </c>
      <c r="S3507" s="32">
        <v>43557.0</v>
      </c>
      <c r="T3507" s="29"/>
      <c r="U3507" s="33"/>
      <c r="V3507" s="1"/>
    </row>
    <row r="3508" ht="24.0" customHeight="1">
      <c r="A3508" s="1"/>
      <c r="B3508" s="24" t="str">
        <f>HYPERLINK("https://www.compass.com/listing/50-park-terrace-east-unit-2f-manhattan-ny-10034/968171378342188745/view?agent_id=610d3f3370540700019b0833","50 Park Terrace East, Unit 2F")</f>
        <v>50 Park Terrace East, Unit 2F</v>
      </c>
      <c r="C3508" s="25" t="s">
        <v>370</v>
      </c>
      <c r="D3508" s="26" t="s">
        <v>23</v>
      </c>
      <c r="E3508" s="27" t="str">
        <f t="shared" ref="E3508:E3509" si="120">HYPERLINK("https://www.compass.com/building/50-park-ter-e-manhattan-ny-10034/292912880838256357/","50 Park Ter E")</f>
        <v>50 Park Ter E</v>
      </c>
      <c r="F3508" s="25" t="s">
        <v>81</v>
      </c>
      <c r="G3508" s="28">
        <v>569000.0</v>
      </c>
      <c r="H3508" s="28">
        <v>593.0</v>
      </c>
      <c r="I3508" s="28">
        <v>1022.0</v>
      </c>
      <c r="J3508" s="29"/>
      <c r="K3508" s="25" t="s">
        <v>25</v>
      </c>
      <c r="L3508" s="26">
        <v>4.0</v>
      </c>
      <c r="M3508" s="26">
        <v>2.0</v>
      </c>
      <c r="N3508" s="26">
        <v>1.0</v>
      </c>
      <c r="O3508" s="26">
        <v>0.0</v>
      </c>
      <c r="P3508" s="26">
        <v>960.0</v>
      </c>
      <c r="Q3508" s="35">
        <v>149.0</v>
      </c>
      <c r="R3508" s="32">
        <v>45636.0</v>
      </c>
      <c r="S3508" s="32">
        <v>44587.0</v>
      </c>
      <c r="T3508" s="29"/>
      <c r="U3508" s="33"/>
      <c r="V3508" s="1"/>
    </row>
    <row r="3509" ht="24.0" customHeight="1">
      <c r="A3509" s="1"/>
      <c r="B3509" s="24" t="str">
        <f>HYPERLINK("https://www.compass.com/listing/50-park-terrace-east-unit-2f-manhattan-ny-10034/1080313212662532169/view?agent_id=610d3f3370540700019b0833","50 Park Terrace East, Unit 2F")</f>
        <v>50 Park Terrace East, Unit 2F</v>
      </c>
      <c r="C3509" s="25" t="s">
        <v>364</v>
      </c>
      <c r="D3509" s="26" t="s">
        <v>23</v>
      </c>
      <c r="E3509" s="27" t="str">
        <f t="shared" si="120"/>
        <v>50 Park Ter E</v>
      </c>
      <c r="F3509" s="25" t="s">
        <v>81</v>
      </c>
      <c r="G3509" s="28">
        <v>525000.0</v>
      </c>
      <c r="H3509" s="28">
        <v>547.0</v>
      </c>
      <c r="I3509" s="28">
        <v>1022.0</v>
      </c>
      <c r="J3509" s="28">
        <v>0.0</v>
      </c>
      <c r="K3509" s="25" t="s">
        <v>25</v>
      </c>
      <c r="L3509" s="26">
        <v>5.0</v>
      </c>
      <c r="M3509" s="26">
        <v>2.0</v>
      </c>
      <c r="N3509" s="26">
        <v>1.0</v>
      </c>
      <c r="O3509" s="26">
        <v>0.0</v>
      </c>
      <c r="P3509" s="26">
        <v>960.0</v>
      </c>
      <c r="Q3509" s="35">
        <v>131.0</v>
      </c>
      <c r="R3509" s="32">
        <v>44875.0</v>
      </c>
      <c r="S3509" s="32">
        <v>44743.0</v>
      </c>
      <c r="T3509" s="29"/>
      <c r="U3509" s="33"/>
      <c r="V3509" s="1"/>
    </row>
    <row r="3510" ht="24.0" customHeight="1">
      <c r="A3510" s="1"/>
      <c r="B3510" s="24" t="str">
        <f>HYPERLINK("https://www.compass.com/listing/319-east-105th-street-unit-5b-manhattan-ny-10029/253517273006873521/view?agent_id=610d3f3370540700019b0833","319 East 105th Street, Unit 5B")</f>
        <v>319 East 105th Street, Unit 5B</v>
      </c>
      <c r="C3510" s="25" t="s">
        <v>364</v>
      </c>
      <c r="D3510" s="26" t="s">
        <v>23</v>
      </c>
      <c r="E3510" s="27" t="str">
        <f>HYPERLINK("https://www.compass.com/building/319-e-105th-st-manhattan-ny-10029/281927102012367349/","319 E 105th St")</f>
        <v>319 E 105th St</v>
      </c>
      <c r="F3510" s="25" t="s">
        <v>133</v>
      </c>
      <c r="G3510" s="28">
        <v>597500.0</v>
      </c>
      <c r="H3510" s="28">
        <v>791.0</v>
      </c>
      <c r="I3510" s="28">
        <v>1292.0</v>
      </c>
      <c r="J3510" s="28">
        <v>6912.0</v>
      </c>
      <c r="K3510" s="25" t="s">
        <v>28</v>
      </c>
      <c r="L3510" s="26">
        <v>4.0</v>
      </c>
      <c r="M3510" s="26">
        <v>2.0</v>
      </c>
      <c r="N3510" s="26">
        <v>1.0</v>
      </c>
      <c r="O3510" s="26">
        <v>0.0</v>
      </c>
      <c r="P3510" s="26">
        <v>755.0</v>
      </c>
      <c r="Q3510" s="35">
        <v>60.0</v>
      </c>
      <c r="R3510" s="32">
        <v>45636.0</v>
      </c>
      <c r="S3510" s="32">
        <v>43601.0</v>
      </c>
      <c r="T3510" s="29"/>
      <c r="U3510" s="33"/>
      <c r="V3510" s="1"/>
    </row>
    <row r="3511" ht="24.0" customHeight="1">
      <c r="A3511" s="1"/>
      <c r="B3511" s="24" t="str">
        <f>HYPERLINK("https://www.compass.com/listing/1825-riverside-drive-unit-1f-manhattan-ny-10034/1826238952642271521/view?agent_id=610d3f3370540700019b0833","1825 Riverside Drive, Unit 1F")</f>
        <v>1825 Riverside Drive, Unit 1F</v>
      </c>
      <c r="C3511" s="25" t="s">
        <v>364</v>
      </c>
      <c r="D3511" s="26" t="s">
        <v>23</v>
      </c>
      <c r="E3511" s="27" t="str">
        <f>HYPERLINK("https://www.compass.com/building/1825-riverside-dr-manhattan-ny-10034/282014591376953989/","1825 Riverside Dr")</f>
        <v>1825 Riverside Dr</v>
      </c>
      <c r="F3511" s="25" t="s">
        <v>77</v>
      </c>
      <c r="G3511" s="28">
        <v>529999.0</v>
      </c>
      <c r="H3511" s="28">
        <v>461.0</v>
      </c>
      <c r="I3511" s="28">
        <v>1114.0</v>
      </c>
      <c r="J3511" s="29"/>
      <c r="K3511" s="25" t="s">
        <v>25</v>
      </c>
      <c r="L3511" s="26">
        <v>6.0</v>
      </c>
      <c r="M3511" s="26">
        <v>2.0</v>
      </c>
      <c r="N3511" s="26">
        <v>1.0</v>
      </c>
      <c r="O3511" s="30"/>
      <c r="P3511" s="34">
        <v>1150.0</v>
      </c>
      <c r="Q3511" s="35">
        <v>0.0</v>
      </c>
      <c r="R3511" s="32">
        <v>45772.0</v>
      </c>
      <c r="S3511" s="32">
        <v>45771.0</v>
      </c>
      <c r="T3511" s="29"/>
      <c r="U3511" s="33"/>
      <c r="V3511" s="1"/>
    </row>
    <row r="3512" ht="24.0" customHeight="1">
      <c r="A3512" s="1"/>
      <c r="B3512" s="24" t="str">
        <f>HYPERLINK("https://www.compass.com/listing/90-park-terrace-east-unit-5f-manhattan-ny-10034/1260917150710462281/view?agent_id=610d3f3370540700019b0833","90 Park Terrace East, Unit 5F")</f>
        <v>90 Park Terrace East, Unit 5F</v>
      </c>
      <c r="C3512" s="25" t="s">
        <v>365</v>
      </c>
      <c r="D3512" s="26" t="s">
        <v>23</v>
      </c>
      <c r="E3512" s="27" t="str">
        <f>HYPERLINK("https://www.compass.com/building/90-park-ter-e-manhattan-ny-10034/282016250618449493/","90 Park Ter E")</f>
        <v>90 Park Ter E</v>
      </c>
      <c r="F3512" s="25" t="s">
        <v>81</v>
      </c>
      <c r="G3512" s="28">
        <v>450000.0</v>
      </c>
      <c r="H3512" s="29"/>
      <c r="I3512" s="28">
        <v>1586.0</v>
      </c>
      <c r="J3512" s="28">
        <v>0.0</v>
      </c>
      <c r="K3512" s="25" t="s">
        <v>25</v>
      </c>
      <c r="L3512" s="26">
        <v>5.0</v>
      </c>
      <c r="M3512" s="26">
        <v>2.0</v>
      </c>
      <c r="N3512" s="26">
        <v>1.0</v>
      </c>
      <c r="O3512" s="26">
        <v>0.0</v>
      </c>
      <c r="P3512" s="30"/>
      <c r="Q3512" s="35">
        <v>112.0</v>
      </c>
      <c r="R3512" s="32">
        <v>45104.0</v>
      </c>
      <c r="S3512" s="32">
        <v>44991.0</v>
      </c>
      <c r="T3512" s="29"/>
      <c r="U3512" s="33"/>
      <c r="V3512" s="1"/>
    </row>
    <row r="3513" ht="24.0" customHeight="1">
      <c r="A3513" s="1"/>
      <c r="B3513" s="24" t="str">
        <f>HYPERLINK("https://www.compass.com/listing/675-academy-street-unit-4c-manhattan-ny-10034/29437005557524417/view?agent_id=610d3f3370540700019b0833","675 Academy Street, Unit 4C")</f>
        <v>675 Academy Street, Unit 4C</v>
      </c>
      <c r="C3513" s="25" t="s">
        <v>364</v>
      </c>
      <c r="D3513" s="26" t="s">
        <v>23</v>
      </c>
      <c r="E3513" s="27" t="str">
        <f>HYPERLINK("https://www.compass.com/building/the-ivy-league-manhattan-ny/282015897307059813/","The Ivy League")</f>
        <v>The Ivy League</v>
      </c>
      <c r="F3513" s="25" t="s">
        <v>81</v>
      </c>
      <c r="G3513" s="28">
        <v>289000.0</v>
      </c>
      <c r="H3513" s="29"/>
      <c r="I3513" s="28">
        <v>798.0</v>
      </c>
      <c r="J3513" s="29"/>
      <c r="K3513" s="25" t="s">
        <v>25</v>
      </c>
      <c r="L3513" s="26">
        <v>4.0</v>
      </c>
      <c r="M3513" s="26">
        <v>2.0</v>
      </c>
      <c r="N3513" s="26">
        <v>0.0</v>
      </c>
      <c r="O3513" s="26">
        <v>0.0</v>
      </c>
      <c r="P3513" s="30"/>
      <c r="Q3513" s="35">
        <v>0.0</v>
      </c>
      <c r="R3513" s="32">
        <v>44581.0</v>
      </c>
      <c r="S3513" s="32">
        <v>41353.0</v>
      </c>
      <c r="T3513" s="29"/>
      <c r="U3513" s="33"/>
      <c r="V3513" s="1"/>
    </row>
    <row r="3514" ht="24.0" customHeight="1">
      <c r="A3514" s="1"/>
      <c r="B3514" s="24" t="str">
        <f>HYPERLINK("https://www.compass.com/listing/90-park-terrace-east-unit-5f-manhattan-ny-10034/1093497107899795929/view?agent_id=610d3f3370540700019b0833","90 Park Terrace East, Unit 5F")</f>
        <v>90 Park Terrace East, Unit 5F</v>
      </c>
      <c r="C3514" s="25" t="s">
        <v>364</v>
      </c>
      <c r="D3514" s="26" t="s">
        <v>23</v>
      </c>
      <c r="E3514" s="27" t="str">
        <f>HYPERLINK("https://www.compass.com/building/90-park-ter-e-manhattan-ny-10034/282016250618449493/","90 Park Ter E")</f>
        <v>90 Park Ter E</v>
      </c>
      <c r="F3514" s="25" t="s">
        <v>81</v>
      </c>
      <c r="G3514" s="28">
        <v>475000.0</v>
      </c>
      <c r="H3514" s="29"/>
      <c r="I3514" s="28">
        <v>1555.0</v>
      </c>
      <c r="J3514" s="28">
        <v>0.0</v>
      </c>
      <c r="K3514" s="25" t="s">
        <v>25</v>
      </c>
      <c r="L3514" s="26">
        <v>5.0</v>
      </c>
      <c r="M3514" s="26">
        <v>2.0</v>
      </c>
      <c r="N3514" s="26">
        <v>1.0</v>
      </c>
      <c r="O3514" s="30"/>
      <c r="P3514" s="30"/>
      <c r="Q3514" s="35">
        <v>128.0</v>
      </c>
      <c r="R3514" s="32">
        <v>44981.0</v>
      </c>
      <c r="S3514" s="32">
        <v>44760.0</v>
      </c>
      <c r="T3514" s="29"/>
      <c r="U3514" s="33"/>
      <c r="V3514" s="1"/>
    </row>
    <row r="3515" ht="24.0" customHeight="1">
      <c r="A3515" s="1"/>
      <c r="B3515" s="24" t="str">
        <f>HYPERLINK("https://www.compass.com/listing/117-seaman-avenue-unit-5c-manhattan-ny-10034/1545625845336205081/view?agent_id=610d3f3370540700019b0833","117 Seaman Avenue, Unit 5C")</f>
        <v>117 Seaman Avenue, Unit 5C</v>
      </c>
      <c r="C3515" s="25" t="s">
        <v>365</v>
      </c>
      <c r="D3515" s="26" t="s">
        <v>23</v>
      </c>
      <c r="E3515" s="27" t="str">
        <f>HYPERLINK("https://www.compass.com/building/117-seaman-ave-manhattan-ny-10034/294847246348674757/","117 Seaman Ave")</f>
        <v>117 Seaman Ave</v>
      </c>
      <c r="F3515" s="25" t="s">
        <v>81</v>
      </c>
      <c r="G3515" s="28">
        <v>450000.0</v>
      </c>
      <c r="H3515" s="29"/>
      <c r="I3515" s="28">
        <v>956.0</v>
      </c>
      <c r="J3515" s="28">
        <v>0.0</v>
      </c>
      <c r="K3515" s="25" t="s">
        <v>25</v>
      </c>
      <c r="L3515" s="26">
        <v>4.0</v>
      </c>
      <c r="M3515" s="26">
        <v>2.0</v>
      </c>
      <c r="N3515" s="26">
        <v>1.0</v>
      </c>
      <c r="O3515" s="26">
        <v>0.0</v>
      </c>
      <c r="P3515" s="30"/>
      <c r="Q3515" s="35">
        <v>91.0</v>
      </c>
      <c r="R3515" s="32">
        <v>45476.0</v>
      </c>
      <c r="S3515" s="32">
        <v>45384.0</v>
      </c>
      <c r="T3515" s="29"/>
      <c r="U3515" s="33"/>
      <c r="V3515" s="1"/>
    </row>
    <row r="3516" ht="24.0" customHeight="1">
      <c r="A3516" s="1"/>
      <c r="B3516" s="24" t="str">
        <f>HYPERLINK("https://www.compass.com/listing/790-riverside-drive-unit-9c-manhattan-ny-10032/1620673016134984425/view?agent_id=610d3f3370540700019b0833","790 Riverside Drive, Unit 9C")</f>
        <v>790 Riverside Drive, Unit 9C</v>
      </c>
      <c r="C3516" s="25" t="s">
        <v>365</v>
      </c>
      <c r="D3516" s="26" t="s">
        <v>23</v>
      </c>
      <c r="E3516" s="27" t="str">
        <f>HYPERLINK("https://www.compass.com/building/the-riviera-manhattan-ny/282009310966446917/","The Riviera")</f>
        <v>The Riviera</v>
      </c>
      <c r="F3516" s="25" t="s">
        <v>77</v>
      </c>
      <c r="G3516" s="28">
        <v>710000.0</v>
      </c>
      <c r="H3516" s="29"/>
      <c r="I3516" s="28">
        <v>1658.0</v>
      </c>
      <c r="J3516" s="28">
        <v>0.0</v>
      </c>
      <c r="K3516" s="25" t="s">
        <v>25</v>
      </c>
      <c r="L3516" s="26">
        <v>1.0</v>
      </c>
      <c r="M3516" s="26">
        <v>2.0</v>
      </c>
      <c r="N3516" s="30"/>
      <c r="O3516" s="30"/>
      <c r="P3516" s="30"/>
      <c r="Q3516" s="35">
        <v>116.0</v>
      </c>
      <c r="R3516" s="32">
        <v>45671.0</v>
      </c>
      <c r="S3516" s="32">
        <v>45487.0</v>
      </c>
      <c r="T3516" s="29"/>
      <c r="U3516" s="33"/>
      <c r="V3516" s="1"/>
    </row>
    <row r="3517" ht="24.0" customHeight="1">
      <c r="A3517" s="1"/>
      <c r="B3517" s="24" t="str">
        <f>HYPERLINK("https://www.compass.com/listing/1810-3rd-avenue-unit-b5c-manhattan-ny-10029/21776611997180385/view?agent_id=610d3f3370540700019b0833","1810 3rd Avenue, Unit B5C")</f>
        <v>1810 3rd Avenue, Unit B5C</v>
      </c>
      <c r="C3517" s="25" t="s">
        <v>364</v>
      </c>
      <c r="D3517" s="26" t="s">
        <v>23</v>
      </c>
      <c r="E3517" s="27" t="str">
        <f>HYPERLINK("https://www.compass.com/building/the-art-house-condominiums-manhattan-ny/281989881993998229/","The Art House Condominiums")</f>
        <v>The Art House Condominiums</v>
      </c>
      <c r="F3517" s="25" t="s">
        <v>133</v>
      </c>
      <c r="G3517" s="28">
        <v>625950.0</v>
      </c>
      <c r="H3517" s="29"/>
      <c r="I3517" s="28">
        <v>1027.0</v>
      </c>
      <c r="J3517" s="28">
        <v>5442.0</v>
      </c>
      <c r="K3517" s="25" t="s">
        <v>28</v>
      </c>
      <c r="L3517" s="26">
        <v>4.0</v>
      </c>
      <c r="M3517" s="26">
        <v>2.0</v>
      </c>
      <c r="N3517" s="26">
        <v>1.0</v>
      </c>
      <c r="O3517" s="26">
        <v>0.0</v>
      </c>
      <c r="P3517" s="30"/>
      <c r="Q3517" s="35">
        <v>715.0</v>
      </c>
      <c r="R3517" s="32">
        <v>44581.0</v>
      </c>
      <c r="S3517" s="32">
        <v>42200.0</v>
      </c>
      <c r="T3517" s="29"/>
      <c r="U3517" s="33"/>
      <c r="V3517" s="1"/>
    </row>
    <row r="3518" ht="24.0" customHeight="1">
      <c r="A3518" s="1"/>
      <c r="B3518" s="24" t="str">
        <f>HYPERLINK("https://www.compass.com/listing/100-west-57th-street-unit-20-21e-manhattan-ny-10019/1809604933230026993/view?agent_id=610d3f3370540700019b0833","100 West 57th Street, Unit 20/21E")</f>
        <v>100 West 57th Street, Unit 20/21E</v>
      </c>
      <c r="C3518" s="25" t="s">
        <v>364</v>
      </c>
      <c r="D3518" s="26" t="s">
        <v>23</v>
      </c>
      <c r="E3518" s="27" t="str">
        <f>HYPERLINK("https://www.compass.com/building/carnegie-house-manhattan-ny/282058607502064277/","Carnegie House")</f>
        <v>Carnegie House</v>
      </c>
      <c r="F3518" s="25" t="s">
        <v>67</v>
      </c>
      <c r="G3518" s="28">
        <v>1399000.0</v>
      </c>
      <c r="H3518" s="28">
        <v>1076.0</v>
      </c>
      <c r="I3518" s="28">
        <v>3082.0</v>
      </c>
      <c r="J3518" s="29"/>
      <c r="K3518" s="25" t="s">
        <v>25</v>
      </c>
      <c r="L3518" s="26">
        <v>5.0</v>
      </c>
      <c r="M3518" s="26">
        <v>2.0</v>
      </c>
      <c r="N3518" s="26">
        <v>0.0</v>
      </c>
      <c r="O3518" s="26">
        <v>0.0</v>
      </c>
      <c r="P3518" s="34">
        <v>1300.0</v>
      </c>
      <c r="Q3518" s="35">
        <v>1763.0</v>
      </c>
      <c r="R3518" s="32">
        <v>45636.0</v>
      </c>
      <c r="S3518" s="32">
        <v>41173.0</v>
      </c>
      <c r="T3518" s="29"/>
      <c r="U3518" s="33"/>
      <c r="V3518" s="1"/>
    </row>
    <row r="3519" ht="24.0" customHeight="1">
      <c r="A3519" s="1"/>
      <c r="B3519" s="24" t="str">
        <f>HYPERLINK("https://www.compass.com/listing/200-west-54th-street-unit-10g-manhattan-ny-10019/1040507801228344161/view?agent_id=610d3f3370540700019b0833","200 West 54th Street, Unit 10G")</f>
        <v>200 West 54th Street, Unit 10G</v>
      </c>
      <c r="C3519" s="25" t="s">
        <v>364</v>
      </c>
      <c r="D3519" s="26" t="s">
        <v>23</v>
      </c>
      <c r="E3519" s="27" t="str">
        <f>HYPERLINK("https://www.compass.com/building/the-adlon-manhattan-ny/292848968814103589/","The Adlon")</f>
        <v>The Adlon</v>
      </c>
      <c r="F3519" s="25" t="s">
        <v>67</v>
      </c>
      <c r="G3519" s="28">
        <v>1295000.0</v>
      </c>
      <c r="H3519" s="28">
        <v>925.0</v>
      </c>
      <c r="I3519" s="28">
        <v>2665.0</v>
      </c>
      <c r="J3519" s="29"/>
      <c r="K3519" s="25" t="s">
        <v>25</v>
      </c>
      <c r="L3519" s="26">
        <v>5.0</v>
      </c>
      <c r="M3519" s="26">
        <v>2.0</v>
      </c>
      <c r="N3519" s="26">
        <v>1.0</v>
      </c>
      <c r="O3519" s="26">
        <v>0.0</v>
      </c>
      <c r="P3519" s="34">
        <v>1400.0</v>
      </c>
      <c r="Q3519" s="35">
        <v>72.0</v>
      </c>
      <c r="R3519" s="32">
        <v>45636.0</v>
      </c>
      <c r="S3519" s="32">
        <v>44690.0</v>
      </c>
      <c r="T3519" s="29"/>
      <c r="U3519" s="33"/>
      <c r="V3519" s="1"/>
    </row>
    <row r="3520" ht="24.0" customHeight="1">
      <c r="A3520" s="1"/>
      <c r="B3520" s="24" t="str">
        <f>HYPERLINK("https://www.compass.com/listing/117-seaman-avenue-unit-1d-manhattan-ny-10034/1008586048996424257/view?agent_id=610d3f3370540700019b0833","117 Seaman Avenue, Unit 1D")</f>
        <v>117 Seaman Avenue, Unit 1D</v>
      </c>
      <c r="C3520" s="25" t="s">
        <v>370</v>
      </c>
      <c r="D3520" s="26" t="s">
        <v>23</v>
      </c>
      <c r="E3520" s="27" t="str">
        <f>HYPERLINK("https://www.compass.com/building/117-seaman-ave-manhattan-ny-10034/294847246348674757/","117 Seaman Ave")</f>
        <v>117 Seaman Ave</v>
      </c>
      <c r="F3520" s="25" t="s">
        <v>81</v>
      </c>
      <c r="G3520" s="28">
        <v>595000.0</v>
      </c>
      <c r="H3520" s="28">
        <v>595.0</v>
      </c>
      <c r="I3520" s="28">
        <v>1086.0</v>
      </c>
      <c r="J3520" s="28">
        <v>0.0</v>
      </c>
      <c r="K3520" s="25" t="s">
        <v>25</v>
      </c>
      <c r="L3520" s="26">
        <v>3.0</v>
      </c>
      <c r="M3520" s="26">
        <v>2.0</v>
      </c>
      <c r="N3520" s="26">
        <v>1.0</v>
      </c>
      <c r="O3520" s="26">
        <v>0.0</v>
      </c>
      <c r="P3520" s="34">
        <v>1000.0</v>
      </c>
      <c r="Q3520" s="35">
        <v>250.0</v>
      </c>
      <c r="R3520" s="32">
        <v>44893.0</v>
      </c>
      <c r="S3520" s="32">
        <v>44643.0</v>
      </c>
      <c r="T3520" s="29"/>
      <c r="U3520" s="33"/>
      <c r="V3520" s="1"/>
    </row>
    <row r="3521" ht="24.0" customHeight="1">
      <c r="A3521" s="1"/>
      <c r="B3521" s="24" t="str">
        <f>HYPERLINK("https://www.compass.com/listing/200-west-54th-street-unit-10g-manhattan-ny-10019/1585580703735255281/view?agent_id=610d3f3370540700019b0833","200 West 54th Street, Unit 10G")</f>
        <v>200 West 54th Street, Unit 10G</v>
      </c>
      <c r="C3521" s="25" t="s">
        <v>370</v>
      </c>
      <c r="D3521" s="26" t="s">
        <v>23</v>
      </c>
      <c r="E3521" s="27" t="str">
        <f>HYPERLINK("https://www.compass.com/building/the-adlon-manhattan-ny/292848968814103589/","The Adlon")</f>
        <v>The Adlon</v>
      </c>
      <c r="F3521" s="25" t="s">
        <v>67</v>
      </c>
      <c r="G3521" s="28">
        <v>1200000.0</v>
      </c>
      <c r="H3521" s="28">
        <v>857.0</v>
      </c>
      <c r="I3521" s="28">
        <v>2875.0</v>
      </c>
      <c r="J3521" s="28">
        <v>0.0</v>
      </c>
      <c r="K3521" s="25" t="s">
        <v>25</v>
      </c>
      <c r="L3521" s="26">
        <v>5.0</v>
      </c>
      <c r="M3521" s="26">
        <v>2.0</v>
      </c>
      <c r="N3521" s="26">
        <v>1.0</v>
      </c>
      <c r="O3521" s="30"/>
      <c r="P3521" s="34">
        <v>1400.0</v>
      </c>
      <c r="Q3521" s="35">
        <v>87.0</v>
      </c>
      <c r="R3521" s="32">
        <v>45627.0</v>
      </c>
      <c r="S3521" s="32">
        <v>45450.0</v>
      </c>
      <c r="T3521" s="29"/>
      <c r="U3521" s="33"/>
      <c r="V3521" s="1"/>
    </row>
    <row r="3522" ht="24.0" customHeight="1">
      <c r="A3522" s="1"/>
      <c r="B3522" s="24" t="str">
        <f>HYPERLINK("https://www.compass.com/listing/159-00-riverside-drive-west-unit-6m-70-manhattan-ny-10032/743457948096995385/view?agent_id=610d3f3370540700019b0833","159-00 Riverside Drive West, Unit 6M-70")</f>
        <v>159-00 Riverside Drive West, Unit 6M-70</v>
      </c>
      <c r="C3522" s="25" t="s">
        <v>365</v>
      </c>
      <c r="D3522" s="26" t="s">
        <v>23</v>
      </c>
      <c r="E3522" s="27" t="str">
        <f t="shared" ref="E3522:E3523" si="121">HYPERLINK("https://www.compass.com/building/the-river-arts-manhattan-ny/282059396610031317/","The River Arts")</f>
        <v>The River Arts</v>
      </c>
      <c r="F3522" s="25" t="s">
        <v>77</v>
      </c>
      <c r="G3522" s="28">
        <v>895000.0</v>
      </c>
      <c r="H3522" s="28">
        <v>861.0</v>
      </c>
      <c r="I3522" s="28">
        <v>1475.0</v>
      </c>
      <c r="J3522" s="28">
        <v>0.0</v>
      </c>
      <c r="K3522" s="25" t="s">
        <v>25</v>
      </c>
      <c r="L3522" s="26">
        <v>5.0</v>
      </c>
      <c r="M3522" s="26">
        <v>2.0</v>
      </c>
      <c r="N3522" s="26">
        <v>1.0</v>
      </c>
      <c r="O3522" s="30"/>
      <c r="P3522" s="34">
        <v>1040.0</v>
      </c>
      <c r="Q3522" s="35">
        <v>106.0</v>
      </c>
      <c r="R3522" s="32">
        <v>44383.0</v>
      </c>
      <c r="S3522" s="32">
        <v>44277.0</v>
      </c>
      <c r="T3522" s="29"/>
      <c r="U3522" s="33"/>
      <c r="V3522" s="1"/>
    </row>
    <row r="3523" ht="24.0" customHeight="1">
      <c r="A3523" s="1"/>
      <c r="B3523" s="24" t="str">
        <f>HYPERLINK("https://www.compass.com/listing/159-00-riverside-drive-west-unit-6m-manhattan-ny-10032/875516943216077113/view?agent_id=610d3f3370540700019b0833","159-00 Riverside Drive West, Unit 6M")</f>
        <v>159-00 Riverside Drive West, Unit 6M</v>
      </c>
      <c r="C3523" s="25" t="s">
        <v>364</v>
      </c>
      <c r="D3523" s="26" t="s">
        <v>23</v>
      </c>
      <c r="E3523" s="27" t="str">
        <f t="shared" si="121"/>
        <v>The River Arts</v>
      </c>
      <c r="F3523" s="25" t="s">
        <v>77</v>
      </c>
      <c r="G3523" s="28">
        <v>795000.0</v>
      </c>
      <c r="H3523" s="29"/>
      <c r="I3523" s="28">
        <v>1475.0</v>
      </c>
      <c r="J3523" s="28">
        <v>0.0</v>
      </c>
      <c r="K3523" s="25" t="s">
        <v>25</v>
      </c>
      <c r="L3523" s="26">
        <v>5.0</v>
      </c>
      <c r="M3523" s="26">
        <v>2.0</v>
      </c>
      <c r="N3523" s="26">
        <v>1.0</v>
      </c>
      <c r="O3523" s="26">
        <v>0.0</v>
      </c>
      <c r="P3523" s="30"/>
      <c r="Q3523" s="35">
        <v>76.0</v>
      </c>
      <c r="R3523" s="32">
        <v>44536.0</v>
      </c>
      <c r="S3523" s="32">
        <v>44459.0</v>
      </c>
      <c r="T3523" s="29"/>
      <c r="U3523" s="33"/>
      <c r="V3523" s="1"/>
    </row>
    <row r="3524" ht="24.0" customHeight="1">
      <c r="A3524" s="1"/>
      <c r="B3524" s="24" t="str">
        <f>HYPERLINK("https://www.compass.com/listing/158-18-riverside-drive-west-unit-6j50-manhattan-ny-10032/978421773279110473/view?agent_id=610d3f3370540700019b0833","158-18 Riverside Drive West, Unit 6J50")</f>
        <v>158-18 Riverside Drive West, Unit 6J50</v>
      </c>
      <c r="C3524" s="25" t="s">
        <v>365</v>
      </c>
      <c r="D3524" s="26" t="s">
        <v>23</v>
      </c>
      <c r="E3524" s="27" t="str">
        <f>HYPERLINK("https://www.compass.com/building/the-river-arts-manhattan-ny/281963033079658213/","The River Arts")</f>
        <v>The River Arts</v>
      </c>
      <c r="F3524" s="25" t="s">
        <v>77</v>
      </c>
      <c r="G3524" s="28">
        <v>785000.0</v>
      </c>
      <c r="H3524" s="28">
        <v>756.0</v>
      </c>
      <c r="I3524" s="28">
        <v>1136.0</v>
      </c>
      <c r="J3524" s="28">
        <v>0.0</v>
      </c>
      <c r="K3524" s="25" t="s">
        <v>25</v>
      </c>
      <c r="L3524" s="26">
        <v>4.0</v>
      </c>
      <c r="M3524" s="26">
        <v>2.0</v>
      </c>
      <c r="N3524" s="26">
        <v>1.0</v>
      </c>
      <c r="O3524" s="26">
        <v>0.0</v>
      </c>
      <c r="P3524" s="34">
        <v>1039.0</v>
      </c>
      <c r="Q3524" s="35">
        <v>95.0</v>
      </c>
      <c r="R3524" s="32">
        <v>44697.0</v>
      </c>
      <c r="S3524" s="32">
        <v>44601.0</v>
      </c>
      <c r="T3524" s="29"/>
      <c r="U3524" s="33"/>
      <c r="V3524" s="1"/>
    </row>
    <row r="3525" ht="24.0" customHeight="1">
      <c r="A3525" s="1"/>
      <c r="B3525" s="24" t="str">
        <f>HYPERLINK("https://www.compass.com/listing/2132-2nd-avenue-unit-7a-manhattan-ny-10029/29428004010718753/view?agent_id=610d3f3370540700019b0833","2132 2nd Avenue, Unit 7A")</f>
        <v>2132 2nd Avenue, Unit 7A</v>
      </c>
      <c r="C3525" s="25" t="s">
        <v>370</v>
      </c>
      <c r="D3525" s="26" t="s">
        <v>23</v>
      </c>
      <c r="E3525" s="27" t="str">
        <f>HYPERLINK("https://www.compass.com/building/2132-2nd-ave-manhattan-ny-10029/389269588251556037/","2132 2nd Ave")</f>
        <v>2132 2nd Ave</v>
      </c>
      <c r="F3525" s="25" t="s">
        <v>133</v>
      </c>
      <c r="G3525" s="28">
        <v>699000.0</v>
      </c>
      <c r="H3525" s="28">
        <v>908.0</v>
      </c>
      <c r="I3525" s="28">
        <v>1440.0</v>
      </c>
      <c r="J3525" s="28">
        <v>9300.0</v>
      </c>
      <c r="K3525" s="25" t="s">
        <v>28</v>
      </c>
      <c r="L3525" s="26">
        <v>4.0</v>
      </c>
      <c r="M3525" s="26">
        <v>2.0</v>
      </c>
      <c r="N3525" s="26">
        <v>0.0</v>
      </c>
      <c r="O3525" s="26">
        <v>0.0</v>
      </c>
      <c r="P3525" s="26">
        <v>770.0</v>
      </c>
      <c r="Q3525" s="35">
        <v>106.0</v>
      </c>
      <c r="R3525" s="32">
        <v>45636.0</v>
      </c>
      <c r="S3525" s="32">
        <v>42479.0</v>
      </c>
      <c r="T3525" s="29"/>
      <c r="U3525" s="33"/>
      <c r="V3525" s="1"/>
    </row>
    <row r="3526" ht="24.0" customHeight="1">
      <c r="A3526" s="1"/>
      <c r="B3526" s="24" t="str">
        <f>HYPERLINK("https://www.compass.com/listing/790-riverside-drive-unit-12i-manhattan-ny-10032/921957029077245377/view?agent_id=610d3f3370540700019b0833","790 Riverside Drive, Unit 12I")</f>
        <v>790 Riverside Drive, Unit 12I</v>
      </c>
      <c r="C3526" s="25" t="s">
        <v>364</v>
      </c>
      <c r="D3526" s="26" t="s">
        <v>23</v>
      </c>
      <c r="E3526" s="27" t="str">
        <f>HYPERLINK("https://www.compass.com/building/the-riviera-manhattan-ny/282009310966446917/","The Riviera")</f>
        <v>The Riviera</v>
      </c>
      <c r="F3526" s="25" t="s">
        <v>77</v>
      </c>
      <c r="G3526" s="28">
        <v>775000.0</v>
      </c>
      <c r="H3526" s="29"/>
      <c r="I3526" s="28">
        <v>1009.0</v>
      </c>
      <c r="J3526" s="29"/>
      <c r="K3526" s="25" t="s">
        <v>25</v>
      </c>
      <c r="L3526" s="26">
        <v>4.0</v>
      </c>
      <c r="M3526" s="26">
        <v>2.0</v>
      </c>
      <c r="N3526" s="26">
        <v>0.0</v>
      </c>
      <c r="O3526" s="26">
        <v>0.0</v>
      </c>
      <c r="P3526" s="30"/>
      <c r="Q3526" s="35">
        <v>96.0</v>
      </c>
      <c r="R3526" s="32">
        <v>44581.0</v>
      </c>
      <c r="S3526" s="32">
        <v>43186.0</v>
      </c>
      <c r="T3526" s="29"/>
      <c r="U3526" s="33"/>
      <c r="V3526" s="1"/>
    </row>
    <row r="3527" ht="24.0" customHeight="1">
      <c r="A3527" s="1"/>
      <c r="B3527" s="24" t="str">
        <f>HYPERLINK("https://www.compass.com/listing/50-park-terrace-east-unit-4k-manhattan-ny-10034/317341746610386097/view?agent_id=610d3f3370540700019b0833","50 Park Ter E, Unit 4K")</f>
        <v>50 Park Ter E, Unit 4K</v>
      </c>
      <c r="C3527" s="25" t="s">
        <v>370</v>
      </c>
      <c r="D3527" s="26" t="s">
        <v>23</v>
      </c>
      <c r="E3527" s="27" t="str">
        <f>HYPERLINK("https://www.compass.com/building/50-park-ter-e-manhattan-ny-10034/292912880838256357/","50 Park Ter E")</f>
        <v>50 Park Ter E</v>
      </c>
      <c r="F3527" s="25" t="s">
        <v>81</v>
      </c>
      <c r="G3527" s="28">
        <v>624500.0</v>
      </c>
      <c r="H3527" s="28">
        <v>568.0</v>
      </c>
      <c r="I3527" s="28">
        <v>0.0</v>
      </c>
      <c r="J3527" s="29"/>
      <c r="K3527" s="25" t="s">
        <v>25</v>
      </c>
      <c r="L3527" s="30"/>
      <c r="M3527" s="26">
        <v>2.0</v>
      </c>
      <c r="N3527" s="26">
        <v>1.0</v>
      </c>
      <c r="O3527" s="26">
        <v>0.0</v>
      </c>
      <c r="P3527" s="34">
        <v>1100.0</v>
      </c>
      <c r="Q3527" s="35">
        <v>183.0</v>
      </c>
      <c r="R3527" s="32">
        <v>41738.0</v>
      </c>
      <c r="S3527" s="32">
        <v>39573.0</v>
      </c>
      <c r="T3527" s="29"/>
      <c r="U3527" s="33"/>
      <c r="V3527" s="1"/>
    </row>
    <row r="3528" ht="24.0" customHeight="1">
      <c r="A3528" s="1"/>
      <c r="B3528" s="24" t="str">
        <f>HYPERLINK("https://www.compass.com/listing/1513-bergen-street-unit-203-brooklyn-ny-11213/1080609647795539753/view?agent_id=610d3f3370540700019b0833","1513 Bergen Street, Unit 203")</f>
        <v>1513 Bergen Street, Unit 203</v>
      </c>
      <c r="C3528" s="25" t="s">
        <v>370</v>
      </c>
      <c r="D3528" s="26" t="s">
        <v>23</v>
      </c>
      <c r="E3528" s="27" t="str">
        <f>HYPERLINK("https://www.compass.com/building/1513-bergen-st-brooklyn-ny-11213/307440095879525381/","1513 Bergen St")</f>
        <v>1513 Bergen St</v>
      </c>
      <c r="F3528" s="25" t="s">
        <v>111</v>
      </c>
      <c r="G3528" s="28">
        <v>475000.0</v>
      </c>
      <c r="H3528" s="29"/>
      <c r="I3528" s="28">
        <v>648.0</v>
      </c>
      <c r="J3528" s="28">
        <v>0.0</v>
      </c>
      <c r="K3528" s="25" t="s">
        <v>25</v>
      </c>
      <c r="L3528" s="26">
        <v>4.0</v>
      </c>
      <c r="M3528" s="26">
        <v>2.0</v>
      </c>
      <c r="N3528" s="26">
        <v>1.0</v>
      </c>
      <c r="O3528" s="30"/>
      <c r="P3528" s="30"/>
      <c r="Q3528" s="35">
        <v>91.0</v>
      </c>
      <c r="R3528" s="32">
        <v>44834.0</v>
      </c>
      <c r="S3528" s="32">
        <v>44742.0</v>
      </c>
      <c r="T3528" s="29"/>
      <c r="U3528" s="33"/>
      <c r="V3528" s="1"/>
    </row>
    <row r="3529" ht="24.0" customHeight="1">
      <c r="A3529" s="1"/>
      <c r="B3529" s="24" t="str">
        <f>HYPERLINK("https://www.compass.com/listing/348-93rd-street-unit-1b-brooklyn-ny-11209/1248246821848155473/view?agent_id=610d3f3370540700019b0833","348 93rd Street, Unit 1B")</f>
        <v>348 93rd Street, Unit 1B</v>
      </c>
      <c r="C3529" s="25" t="s">
        <v>364</v>
      </c>
      <c r="D3529" s="26" t="s">
        <v>23</v>
      </c>
      <c r="E3529" s="27" t="str">
        <f>HYPERLINK("https://www.compass.com/building/348-93rd-st-brooklyn-ny-11209/294839527906374869/","348 93rd St")</f>
        <v>348 93rd St</v>
      </c>
      <c r="F3529" s="25" t="s">
        <v>55</v>
      </c>
      <c r="G3529" s="28">
        <v>850000.0</v>
      </c>
      <c r="H3529" s="29"/>
      <c r="I3529" s="28">
        <v>482.0</v>
      </c>
      <c r="J3529" s="28">
        <v>2232.0</v>
      </c>
      <c r="K3529" s="25" t="s">
        <v>28</v>
      </c>
      <c r="L3529" s="26">
        <v>4.0</v>
      </c>
      <c r="M3529" s="26">
        <v>2.0</v>
      </c>
      <c r="N3529" s="26">
        <v>0.0</v>
      </c>
      <c r="O3529" s="26">
        <v>0.0</v>
      </c>
      <c r="P3529" s="30"/>
      <c r="Q3529" s="35">
        <v>0.0</v>
      </c>
      <c r="R3529" s="32">
        <v>44581.0</v>
      </c>
      <c r="S3529" s="32">
        <v>41342.0</v>
      </c>
      <c r="T3529" s="29"/>
      <c r="U3529" s="33"/>
      <c r="V3529" s="1"/>
    </row>
    <row r="3530" ht="24.0" customHeight="1">
      <c r="A3530" s="1"/>
      <c r="B3530" s="24" t="str">
        <f>HYPERLINK("https://www.compass.com/listing/117-seaman-avenue-unit-5c-manhattan-ny-10034/1014603557967226481/view?agent_id=610d3f3370540700019b0833","117 Seaman Avenue, Unit 5C")</f>
        <v>117 Seaman Avenue, Unit 5C</v>
      </c>
      <c r="C3530" s="25" t="s">
        <v>365</v>
      </c>
      <c r="D3530" s="26" t="s">
        <v>23</v>
      </c>
      <c r="E3530" s="27" t="str">
        <f t="shared" ref="E3530:E3531" si="122">HYPERLINK("https://www.compass.com/building/117-seaman-ave-manhattan-ny-10034/294847246348674757/","117 Seaman Ave")</f>
        <v>117 Seaman Ave</v>
      </c>
      <c r="F3530" s="25" t="s">
        <v>81</v>
      </c>
      <c r="G3530" s="28">
        <v>475000.0</v>
      </c>
      <c r="H3530" s="29"/>
      <c r="I3530" s="28">
        <v>911.0</v>
      </c>
      <c r="J3530" s="28">
        <v>0.0</v>
      </c>
      <c r="K3530" s="25" t="s">
        <v>25</v>
      </c>
      <c r="L3530" s="26">
        <v>4.0</v>
      </c>
      <c r="M3530" s="26">
        <v>2.0</v>
      </c>
      <c r="N3530" s="26">
        <v>1.0</v>
      </c>
      <c r="O3530" s="26">
        <v>0.0</v>
      </c>
      <c r="P3530" s="30"/>
      <c r="Q3530" s="35">
        <v>90.0</v>
      </c>
      <c r="R3530" s="32">
        <v>44742.0</v>
      </c>
      <c r="S3530" s="32">
        <v>44651.0</v>
      </c>
      <c r="T3530" s="29"/>
      <c r="U3530" s="33"/>
      <c r="V3530" s="1"/>
    </row>
    <row r="3531" ht="24.0" customHeight="1">
      <c r="A3531" s="1"/>
      <c r="B3531" s="24" t="str">
        <f>HYPERLINK("https://www.compass.com/listing/117-seaman-avenue-unit-5c-manhattan-ny-10034/29437037241297809/view?agent_id=610d3f3370540700019b0833","117 Seaman Avenue, Unit 5C")</f>
        <v>117 Seaman Avenue, Unit 5C</v>
      </c>
      <c r="C3531" s="25" t="s">
        <v>364</v>
      </c>
      <c r="D3531" s="26" t="s">
        <v>23</v>
      </c>
      <c r="E3531" s="27" t="str">
        <f t="shared" si="122"/>
        <v>117 Seaman Ave</v>
      </c>
      <c r="F3531" s="25" t="s">
        <v>81</v>
      </c>
      <c r="G3531" s="28">
        <v>475000.0</v>
      </c>
      <c r="H3531" s="28">
        <v>528.0</v>
      </c>
      <c r="I3531" s="28">
        <v>619.0</v>
      </c>
      <c r="J3531" s="29"/>
      <c r="K3531" s="25" t="s">
        <v>25</v>
      </c>
      <c r="L3531" s="26">
        <v>4.0</v>
      </c>
      <c r="M3531" s="26">
        <v>2.0</v>
      </c>
      <c r="N3531" s="26">
        <v>1.0</v>
      </c>
      <c r="O3531" s="26">
        <v>0.0</v>
      </c>
      <c r="P3531" s="26">
        <v>900.0</v>
      </c>
      <c r="Q3531" s="35">
        <v>160.0</v>
      </c>
      <c r="R3531" s="32">
        <v>45636.0</v>
      </c>
      <c r="S3531" s="32">
        <v>42549.0</v>
      </c>
      <c r="T3531" s="29"/>
      <c r="U3531" s="33"/>
      <c r="V3531" s="1"/>
    </row>
    <row r="3532" ht="24.0" customHeight="1">
      <c r="A3532" s="1"/>
      <c r="B3532" s="24" t="str">
        <f>HYPERLINK("https://www.compass.com/listing/159-00-riverside-drive-west-unit-5d-manhattan-ny-10032/1394850916102352353/view?agent_id=610d3f3370540700019b0833","159-00 Riverside Drive West, Unit 5D")</f>
        <v>159-00 Riverside Drive West, Unit 5D</v>
      </c>
      <c r="C3532" s="25" t="s">
        <v>365</v>
      </c>
      <c r="D3532" s="26" t="s">
        <v>23</v>
      </c>
      <c r="E3532" s="27" t="str">
        <f>HYPERLINK("https://www.compass.com/building/the-river-arts-manhattan-ny/282059396610031317/","The River Arts")</f>
        <v>The River Arts</v>
      </c>
      <c r="F3532" s="25" t="s">
        <v>77</v>
      </c>
      <c r="G3532" s="28">
        <v>795000.0</v>
      </c>
      <c r="H3532" s="28">
        <v>824.0</v>
      </c>
      <c r="I3532" s="28">
        <v>993.0</v>
      </c>
      <c r="J3532" s="28">
        <v>0.0</v>
      </c>
      <c r="K3532" s="25" t="s">
        <v>25</v>
      </c>
      <c r="L3532" s="26">
        <v>4.0</v>
      </c>
      <c r="M3532" s="26">
        <v>2.0</v>
      </c>
      <c r="N3532" s="26">
        <v>1.0</v>
      </c>
      <c r="O3532" s="26">
        <v>0.0</v>
      </c>
      <c r="P3532" s="26">
        <v>965.0</v>
      </c>
      <c r="Q3532" s="35">
        <v>95.0</v>
      </c>
      <c r="R3532" s="32">
        <v>45279.0</v>
      </c>
      <c r="S3532" s="32">
        <v>45176.0</v>
      </c>
      <c r="T3532" s="29"/>
      <c r="U3532" s="33"/>
      <c r="V3532" s="1"/>
    </row>
    <row r="3533" ht="24.0" customHeight="1">
      <c r="A3533" s="1"/>
      <c r="B3533" s="24" t="str">
        <f>HYPERLINK("https://www.compass.com/listing/70-haven-avenue-unit-5d-manhattan-ny-10032/1049333975919808097/view?agent_id=610d3f3370540700019b0833","70 Haven Avenue, Unit 5D")</f>
        <v>70 Haven Avenue, Unit 5D</v>
      </c>
      <c r="C3533" s="25" t="s">
        <v>370</v>
      </c>
      <c r="D3533" s="26" t="s">
        <v>23</v>
      </c>
      <c r="E3533" s="27" t="str">
        <f>HYPERLINK("https://www.compass.com/building/70-haven-ave-manhattan-ny-10032/282009081621904389/","70 Haven Ave")</f>
        <v>70 Haven Ave</v>
      </c>
      <c r="F3533" s="25" t="s">
        <v>77</v>
      </c>
      <c r="G3533" s="28">
        <v>599000.0</v>
      </c>
      <c r="H3533" s="28">
        <v>666.0</v>
      </c>
      <c r="I3533" s="28">
        <v>854.0</v>
      </c>
      <c r="J3533" s="28">
        <v>0.0</v>
      </c>
      <c r="K3533" s="25" t="s">
        <v>25</v>
      </c>
      <c r="L3533" s="26">
        <v>4.0</v>
      </c>
      <c r="M3533" s="26">
        <v>2.0</v>
      </c>
      <c r="N3533" s="26">
        <v>1.0</v>
      </c>
      <c r="O3533" s="26">
        <v>0.0</v>
      </c>
      <c r="P3533" s="26">
        <v>900.0</v>
      </c>
      <c r="Q3533" s="35">
        <v>227.0</v>
      </c>
      <c r="R3533" s="32">
        <v>44928.0</v>
      </c>
      <c r="S3533" s="32">
        <v>44700.0</v>
      </c>
      <c r="T3533" s="29"/>
      <c r="U3533" s="33"/>
      <c r="V3533" s="1"/>
    </row>
    <row r="3534" ht="24.0" customHeight="1">
      <c r="A3534" s="1"/>
      <c r="B3534" s="24" t="str">
        <f>HYPERLINK("https://www.compass.com/listing/60-park-terrace-west-unit-a20-manhattan-ny-10034/1136147439826086665/view?agent_id=610d3f3370540700019b0833","60 Park Terrace West, Unit A20")</f>
        <v>60 Park Terrace West, Unit A20</v>
      </c>
      <c r="C3534" s="25" t="s">
        <v>364</v>
      </c>
      <c r="D3534" s="26" t="s">
        <v>23</v>
      </c>
      <c r="E3534" s="27" t="str">
        <f>HYPERLINK("https://www.compass.com/building/park-terrace-gardens-manhattan-ny/282015623855214181/","Park Terrace Gardens")</f>
        <v>Park Terrace Gardens</v>
      </c>
      <c r="F3534" s="25" t="s">
        <v>81</v>
      </c>
      <c r="G3534" s="28">
        <v>519000.0</v>
      </c>
      <c r="H3534" s="28">
        <v>546.0</v>
      </c>
      <c r="I3534" s="28">
        <v>1397.0</v>
      </c>
      <c r="J3534" s="28">
        <v>0.0</v>
      </c>
      <c r="K3534" s="25" t="s">
        <v>25</v>
      </c>
      <c r="L3534" s="26">
        <v>5.0</v>
      </c>
      <c r="M3534" s="26">
        <v>2.0</v>
      </c>
      <c r="N3534" s="26">
        <v>1.0</v>
      </c>
      <c r="O3534" s="30"/>
      <c r="P3534" s="26">
        <v>950.0</v>
      </c>
      <c r="Q3534" s="35">
        <v>63.0</v>
      </c>
      <c r="R3534" s="32">
        <v>44896.0</v>
      </c>
      <c r="S3534" s="32">
        <v>44833.0</v>
      </c>
      <c r="T3534" s="29"/>
      <c r="U3534" s="33"/>
      <c r="V3534" s="1"/>
    </row>
    <row r="3535" ht="24.0" customHeight="1">
      <c r="A3535" s="1"/>
      <c r="B3535" s="24" t="str">
        <f>HYPERLINK("https://www.compass.com/listing/930-st-nicholas-avenue-unit-2-manhattan-ny-10032/317341848783547105/view?agent_id=610d3f3370540700019b0833","930 St Nicholas Avenue, Unit 2")</f>
        <v>930 St Nicholas Avenue, Unit 2</v>
      </c>
      <c r="C3535" s="25" t="s">
        <v>364</v>
      </c>
      <c r="D3535" s="26" t="s">
        <v>23</v>
      </c>
      <c r="E3535" s="27" t="str">
        <f>HYPERLINK("https://www.compass.com/building/930-st-nicholas-ave-manhattan-ny-10032/281927531240664293/","930 St Nicholas Ave")</f>
        <v>930 St Nicholas Ave</v>
      </c>
      <c r="F3535" s="25" t="s">
        <v>77</v>
      </c>
      <c r="G3535" s="28">
        <v>299000.0</v>
      </c>
      <c r="H3535" s="29"/>
      <c r="I3535" s="28">
        <v>695.0</v>
      </c>
      <c r="J3535" s="29"/>
      <c r="K3535" s="25" t="s">
        <v>25</v>
      </c>
      <c r="L3535" s="26">
        <v>4.0</v>
      </c>
      <c r="M3535" s="26">
        <v>2.0</v>
      </c>
      <c r="N3535" s="26">
        <v>0.0</v>
      </c>
      <c r="O3535" s="26">
        <v>0.0</v>
      </c>
      <c r="P3535" s="30"/>
      <c r="Q3535" s="35">
        <v>117.0</v>
      </c>
      <c r="R3535" s="32">
        <v>45636.0</v>
      </c>
      <c r="S3535" s="32">
        <v>41689.0</v>
      </c>
      <c r="T3535" s="29"/>
      <c r="U3535" s="33"/>
      <c r="V3535" s="1"/>
    </row>
    <row r="3536" ht="24.0" customHeight="1">
      <c r="A3536" s="1"/>
      <c r="B3536" s="24" t="str">
        <f>HYPERLINK("https://www.compass.com/listing/790-riverside-drive-unit-4c-manhattan-ny-10032/1268322794659401569/view?agent_id=610d3f3370540700019b0833","790 Riverside Drive, Unit 4C")</f>
        <v>790 Riverside Drive, Unit 4C</v>
      </c>
      <c r="C3536" s="25" t="s">
        <v>364</v>
      </c>
      <c r="D3536" s="26" t="s">
        <v>23</v>
      </c>
      <c r="E3536" s="27" t="str">
        <f>HYPERLINK("https://www.compass.com/building/the-riviera-manhattan-ny/282009310966446917/","The Riviera")</f>
        <v>The Riviera</v>
      </c>
      <c r="F3536" s="25" t="s">
        <v>77</v>
      </c>
      <c r="G3536" s="28">
        <v>599000.0</v>
      </c>
      <c r="H3536" s="29"/>
      <c r="I3536" s="28">
        <v>1557.0</v>
      </c>
      <c r="J3536" s="28">
        <v>0.0</v>
      </c>
      <c r="K3536" s="25" t="s">
        <v>25</v>
      </c>
      <c r="L3536" s="26">
        <v>4.0</v>
      </c>
      <c r="M3536" s="26">
        <v>2.0</v>
      </c>
      <c r="N3536" s="26">
        <v>1.0</v>
      </c>
      <c r="O3536" s="30"/>
      <c r="P3536" s="30"/>
      <c r="Q3536" s="35">
        <v>255.0</v>
      </c>
      <c r="R3536" s="32">
        <v>45261.0</v>
      </c>
      <c r="S3536" s="32">
        <v>45001.0</v>
      </c>
      <c r="T3536" s="29"/>
      <c r="U3536" s="33"/>
      <c r="V3536" s="1"/>
    </row>
    <row r="3537" ht="24.0" customHeight="1">
      <c r="A3537" s="1"/>
      <c r="B3537" s="24" t="str">
        <f>HYPERLINK("https://www.compass.com/listing/224-22nd-street-unit-2c-brooklyn-ny-11232/903212038795165921/view?agent_id=610d3f3370540700019b0833","224 22nd Street, Unit 2C")</f>
        <v>224 22nd Street, Unit 2C</v>
      </c>
      <c r="C3537" s="25" t="s">
        <v>365</v>
      </c>
      <c r="D3537" s="26" t="s">
        <v>23</v>
      </c>
      <c r="E3537" s="27" t="str">
        <f>HYPERLINK("https://www.compass.com/building/224-22nd-st-brooklyn-ny-11232/293534294339573701/","224 22nd St")</f>
        <v>224 22nd St</v>
      </c>
      <c r="F3537" s="25" t="s">
        <v>155</v>
      </c>
      <c r="G3537" s="28">
        <v>568000.0</v>
      </c>
      <c r="H3537" s="29"/>
      <c r="I3537" s="28">
        <v>1216.0</v>
      </c>
      <c r="J3537" s="28">
        <v>5592.0</v>
      </c>
      <c r="K3537" s="25" t="s">
        <v>28</v>
      </c>
      <c r="L3537" s="26">
        <v>4.0</v>
      </c>
      <c r="M3537" s="26">
        <v>2.0</v>
      </c>
      <c r="N3537" s="26">
        <v>1.0</v>
      </c>
      <c r="O3537" s="26">
        <v>0.0</v>
      </c>
      <c r="P3537" s="30"/>
      <c r="Q3537" s="35">
        <v>154.0</v>
      </c>
      <c r="R3537" s="32">
        <v>44657.0</v>
      </c>
      <c r="S3537" s="32">
        <v>44503.0</v>
      </c>
      <c r="T3537" s="29"/>
      <c r="U3537" s="33"/>
      <c r="V3537" s="1"/>
    </row>
    <row r="3538" ht="24.0" customHeight="1">
      <c r="A3538" s="1"/>
      <c r="B3538" s="24" t="str">
        <f>HYPERLINK("https://www.compass.com/listing/319-east-105th-street-unit-4f-manhattan-ny-10029/1552165360742473409/view?agent_id=610d3f3370540700019b0833","319 East 105th Street, Unit 4F")</f>
        <v>319 East 105th Street, Unit 4F</v>
      </c>
      <c r="C3538" s="25" t="s">
        <v>370</v>
      </c>
      <c r="D3538" s="26" t="s">
        <v>23</v>
      </c>
      <c r="E3538" s="27" t="str">
        <f>HYPERLINK("https://www.compass.com/building/319-e-105th-st-manhattan-ny-10029/281927102012367349/","319 E 105th St")</f>
        <v>319 E 105th St</v>
      </c>
      <c r="F3538" s="25" t="s">
        <v>133</v>
      </c>
      <c r="G3538" s="28">
        <v>599000.0</v>
      </c>
      <c r="H3538" s="28">
        <v>793.0</v>
      </c>
      <c r="I3538" s="28">
        <v>1514.0</v>
      </c>
      <c r="J3538" s="28">
        <v>8592.0</v>
      </c>
      <c r="K3538" s="25" t="s">
        <v>28</v>
      </c>
      <c r="L3538" s="26">
        <v>4.0</v>
      </c>
      <c r="M3538" s="26">
        <v>2.0</v>
      </c>
      <c r="N3538" s="26">
        <v>1.0</v>
      </c>
      <c r="O3538" s="30"/>
      <c r="P3538" s="26">
        <v>755.0</v>
      </c>
      <c r="Q3538" s="35">
        <v>186.0</v>
      </c>
      <c r="R3538" s="32">
        <v>45580.0</v>
      </c>
      <c r="S3538" s="32">
        <v>45393.0</v>
      </c>
      <c r="T3538" s="29"/>
      <c r="U3538" s="33"/>
      <c r="V3538" s="1"/>
    </row>
    <row r="3539" ht="24.0" customHeight="1">
      <c r="A3539" s="1"/>
      <c r="B3539" s="24" t="str">
        <f>HYPERLINK("https://www.compass.com/listing/834-riverside-drive-unit-2-manhattan-ny-10032/1481843197784483481/view?agent_id=610d3f3370540700019b0833","834 Riverside Drive, Unit 2")</f>
        <v>834 Riverside Drive, Unit 2</v>
      </c>
      <c r="C3539" s="25" t="s">
        <v>370</v>
      </c>
      <c r="D3539" s="26" t="s">
        <v>23</v>
      </c>
      <c r="E3539" s="27" t="str">
        <f>HYPERLINK("https://www.compass.com/building/834-riverside-dr-manhattan-ny-10032/282009434866187493/","834 Riverside Dr")</f>
        <v>834 Riverside Dr</v>
      </c>
      <c r="F3539" s="25" t="s">
        <v>77</v>
      </c>
      <c r="G3539" s="28">
        <v>365000.0</v>
      </c>
      <c r="H3539" s="28">
        <v>487.0</v>
      </c>
      <c r="I3539" s="28">
        <v>1.0</v>
      </c>
      <c r="J3539" s="28">
        <v>0.0</v>
      </c>
      <c r="K3539" s="25" t="s">
        <v>25</v>
      </c>
      <c r="L3539" s="26">
        <v>2.0</v>
      </c>
      <c r="M3539" s="26">
        <v>2.0</v>
      </c>
      <c r="N3539" s="26">
        <v>1.0</v>
      </c>
      <c r="O3539" s="26">
        <v>0.0</v>
      </c>
      <c r="P3539" s="26">
        <v>750.0</v>
      </c>
      <c r="Q3539" s="35">
        <v>149.0</v>
      </c>
      <c r="R3539" s="32">
        <v>45628.0</v>
      </c>
      <c r="S3539" s="32">
        <v>45296.0</v>
      </c>
      <c r="T3539" s="29"/>
      <c r="U3539" s="33"/>
      <c r="V3539" s="1"/>
    </row>
    <row r="3540" ht="24.0" customHeight="1">
      <c r="A3540" s="1"/>
      <c r="B3540" s="24" t="str">
        <f>HYPERLINK("https://www.compass.com/listing/348-93rd-street-unit-2b-brooklyn-ny-11209/192565900245824401/view?agent_id=610d3f3370540700019b0833","348 93rd Street, Unit 2B")</f>
        <v>348 93rd Street, Unit 2B</v>
      </c>
      <c r="C3540" s="25" t="s">
        <v>364</v>
      </c>
      <c r="D3540" s="26" t="s">
        <v>23</v>
      </c>
      <c r="E3540" s="27" t="str">
        <f>HYPERLINK("https://www.compass.com/building/348-93rd-st-brooklyn-ny-11209/294839527906374869/","348 93rd St")</f>
        <v>348 93rd St</v>
      </c>
      <c r="F3540" s="25" t="s">
        <v>55</v>
      </c>
      <c r="G3540" s="28">
        <v>799000.0</v>
      </c>
      <c r="H3540" s="29"/>
      <c r="I3540" s="28">
        <v>454.0</v>
      </c>
      <c r="J3540" s="28">
        <v>2100.0</v>
      </c>
      <c r="K3540" s="25" t="s">
        <v>28</v>
      </c>
      <c r="L3540" s="26">
        <v>3.0</v>
      </c>
      <c r="M3540" s="26">
        <v>2.0</v>
      </c>
      <c r="N3540" s="26">
        <v>0.0</v>
      </c>
      <c r="O3540" s="26">
        <v>0.0</v>
      </c>
      <c r="P3540" s="30"/>
      <c r="Q3540" s="35">
        <v>0.0</v>
      </c>
      <c r="R3540" s="32">
        <v>44581.0</v>
      </c>
      <c r="S3540" s="32">
        <v>41342.0</v>
      </c>
      <c r="T3540" s="29"/>
      <c r="U3540" s="33"/>
      <c r="V3540" s="1"/>
    </row>
    <row r="3541" ht="24.0" customHeight="1">
      <c r="A3541" s="1"/>
      <c r="B3541" s="24" t="str">
        <f>HYPERLINK("https://www.compass.com/listing/800-riverside-drive-unit-6d-manhattan-ny-10032/29435406898510145/view?agent_id=610d3f3370540700019b0833","800 Riverside Drive, Unit 6D")</f>
        <v>800 Riverside Drive, Unit 6D</v>
      </c>
      <c r="C3541" s="25" t="s">
        <v>364</v>
      </c>
      <c r="D3541" s="26" t="s">
        <v>23</v>
      </c>
      <c r="E3541" s="27" t="str">
        <f>HYPERLINK("https://www.compass.com/building/the-grinnell-manhattan-ny/282009334311943333/","The Grinnell")</f>
        <v>The Grinnell</v>
      </c>
      <c r="F3541" s="25" t="s">
        <v>77</v>
      </c>
      <c r="G3541" s="28">
        <v>939000.0</v>
      </c>
      <c r="H3541" s="29"/>
      <c r="I3541" s="28">
        <v>868.0</v>
      </c>
      <c r="J3541" s="29"/>
      <c r="K3541" s="25" t="s">
        <v>25</v>
      </c>
      <c r="L3541" s="26">
        <v>5.0</v>
      </c>
      <c r="M3541" s="26">
        <v>2.0</v>
      </c>
      <c r="N3541" s="26">
        <v>1.0</v>
      </c>
      <c r="O3541" s="26">
        <v>0.0</v>
      </c>
      <c r="P3541" s="30"/>
      <c r="Q3541" s="35">
        <v>188.0</v>
      </c>
      <c r="R3541" s="32">
        <v>45636.0</v>
      </c>
      <c r="S3541" s="32">
        <v>43178.0</v>
      </c>
      <c r="T3541" s="29"/>
      <c r="U3541" s="33"/>
      <c r="V3541" s="1"/>
    </row>
    <row r="3542" ht="24.0" customHeight="1">
      <c r="A3542" s="1"/>
      <c r="B3542" s="24" t="str">
        <f>HYPERLINK("https://www.compass.com/listing/834-riverside-drive-unit-2b-manhattan-ny-10032/1419930420060172393/view?agent_id=610d3f3370540700019b0833","834 Riverside Drive, Unit 2B")</f>
        <v>834 Riverside Drive, Unit 2B</v>
      </c>
      <c r="C3542" s="25" t="s">
        <v>365</v>
      </c>
      <c r="D3542" s="26" t="s">
        <v>23</v>
      </c>
      <c r="E3542" s="27" t="str">
        <f>HYPERLINK("https://www.compass.com/building/834-riverside-dr-manhattan-ny-10032/282009434866187493/","834 Riverside Dr")</f>
        <v>834 Riverside Dr</v>
      </c>
      <c r="F3542" s="25" t="s">
        <v>77</v>
      </c>
      <c r="G3542" s="28">
        <v>399000.0</v>
      </c>
      <c r="H3542" s="29"/>
      <c r="I3542" s="28">
        <v>1.0</v>
      </c>
      <c r="J3542" s="28">
        <v>0.0</v>
      </c>
      <c r="K3542" s="25" t="s">
        <v>25</v>
      </c>
      <c r="L3542" s="26">
        <v>3.0</v>
      </c>
      <c r="M3542" s="26">
        <v>2.0</v>
      </c>
      <c r="N3542" s="26">
        <v>1.0</v>
      </c>
      <c r="O3542" s="26">
        <v>0.0</v>
      </c>
      <c r="P3542" s="30"/>
      <c r="Q3542" s="35">
        <v>85.0</v>
      </c>
      <c r="R3542" s="32">
        <v>45628.0</v>
      </c>
      <c r="S3542" s="32">
        <v>45210.0</v>
      </c>
      <c r="T3542" s="29"/>
      <c r="U3542" s="33"/>
      <c r="V3542" s="1"/>
    </row>
    <row r="3543" ht="24.0" customHeight="1">
      <c r="A3543" s="1"/>
      <c r="B3543" s="24" t="str">
        <f>HYPERLINK("https://www.compass.com/listing/161-east-110th-street-unit-3a-manhattan-ny-10029/4852319060651687169/view?agent_id=610d3f3370540700019b0833","161 East 110th Street, Unit 3A")</f>
        <v>161 East 110th Street, Unit 3A</v>
      </c>
      <c r="C3543" s="25" t="s">
        <v>364</v>
      </c>
      <c r="D3543" s="26" t="s">
        <v>23</v>
      </c>
      <c r="E3543" s="27" t="str">
        <f>HYPERLINK("https://www.compass.com/building/mirada-manhattan-ny/281989170379994053/","Mirada")</f>
        <v>Mirada</v>
      </c>
      <c r="F3543" s="25" t="s">
        <v>133</v>
      </c>
      <c r="G3543" s="28">
        <v>650000.0</v>
      </c>
      <c r="H3543" s="28">
        <v>797.0</v>
      </c>
      <c r="I3543" s="28">
        <v>1368.0</v>
      </c>
      <c r="J3543" s="28">
        <v>8028.0</v>
      </c>
      <c r="K3543" s="25" t="s">
        <v>28</v>
      </c>
      <c r="L3543" s="26">
        <v>4.0</v>
      </c>
      <c r="M3543" s="26">
        <v>2.0</v>
      </c>
      <c r="N3543" s="26">
        <v>1.0</v>
      </c>
      <c r="O3543" s="26">
        <v>0.0</v>
      </c>
      <c r="P3543" s="26">
        <v>816.0</v>
      </c>
      <c r="Q3543" s="35">
        <v>109.0</v>
      </c>
      <c r="R3543" s="32">
        <v>45636.0</v>
      </c>
      <c r="S3543" s="32">
        <v>43601.0</v>
      </c>
      <c r="T3543" s="29"/>
      <c r="U3543" s="33"/>
      <c r="V3543" s="1"/>
    </row>
    <row r="3544" ht="24.0" customHeight="1">
      <c r="A3544" s="1"/>
      <c r="B3544" s="24" t="str">
        <f>HYPERLINK("https://www.compass.com/listing/159-34-riverside-drive-west-unit-5a-manhattan-ny-10032/236067075108400129/view?agent_id=610d3f3370540700019b0833","159-34 Riverside Drive West, Unit 5A")</f>
        <v>159-34 Riverside Drive West, Unit 5A</v>
      </c>
      <c r="C3544" s="25" t="s">
        <v>364</v>
      </c>
      <c r="D3544" s="26" t="s">
        <v>23</v>
      </c>
      <c r="E3544" s="27" t="str">
        <f>HYPERLINK("https://www.compass.com/building/the-river-arts-manhattan-ny/294842584849472629/","The River Arts")</f>
        <v>The River Arts</v>
      </c>
      <c r="F3544" s="25" t="s">
        <v>77</v>
      </c>
      <c r="G3544" s="28">
        <v>565000.0</v>
      </c>
      <c r="H3544" s="28">
        <v>543.0</v>
      </c>
      <c r="I3544" s="28">
        <v>1067.0</v>
      </c>
      <c r="J3544" s="29"/>
      <c r="K3544" s="25" t="s">
        <v>25</v>
      </c>
      <c r="L3544" s="26">
        <v>4.0</v>
      </c>
      <c r="M3544" s="26">
        <v>2.0</v>
      </c>
      <c r="N3544" s="26">
        <v>1.0</v>
      </c>
      <c r="O3544" s="26">
        <v>0.0</v>
      </c>
      <c r="P3544" s="34">
        <v>1040.0</v>
      </c>
      <c r="Q3544" s="35">
        <v>8.0</v>
      </c>
      <c r="R3544" s="32">
        <v>44581.0</v>
      </c>
      <c r="S3544" s="32">
        <v>41340.0</v>
      </c>
      <c r="T3544" s="29"/>
      <c r="U3544" s="33"/>
      <c r="V3544" s="1"/>
    </row>
    <row r="3545" ht="24.0" customHeight="1">
      <c r="A3545" s="1"/>
      <c r="B3545" s="24" t="str">
        <f>HYPERLINK("https://www.compass.com/listing/474-west-158th-street-unit-4-manhattan-ny-10032/740656617963366185/view?agent_id=610d3f3370540700019b0833","474 West 158th Street, Unit 4")</f>
        <v>474 West 158th Street, Unit 4</v>
      </c>
      <c r="C3545" s="25" t="s">
        <v>364</v>
      </c>
      <c r="D3545" s="26" t="s">
        <v>23</v>
      </c>
      <c r="E3545" s="27" t="str">
        <f>HYPERLINK("https://www.compass.com/building/roger-morris-apartments-manhattan-ny/282006054148109269/","Roger Morris Apartments")</f>
        <v>Roger Morris Apartments</v>
      </c>
      <c r="F3545" s="25" t="s">
        <v>77</v>
      </c>
      <c r="G3545" s="28">
        <v>450000.0</v>
      </c>
      <c r="H3545" s="29"/>
      <c r="I3545" s="28">
        <v>1055.0</v>
      </c>
      <c r="J3545" s="28">
        <v>0.0</v>
      </c>
      <c r="K3545" s="25" t="s">
        <v>25</v>
      </c>
      <c r="L3545" s="26">
        <v>4.0</v>
      </c>
      <c r="M3545" s="26">
        <v>2.0</v>
      </c>
      <c r="N3545" s="26">
        <v>1.0</v>
      </c>
      <c r="O3545" s="30"/>
      <c r="P3545" s="30"/>
      <c r="Q3545" s="35">
        <v>16.0</v>
      </c>
      <c r="R3545" s="32">
        <v>44290.0</v>
      </c>
      <c r="S3545" s="32">
        <v>44273.0</v>
      </c>
      <c r="T3545" s="29"/>
      <c r="U3545" s="33"/>
      <c r="V3545" s="1"/>
    </row>
    <row r="3546" ht="24.0" customHeight="1">
      <c r="A3546" s="1"/>
      <c r="B3546" s="24" t="str">
        <f>HYPERLINK("https://www.compass.com/listing/546-west-156th-street-unit-9-manhattan-ny-10032/997145089656147177/view?agent_id=610d3f3370540700019b0833","546 West 156th Street, Unit 9")</f>
        <v>546 West 156th Street, Unit 9</v>
      </c>
      <c r="C3546" s="25" t="s">
        <v>364</v>
      </c>
      <c r="D3546" s="26" t="s">
        <v>23</v>
      </c>
      <c r="E3546" s="27" t="str">
        <f>HYPERLINK("https://www.compass.com/building/546-w-156th-st-manhattan-ny-10032/282007616727676949/","546 W 156th St")</f>
        <v>546 W 156th St</v>
      </c>
      <c r="F3546" s="25" t="s">
        <v>77</v>
      </c>
      <c r="G3546" s="28">
        <v>250000.0</v>
      </c>
      <c r="H3546" s="29"/>
      <c r="I3546" s="28">
        <v>550.0</v>
      </c>
      <c r="J3546" s="29"/>
      <c r="K3546" s="25" t="s">
        <v>25</v>
      </c>
      <c r="L3546" s="26">
        <v>5.0</v>
      </c>
      <c r="M3546" s="26">
        <v>2.0</v>
      </c>
      <c r="N3546" s="26">
        <v>1.0</v>
      </c>
      <c r="O3546" s="26">
        <v>0.0</v>
      </c>
      <c r="P3546" s="30"/>
      <c r="Q3546" s="35">
        <v>84.0</v>
      </c>
      <c r="R3546" s="32">
        <v>44883.0</v>
      </c>
      <c r="S3546" s="32">
        <v>44676.0</v>
      </c>
      <c r="T3546" s="29"/>
      <c r="U3546" s="33"/>
      <c r="V3546" s="1"/>
    </row>
    <row r="3547" ht="24.0" customHeight="1">
      <c r="A3547" s="1"/>
      <c r="B3547" s="24" t="str">
        <f>HYPERLINK("https://www.compass.com/listing/790-riverside-drive-unit-5k-manhattan-ny-10032/29435345393235473/view?agent_id=610d3f3370540700019b0833","790 Riverside Drive, Unit 5K")</f>
        <v>790 Riverside Drive, Unit 5K</v>
      </c>
      <c r="C3547" s="25" t="s">
        <v>364</v>
      </c>
      <c r="D3547" s="26" t="s">
        <v>23</v>
      </c>
      <c r="E3547" s="27" t="str">
        <f>HYPERLINK("https://www.compass.com/building/the-riviera-manhattan-ny/282009310966446917/","The Riviera")</f>
        <v>The Riviera</v>
      </c>
      <c r="F3547" s="25" t="s">
        <v>77</v>
      </c>
      <c r="G3547" s="28">
        <v>499000.0</v>
      </c>
      <c r="H3547" s="28">
        <v>499.0</v>
      </c>
      <c r="I3547" s="28">
        <v>1207.0</v>
      </c>
      <c r="J3547" s="29"/>
      <c r="K3547" s="25" t="s">
        <v>25</v>
      </c>
      <c r="L3547" s="26">
        <v>5.0</v>
      </c>
      <c r="M3547" s="26">
        <v>2.0</v>
      </c>
      <c r="N3547" s="26">
        <v>1.0</v>
      </c>
      <c r="O3547" s="26">
        <v>0.0</v>
      </c>
      <c r="P3547" s="34">
        <v>1000.0</v>
      </c>
      <c r="Q3547" s="35">
        <v>188.0</v>
      </c>
      <c r="R3547" s="32">
        <v>44581.0</v>
      </c>
      <c r="S3547" s="32">
        <v>41200.0</v>
      </c>
      <c r="T3547" s="29"/>
      <c r="U3547" s="33"/>
      <c r="V3547" s="1"/>
    </row>
    <row r="3548" ht="24.0" customHeight="1">
      <c r="A3548" s="1"/>
      <c r="B3548" s="24" t="str">
        <f>HYPERLINK("https://www.compass.com/listing/119-east-101st-street-unit-2a-manhattan-ny-10029/537669830940771225/view?agent_id=610d3f3370540700019b0833","119 East 101st Street, Unit 2A")</f>
        <v>119 East 101st Street, Unit 2A</v>
      </c>
      <c r="C3548" s="25" t="s">
        <v>365</v>
      </c>
      <c r="D3548" s="26" t="s">
        <v>23</v>
      </c>
      <c r="E3548" s="27" t="str">
        <f>HYPERLINK("https://www.compass.com/building/baldwin-manhattan-ny/281988217098578261/","Baldwin")</f>
        <v>Baldwin</v>
      </c>
      <c r="F3548" s="25" t="s">
        <v>133</v>
      </c>
      <c r="G3548" s="28">
        <v>975000.0</v>
      </c>
      <c r="H3548" s="28">
        <v>1066.0</v>
      </c>
      <c r="I3548" s="28">
        <v>787.0</v>
      </c>
      <c r="J3548" s="28">
        <v>7128.0</v>
      </c>
      <c r="K3548" s="25" t="s">
        <v>28</v>
      </c>
      <c r="L3548" s="26">
        <v>5.0</v>
      </c>
      <c r="M3548" s="26">
        <v>2.0</v>
      </c>
      <c r="N3548" s="26">
        <v>1.0</v>
      </c>
      <c r="O3548" s="30"/>
      <c r="P3548" s="26">
        <v>915.0</v>
      </c>
      <c r="Q3548" s="35">
        <v>40.0</v>
      </c>
      <c r="R3548" s="32">
        <v>44044.0</v>
      </c>
      <c r="S3548" s="32">
        <v>43995.0</v>
      </c>
      <c r="T3548" s="29"/>
      <c r="U3548" s="33"/>
      <c r="V3548" s="1"/>
    </row>
    <row r="3549" ht="24.0" customHeight="1">
      <c r="A3549" s="1"/>
      <c r="B3549" s="24" t="str">
        <f>HYPERLINK("https://www.compass.com/listing/159-34-riverside-drive-west-unit-4j-manhattan-ny-10032/4828402016503996257/view?agent_id=610d3f3370540700019b0833","159-34 Riverside Drive West, Unit 4J")</f>
        <v>159-34 Riverside Drive West, Unit 4J</v>
      </c>
      <c r="C3549" s="25" t="s">
        <v>364</v>
      </c>
      <c r="D3549" s="26" t="s">
        <v>23</v>
      </c>
      <c r="E3549" s="27" t="str">
        <f>HYPERLINK("https://www.compass.com/building/the-river-arts-manhattan-ny/294842584849472629/","The River Arts")</f>
        <v>The River Arts</v>
      </c>
      <c r="F3549" s="25" t="s">
        <v>77</v>
      </c>
      <c r="G3549" s="28">
        <v>549000.0</v>
      </c>
      <c r="H3549" s="28">
        <v>563.0</v>
      </c>
      <c r="I3549" s="28">
        <v>700.0</v>
      </c>
      <c r="J3549" s="29"/>
      <c r="K3549" s="25" t="s">
        <v>25</v>
      </c>
      <c r="L3549" s="26">
        <v>4.0</v>
      </c>
      <c r="M3549" s="26">
        <v>2.0</v>
      </c>
      <c r="N3549" s="26">
        <v>1.0</v>
      </c>
      <c r="O3549" s="26">
        <v>0.0</v>
      </c>
      <c r="P3549" s="26">
        <v>975.0</v>
      </c>
      <c r="Q3549" s="35">
        <v>0.0</v>
      </c>
      <c r="R3549" s="32">
        <v>44581.0</v>
      </c>
      <c r="S3549" s="32">
        <v>43187.0</v>
      </c>
      <c r="T3549" s="29"/>
      <c r="U3549" s="33"/>
      <c r="V3549" s="1"/>
    </row>
    <row r="3550" ht="24.0" customHeight="1">
      <c r="A3550" s="1"/>
      <c r="B3550" s="24" t="str">
        <f>HYPERLINK("https://www.compass.com/listing/478-west-158th-street-unit-2-manhattan-ny-10032/158504029343731073/view?agent_id=610d3f3370540700019b0833","478 West 158th Street, Unit 2")</f>
        <v>478 West 158th Street, Unit 2</v>
      </c>
      <c r="C3550" s="25" t="s">
        <v>370</v>
      </c>
      <c r="D3550" s="26" t="s">
        <v>23</v>
      </c>
      <c r="E3550" s="27" t="str">
        <f>HYPERLINK("https://www.compass.com/building/the-roger-morris-manhattan-ny/282059711233162693/","The Roger Morris")</f>
        <v>The Roger Morris</v>
      </c>
      <c r="F3550" s="25" t="s">
        <v>77</v>
      </c>
      <c r="G3550" s="28">
        <v>385000.0</v>
      </c>
      <c r="H3550" s="29"/>
      <c r="I3550" s="28">
        <v>1055.0</v>
      </c>
      <c r="J3550" s="28">
        <v>0.0</v>
      </c>
      <c r="K3550" s="25" t="s">
        <v>25</v>
      </c>
      <c r="L3550" s="26">
        <v>4.0</v>
      </c>
      <c r="M3550" s="26">
        <v>2.0</v>
      </c>
      <c r="N3550" s="26">
        <v>1.0</v>
      </c>
      <c r="O3550" s="26">
        <v>0.0</v>
      </c>
      <c r="P3550" s="30"/>
      <c r="Q3550" s="35">
        <v>358.0</v>
      </c>
      <c r="R3550" s="32">
        <v>43833.0</v>
      </c>
      <c r="S3550" s="32">
        <v>43475.0</v>
      </c>
      <c r="T3550" s="29"/>
      <c r="U3550" s="33"/>
      <c r="V3550" s="1"/>
    </row>
    <row r="3551" ht="24.0" customHeight="1">
      <c r="A3551" s="1"/>
      <c r="B3551" s="24" t="str">
        <f>HYPERLINK("https://www.compass.com/listing/9511-shore-road-unit-611-brooklyn-ny-11209/1298535053174195769/view?agent_id=610d3f3370540700019b0833","9511 Shore Road, Unit 611")</f>
        <v>9511 Shore Road, Unit 611</v>
      </c>
      <c r="C3551" s="25" t="s">
        <v>364</v>
      </c>
      <c r="D3551" s="26" t="s">
        <v>23</v>
      </c>
      <c r="E3551" s="27" t="str">
        <f>HYPERLINK("https://www.compass.com/building/the-9511-shore-road-condominium-brooklyn-ny/293416527217142373/","The 9511 Shore Road Condominium")</f>
        <v>The 9511 Shore Road Condominium</v>
      </c>
      <c r="F3551" s="25" t="s">
        <v>55</v>
      </c>
      <c r="G3551" s="28">
        <v>799000.0</v>
      </c>
      <c r="H3551" s="28">
        <v>836.0</v>
      </c>
      <c r="I3551" s="28">
        <v>951.0</v>
      </c>
      <c r="J3551" s="28">
        <v>4683.0</v>
      </c>
      <c r="K3551" s="25" t="s">
        <v>28</v>
      </c>
      <c r="L3551" s="26">
        <v>4.0</v>
      </c>
      <c r="M3551" s="26">
        <v>2.0</v>
      </c>
      <c r="N3551" s="26">
        <v>1.0</v>
      </c>
      <c r="O3551" s="30"/>
      <c r="P3551" s="26">
        <v>956.0</v>
      </c>
      <c r="Q3551" s="35">
        <v>398.0</v>
      </c>
      <c r="R3551" s="32">
        <v>45442.0</v>
      </c>
      <c r="S3551" s="32">
        <v>45043.0</v>
      </c>
      <c r="T3551" s="29"/>
      <c r="U3551" s="33"/>
      <c r="V3551" s="1"/>
    </row>
    <row r="3552" ht="24.0" customHeight="1">
      <c r="A3552" s="1"/>
      <c r="B3552" s="24" t="str">
        <f>HYPERLINK("https://www.compass.com/listing/720-west-173rd-street-unit-42-manhattan-ny-10032/4852281042616202209/view?agent_id=610d3f3370540700019b0833","720 West 173rd Street, Unit 42")</f>
        <v>720 West 173rd Street, Unit 42</v>
      </c>
      <c r="C3552" s="25" t="s">
        <v>364</v>
      </c>
      <c r="D3552" s="26" t="s">
        <v>23</v>
      </c>
      <c r="E3552" s="27" t="str">
        <f>HYPERLINK("https://www.compass.com/building/720-w-173rd-st-manhattan-ny-10032/282009189667175509/","720 W 173rd St")</f>
        <v>720 W 173rd St</v>
      </c>
      <c r="F3552" s="25" t="s">
        <v>77</v>
      </c>
      <c r="G3552" s="28">
        <v>345000.0</v>
      </c>
      <c r="H3552" s="29"/>
      <c r="I3552" s="28">
        <v>856.0</v>
      </c>
      <c r="J3552" s="29"/>
      <c r="K3552" s="25" t="s">
        <v>25</v>
      </c>
      <c r="L3552" s="26">
        <v>4.0</v>
      </c>
      <c r="M3552" s="26">
        <v>2.0</v>
      </c>
      <c r="N3552" s="26">
        <v>1.0</v>
      </c>
      <c r="O3552" s="26">
        <v>0.0</v>
      </c>
      <c r="P3552" s="30"/>
      <c r="Q3552" s="35">
        <v>66.0</v>
      </c>
      <c r="R3552" s="32">
        <v>45636.0</v>
      </c>
      <c r="S3552" s="32">
        <v>41923.0</v>
      </c>
      <c r="T3552" s="29"/>
      <c r="U3552" s="33"/>
      <c r="V3552" s="1"/>
    </row>
    <row r="3553" ht="24.0" customHeight="1">
      <c r="A3553" s="1"/>
      <c r="B3553" s="24" t="str">
        <f>HYPERLINK("https://www.compass.com/listing/4-bogardus-place-unit-3e-manhattan-ny-10040/1367310846018845713/view?agent_id=610d3f3370540700019b0833","4 Bogardus Place, Unit 3E")</f>
        <v>4 Bogardus Place, Unit 3E</v>
      </c>
      <c r="C3553" s="25" t="s">
        <v>370</v>
      </c>
      <c r="D3553" s="26" t="s">
        <v>23</v>
      </c>
      <c r="E3553" s="27" t="str">
        <f t="shared" ref="E3553:E3554" si="123">HYPERLINK("https://www.compass.com/building/4-bogardus-pl-manhattan-ny-10040/282033577263119381/","4 Bogardus Pl")</f>
        <v>4 Bogardus Pl</v>
      </c>
      <c r="F3553" s="25" t="s">
        <v>77</v>
      </c>
      <c r="G3553" s="28">
        <v>499000.0</v>
      </c>
      <c r="H3553" s="28">
        <v>554.0</v>
      </c>
      <c r="I3553" s="28">
        <v>1137.0</v>
      </c>
      <c r="J3553" s="28">
        <v>0.0</v>
      </c>
      <c r="K3553" s="25" t="s">
        <v>25</v>
      </c>
      <c r="L3553" s="26">
        <v>5.0</v>
      </c>
      <c r="M3553" s="26">
        <v>2.0</v>
      </c>
      <c r="N3553" s="26">
        <v>1.0</v>
      </c>
      <c r="O3553" s="30"/>
      <c r="P3553" s="26">
        <v>900.0</v>
      </c>
      <c r="Q3553" s="35">
        <v>153.0</v>
      </c>
      <c r="R3553" s="32">
        <v>45292.0</v>
      </c>
      <c r="S3553" s="32">
        <v>45138.0</v>
      </c>
      <c r="T3553" s="29"/>
      <c r="U3553" s="33"/>
      <c r="V3553" s="1"/>
    </row>
    <row r="3554" ht="24.0" customHeight="1">
      <c r="A3554" s="1"/>
      <c r="B3554" s="24" t="str">
        <f>HYPERLINK("https://www.compass.com/listing/4-bogardus-place-unit-3e-manhattan-ny-10040/1486575817449266417/view?agent_id=610d3f3370540700019b0833","4 Bogardus Place, Unit 3E")</f>
        <v>4 Bogardus Place, Unit 3E</v>
      </c>
      <c r="C3554" s="25" t="s">
        <v>370</v>
      </c>
      <c r="D3554" s="26" t="s">
        <v>23</v>
      </c>
      <c r="E3554" s="27" t="str">
        <f t="shared" si="123"/>
        <v>4 Bogardus Pl</v>
      </c>
      <c r="F3554" s="25" t="s">
        <v>77</v>
      </c>
      <c r="G3554" s="28">
        <v>472500.0</v>
      </c>
      <c r="H3554" s="28">
        <v>525.0</v>
      </c>
      <c r="I3554" s="28">
        <v>1225.0</v>
      </c>
      <c r="J3554" s="28">
        <v>0.0</v>
      </c>
      <c r="K3554" s="25" t="s">
        <v>25</v>
      </c>
      <c r="L3554" s="26">
        <v>5.0</v>
      </c>
      <c r="M3554" s="26">
        <v>2.0</v>
      </c>
      <c r="N3554" s="26">
        <v>1.0</v>
      </c>
      <c r="O3554" s="30"/>
      <c r="P3554" s="26">
        <v>900.0</v>
      </c>
      <c r="Q3554" s="35">
        <v>89.0</v>
      </c>
      <c r="R3554" s="32">
        <v>45392.0</v>
      </c>
      <c r="S3554" s="32">
        <v>45302.0</v>
      </c>
      <c r="T3554" s="29"/>
      <c r="U3554" s="33"/>
      <c r="V3554" s="1"/>
    </row>
    <row r="3555" ht="24.0" customHeight="1">
      <c r="A3555" s="1"/>
      <c r="B3555" s="24" t="str">
        <f>HYPERLINK("https://www.compass.com/listing/31-nagle-avenue-unit-2h-manhattan-ny-10040/1621959585971990817/view?agent_id=610d3f3370540700019b0833","31 Nagle Avenue, Unit 2H")</f>
        <v>31 Nagle Avenue, Unit 2H</v>
      </c>
      <c r="C3555" s="25" t="s">
        <v>364</v>
      </c>
      <c r="D3555" s="26" t="s">
        <v>23</v>
      </c>
      <c r="E3555" s="27" t="str">
        <f>HYPERLINK("https://www.compass.com/building/31-nagle-ave-manhattan-ny-10040/282033330797427557/","31 Nagle Ave")</f>
        <v>31 Nagle Ave</v>
      </c>
      <c r="F3555" s="25" t="s">
        <v>77</v>
      </c>
      <c r="G3555" s="28">
        <v>550000.0</v>
      </c>
      <c r="H3555" s="28">
        <v>611.0</v>
      </c>
      <c r="I3555" s="28">
        <v>1109.0</v>
      </c>
      <c r="J3555" s="28">
        <v>0.0</v>
      </c>
      <c r="K3555" s="25" t="s">
        <v>25</v>
      </c>
      <c r="L3555" s="26">
        <v>5.0</v>
      </c>
      <c r="M3555" s="26">
        <v>2.0</v>
      </c>
      <c r="N3555" s="26">
        <v>1.0</v>
      </c>
      <c r="O3555" s="30"/>
      <c r="P3555" s="26">
        <v>900.0</v>
      </c>
      <c r="Q3555" s="35">
        <v>148.0</v>
      </c>
      <c r="R3555" s="32">
        <v>45638.0</v>
      </c>
      <c r="S3555" s="32">
        <v>45489.0</v>
      </c>
      <c r="T3555" s="29"/>
      <c r="U3555" s="33"/>
      <c r="V3555" s="1"/>
    </row>
    <row r="3556" ht="24.0" customHeight="1">
      <c r="A3556" s="1"/>
      <c r="B3556" s="24" t="str">
        <f>HYPERLINK("https://www.compass.com/listing/80-john-street-unit-16bfurnish-manhattan-ny-10038/4852323737040589793/view?agent_id=610d3f3370540700019b0833","80 John Street, Unit 16BFURNISH")</f>
        <v>80 John Street, Unit 16BFURNISH</v>
      </c>
      <c r="C3556" s="25" t="s">
        <v>364</v>
      </c>
      <c r="D3556" s="26" t="s">
        <v>23</v>
      </c>
      <c r="E3556" s="27" t="str">
        <f>HYPERLINK("https://www.compass.com/building/the-south-star-manhattan-ny/282030771458293189/","The South Star")</f>
        <v>The South Star</v>
      </c>
      <c r="F3556" s="25" t="s">
        <v>80</v>
      </c>
      <c r="G3556" s="28">
        <v>6000.0</v>
      </c>
      <c r="H3556" s="28">
        <v>6.0</v>
      </c>
      <c r="I3556" s="28">
        <v>0.0</v>
      </c>
      <c r="J3556" s="29"/>
      <c r="K3556" s="25" t="s">
        <v>28</v>
      </c>
      <c r="L3556" s="26">
        <v>4.0</v>
      </c>
      <c r="M3556" s="26">
        <v>2.0</v>
      </c>
      <c r="N3556" s="26">
        <v>0.0</v>
      </c>
      <c r="O3556" s="26">
        <v>0.0</v>
      </c>
      <c r="P3556" s="34">
        <v>1031.0</v>
      </c>
      <c r="Q3556" s="35">
        <v>0.0</v>
      </c>
      <c r="R3556" s="32">
        <v>44581.0</v>
      </c>
      <c r="S3556" s="32">
        <v>42317.0</v>
      </c>
      <c r="T3556" s="29"/>
      <c r="U3556" s="33"/>
      <c r="V3556" s="1"/>
    </row>
    <row r="3557" ht="24.0" customHeight="1">
      <c r="A3557" s="1"/>
      <c r="B3557" s="24" t="str">
        <f>HYPERLINK("https://www.compass.com/listing/350-cabrini-boulevard-unit-2k-manhattan-ny-10040/372991278372110465/view?agent_id=610d3f3370540700019b0833","350 Cabrini Boulevard, Unit 2K")</f>
        <v>350 Cabrini Boulevard, Unit 2K</v>
      </c>
      <c r="C3557" s="25" t="s">
        <v>364</v>
      </c>
      <c r="D3557" s="26" t="s">
        <v>23</v>
      </c>
      <c r="E3557" s="27" t="str">
        <f>HYPERLINK("https://www.compass.com/building/350-cabrini-blvd-manhattan-ny-10040/282033432735792053/","350 Cabrini Blvd")</f>
        <v>350 Cabrini Blvd</v>
      </c>
      <c r="F3557" s="25" t="s">
        <v>58</v>
      </c>
      <c r="G3557" s="28">
        <v>699000.0</v>
      </c>
      <c r="H3557" s="28">
        <v>666.0</v>
      </c>
      <c r="I3557" s="28">
        <v>1252.0</v>
      </c>
      <c r="J3557" s="29"/>
      <c r="K3557" s="25" t="s">
        <v>25</v>
      </c>
      <c r="L3557" s="26">
        <v>4.0</v>
      </c>
      <c r="M3557" s="26">
        <v>2.0</v>
      </c>
      <c r="N3557" s="26">
        <v>1.0</v>
      </c>
      <c r="O3557" s="30"/>
      <c r="P3557" s="34">
        <v>1050.0</v>
      </c>
      <c r="Q3557" s="35">
        <v>108.0</v>
      </c>
      <c r="R3557" s="32">
        <v>44581.0</v>
      </c>
      <c r="S3557" s="32">
        <v>42578.0</v>
      </c>
      <c r="T3557" s="29"/>
      <c r="U3557" s="33"/>
      <c r="V3557" s="1"/>
    </row>
    <row r="3558" ht="24.0" customHeight="1">
      <c r="A3558" s="1"/>
      <c r="B3558" s="24" t="str">
        <f>HYPERLINK("https://www.compass.com/listing/202-west-140th-street-unit-5b-manhattan-ny-10030/1010060732721528865/view?agent_id=610d3f3370540700019b0833","202 West 140th Street, Unit 5B")</f>
        <v>202 West 140th Street, Unit 5B</v>
      </c>
      <c r="C3558" s="25" t="s">
        <v>364</v>
      </c>
      <c r="D3558" s="26" t="s">
        <v>23</v>
      </c>
      <c r="E3558" s="27" t="str">
        <f>HYPERLINK("https://www.compass.com/building/strivers-north-manhattan-ny/281993374238622645/","Striver's North")</f>
        <v>Striver's North</v>
      </c>
      <c r="F3558" s="25" t="s">
        <v>32</v>
      </c>
      <c r="G3558" s="28">
        <v>850000.0</v>
      </c>
      <c r="H3558" s="28">
        <v>935.0</v>
      </c>
      <c r="I3558" s="28">
        <v>762.0</v>
      </c>
      <c r="J3558" s="28">
        <v>2244.0</v>
      </c>
      <c r="K3558" s="25" t="s">
        <v>28</v>
      </c>
      <c r="L3558" s="26">
        <v>4.0</v>
      </c>
      <c r="M3558" s="26">
        <v>2.0</v>
      </c>
      <c r="N3558" s="26">
        <v>1.0</v>
      </c>
      <c r="O3558" s="30"/>
      <c r="P3558" s="26">
        <v>909.0</v>
      </c>
      <c r="Q3558" s="35">
        <v>10.0</v>
      </c>
      <c r="R3558" s="32">
        <v>44656.0</v>
      </c>
      <c r="S3558" s="32">
        <v>44645.0</v>
      </c>
      <c r="T3558" s="29"/>
      <c r="U3558" s="33"/>
      <c r="V3558" s="1"/>
    </row>
    <row r="3559" ht="24.0" customHeight="1">
      <c r="A3559" s="1"/>
      <c r="B3559" s="24" t="str">
        <f>HYPERLINK("https://www.compass.com/listing/35-25-78th-street-unit-a48-queens-ny-11372/1785843942722888721/view?agent_id=610d3f3370540700019b0833","35-25 78th Street, Unit A48")</f>
        <v>35-25 78th Street, Unit A48</v>
      </c>
      <c r="C3559" s="25" t="s">
        <v>365</v>
      </c>
      <c r="D3559" s="26" t="s">
        <v>23</v>
      </c>
      <c r="E3559" s="27" t="str">
        <f>HYPERLINK("https://www.compass.com/building/hampton-court-queens-ny/293530591549199909/","Hampton Court")</f>
        <v>Hampton Court</v>
      </c>
      <c r="F3559" s="25" t="s">
        <v>33</v>
      </c>
      <c r="G3559" s="28">
        <v>790000.0</v>
      </c>
      <c r="H3559" s="29"/>
      <c r="I3559" s="28">
        <v>1255.0</v>
      </c>
      <c r="J3559" s="28">
        <v>0.0</v>
      </c>
      <c r="K3559" s="25" t="s">
        <v>25</v>
      </c>
      <c r="L3559" s="26">
        <v>5.0</v>
      </c>
      <c r="M3559" s="26">
        <v>2.0</v>
      </c>
      <c r="N3559" s="26">
        <v>1.0</v>
      </c>
      <c r="O3559" s="30"/>
      <c r="P3559" s="30"/>
      <c r="Q3559" s="35">
        <v>0.0</v>
      </c>
      <c r="R3559" s="32">
        <v>45715.0</v>
      </c>
      <c r="S3559" s="32">
        <v>45715.0</v>
      </c>
      <c r="T3559" s="29"/>
      <c r="U3559" s="33"/>
      <c r="V3559" s="1"/>
    </row>
    <row r="3560" ht="24.0" customHeight="1">
      <c r="A3560" s="1"/>
      <c r="B3560" s="24" t="str">
        <f>HYPERLINK("https://www.compass.com/listing/310-lenox-road-unit-7l-brooklyn-ny-11226/1309502268673094753/view?agent_id=610d3f3370540700019b0833","310 Lenox Road, Unit 7L")</f>
        <v>310 Lenox Road, Unit 7L</v>
      </c>
      <c r="C3560" s="25" t="s">
        <v>365</v>
      </c>
      <c r="D3560" s="26" t="s">
        <v>23</v>
      </c>
      <c r="E3560" s="27" t="str">
        <f>HYPERLINK("https://www.compass.com/building/the-gentry-brooklyn-ny/293531087995481845/","The Gentry")</f>
        <v>The Gentry</v>
      </c>
      <c r="F3560" s="25" t="s">
        <v>112</v>
      </c>
      <c r="G3560" s="28">
        <v>399000.0</v>
      </c>
      <c r="H3560" s="28">
        <v>378.0</v>
      </c>
      <c r="I3560" s="28">
        <v>1289.0</v>
      </c>
      <c r="J3560" s="28">
        <v>0.0</v>
      </c>
      <c r="K3560" s="25" t="s">
        <v>25</v>
      </c>
      <c r="L3560" s="26">
        <v>4.0</v>
      </c>
      <c r="M3560" s="26">
        <v>2.0</v>
      </c>
      <c r="N3560" s="26">
        <v>1.0</v>
      </c>
      <c r="O3560" s="30"/>
      <c r="P3560" s="34">
        <v>1055.0</v>
      </c>
      <c r="Q3560" s="35">
        <v>99.0</v>
      </c>
      <c r="R3560" s="32">
        <v>45158.0</v>
      </c>
      <c r="S3560" s="32">
        <v>45058.0</v>
      </c>
      <c r="T3560" s="29"/>
      <c r="U3560" s="33"/>
      <c r="V3560" s="1"/>
    </row>
    <row r="3561" ht="24.0" customHeight="1">
      <c r="A3561" s="1"/>
      <c r="B3561" s="24" t="str">
        <f>HYPERLINK("https://www.compass.com/listing/1825-riverside-drive-unit-1f-manhattan-ny-10034/1662470163293289393/view?agent_id=610d3f3370540700019b0833","1825 Riverside Drive, Unit 1F")</f>
        <v>1825 Riverside Drive, Unit 1F</v>
      </c>
      <c r="C3561" s="25" t="s">
        <v>370</v>
      </c>
      <c r="D3561" s="26" t="s">
        <v>23</v>
      </c>
      <c r="E3561" s="27" t="str">
        <f t="shared" ref="E3561:E3562" si="124">HYPERLINK("https://www.compass.com/building/1825-riverside-dr-manhattan-ny-10034/282014591376953989/","1825 Riverside Dr")</f>
        <v>1825 Riverside Dr</v>
      </c>
      <c r="F3561" s="25" t="s">
        <v>77</v>
      </c>
      <c r="G3561" s="28">
        <v>545000.0</v>
      </c>
      <c r="H3561" s="28">
        <v>474.0</v>
      </c>
      <c r="I3561" s="28">
        <v>1114.0</v>
      </c>
      <c r="J3561" s="29"/>
      <c r="K3561" s="25" t="s">
        <v>25</v>
      </c>
      <c r="L3561" s="26">
        <v>6.0</v>
      </c>
      <c r="M3561" s="26">
        <v>2.0</v>
      </c>
      <c r="N3561" s="26">
        <v>1.0</v>
      </c>
      <c r="O3561" s="30"/>
      <c r="P3561" s="34">
        <v>1150.0</v>
      </c>
      <c r="Q3561" s="35">
        <v>166.0</v>
      </c>
      <c r="R3561" s="32">
        <v>45839.0</v>
      </c>
      <c r="S3561" s="32">
        <v>45551.0</v>
      </c>
      <c r="T3561" s="29"/>
      <c r="U3561" s="33"/>
      <c r="V3561" s="1"/>
    </row>
    <row r="3562" ht="24.0" customHeight="1">
      <c r="A3562" s="1"/>
      <c r="B3562" s="24" t="str">
        <f>HYPERLINK("https://www.compass.com/listing/1825-riverside-drive-unit-1f-manhattan-ny-10034/1506710837271945921/view?agent_id=610d3f3370540700019b0833","1825 Riverside Drive, Unit 1F")</f>
        <v>1825 Riverside Drive, Unit 1F</v>
      </c>
      <c r="C3562" s="25" t="s">
        <v>370</v>
      </c>
      <c r="D3562" s="26" t="s">
        <v>23</v>
      </c>
      <c r="E3562" s="27" t="str">
        <f t="shared" si="124"/>
        <v>1825 Riverside Dr</v>
      </c>
      <c r="F3562" s="25" t="s">
        <v>77</v>
      </c>
      <c r="G3562" s="28">
        <v>545000.0</v>
      </c>
      <c r="H3562" s="28">
        <v>474.0</v>
      </c>
      <c r="I3562" s="28">
        <v>1046.0</v>
      </c>
      <c r="J3562" s="29"/>
      <c r="K3562" s="25" t="s">
        <v>25</v>
      </c>
      <c r="L3562" s="26">
        <v>6.0</v>
      </c>
      <c r="M3562" s="26">
        <v>2.0</v>
      </c>
      <c r="N3562" s="26">
        <v>1.0</v>
      </c>
      <c r="O3562" s="30"/>
      <c r="P3562" s="34">
        <v>1150.0</v>
      </c>
      <c r="Q3562" s="35">
        <v>191.0</v>
      </c>
      <c r="R3562" s="32">
        <v>45612.0</v>
      </c>
      <c r="S3562" s="32">
        <v>45334.0</v>
      </c>
      <c r="T3562" s="29"/>
      <c r="U3562" s="33"/>
      <c r="V3562" s="1"/>
    </row>
    <row r="3563" ht="24.0" customHeight="1">
      <c r="A3563" s="1"/>
      <c r="B3563" s="24" t="str">
        <f>HYPERLINK("https://www.compass.com/listing/515-east-7th-street-unit-5k-brooklyn-ny-11218/476987992702191721/view?agent_id=610d3f3370540700019b0833","515 East 7th Street, Unit 5K")</f>
        <v>515 East 7th Street, Unit 5K</v>
      </c>
      <c r="C3563" s="25" t="s">
        <v>364</v>
      </c>
      <c r="D3563" s="26" t="s">
        <v>23</v>
      </c>
      <c r="E3563" s="27" t="str">
        <f>HYPERLINK("https://www.compass.com/building/515-e-7th-st-brooklyn-ny-11218/293528752506283493/","515 E 7th St")</f>
        <v>515 E 7th St</v>
      </c>
      <c r="F3563" s="25" t="s">
        <v>117</v>
      </c>
      <c r="G3563" s="28">
        <v>665000.0</v>
      </c>
      <c r="H3563" s="29"/>
      <c r="I3563" s="28">
        <v>821.0</v>
      </c>
      <c r="J3563" s="28">
        <v>0.0</v>
      </c>
      <c r="K3563" s="25" t="s">
        <v>25</v>
      </c>
      <c r="L3563" s="26">
        <v>4.0</v>
      </c>
      <c r="M3563" s="26">
        <v>2.0</v>
      </c>
      <c r="N3563" s="26">
        <v>1.0</v>
      </c>
      <c r="O3563" s="26">
        <v>0.0</v>
      </c>
      <c r="P3563" s="30"/>
      <c r="Q3563" s="35">
        <v>37.0</v>
      </c>
      <c r="R3563" s="32">
        <v>44097.0</v>
      </c>
      <c r="S3563" s="32">
        <v>44036.0</v>
      </c>
      <c r="T3563" s="29"/>
      <c r="U3563" s="33"/>
      <c r="V3563" s="1"/>
    </row>
    <row r="3564" ht="24.0" customHeight="1">
      <c r="A3564" s="1"/>
      <c r="B3564" s="24" t="str">
        <f>HYPERLINK("https://www.compass.com/listing/303-beverley-road-unit-9j-brooklyn-ny-11218/35248153267547521/view?agent_id=610d3f3370540700019b0833","303 Beverley Road, Unit 9J")</f>
        <v>303 Beverley Road, Unit 9J</v>
      </c>
      <c r="C3564" s="25" t="s">
        <v>370</v>
      </c>
      <c r="D3564" s="26" t="s">
        <v>23</v>
      </c>
      <c r="E3564" s="27" t="str">
        <f>HYPERLINK("https://www.compass.com/building/303-beverley-rd-brooklyn-ny-11218/293416644405996405/","303 Beverley Rd")</f>
        <v>303 Beverley Rd</v>
      </c>
      <c r="F3564" s="25" t="s">
        <v>117</v>
      </c>
      <c r="G3564" s="28">
        <v>674000.0</v>
      </c>
      <c r="H3564" s="29"/>
      <c r="I3564" s="28">
        <v>649.0</v>
      </c>
      <c r="J3564" s="29"/>
      <c r="K3564" s="25" t="s">
        <v>25</v>
      </c>
      <c r="L3564" s="26">
        <v>4.0</v>
      </c>
      <c r="M3564" s="26">
        <v>2.0</v>
      </c>
      <c r="N3564" s="26">
        <v>1.0</v>
      </c>
      <c r="O3564" s="26">
        <v>0.0</v>
      </c>
      <c r="P3564" s="30"/>
      <c r="Q3564" s="35">
        <v>169.0</v>
      </c>
      <c r="R3564" s="32">
        <v>45636.0</v>
      </c>
      <c r="S3564" s="32">
        <v>43300.0</v>
      </c>
      <c r="T3564" s="29"/>
      <c r="U3564" s="33"/>
      <c r="V3564" s="1"/>
    </row>
    <row r="3565" ht="24.0" customHeight="1">
      <c r="A3565" s="1"/>
      <c r="B3565" s="24" t="str">
        <f>HYPERLINK("https://www.compass.com/listing/353-east-104th-street-unit-7a-manhattan-ny-10029/289703756470189329/view?agent_id=610d3f3370540700019b0833","353 East 104th Street, Unit 7A")</f>
        <v>353 East 104th Street, Unit 7A</v>
      </c>
      <c r="C3565" s="25" t="s">
        <v>364</v>
      </c>
      <c r="D3565" s="26" t="s">
        <v>23</v>
      </c>
      <c r="E3565" s="27" t="str">
        <f>HYPERLINK("https://www.compass.com/building/observatory-place-manhattan-ny/292897061366516677/","Observatory Place")</f>
        <v>Observatory Place</v>
      </c>
      <c r="F3565" s="25" t="s">
        <v>133</v>
      </c>
      <c r="G3565" s="28">
        <v>769000.0</v>
      </c>
      <c r="H3565" s="29"/>
      <c r="I3565" s="28">
        <v>1637.0</v>
      </c>
      <c r="J3565" s="28">
        <v>6912.0</v>
      </c>
      <c r="K3565" s="25" t="s">
        <v>28</v>
      </c>
      <c r="L3565" s="26">
        <v>4.0</v>
      </c>
      <c r="M3565" s="26">
        <v>2.0</v>
      </c>
      <c r="N3565" s="26">
        <v>1.0</v>
      </c>
      <c r="O3565" s="26">
        <v>0.0</v>
      </c>
      <c r="P3565" s="30"/>
      <c r="Q3565" s="35">
        <v>172.0</v>
      </c>
      <c r="R3565" s="32">
        <v>43843.0</v>
      </c>
      <c r="S3565" s="32">
        <v>43654.0</v>
      </c>
      <c r="T3565" s="29"/>
      <c r="U3565" s="33"/>
      <c r="V3565" s="1"/>
    </row>
    <row r="3566" ht="24.0" customHeight="1">
      <c r="A3566" s="1"/>
      <c r="B3566" s="24" t="str">
        <f>HYPERLINK("https://www.compass.com/listing/1919-madison-avenue-unit-410-manhattan-ny-10035/338946559093825313/view?agent_id=610d3f3370540700019b0833","1919 Madison Avenue, Unit 410")</f>
        <v>1919 Madison Avenue, Unit 410</v>
      </c>
      <c r="C3566" s="25" t="s">
        <v>365</v>
      </c>
      <c r="D3566" s="26" t="s">
        <v>23</v>
      </c>
      <c r="E3566" s="27" t="str">
        <f>HYPERLINK("https://www.compass.com/building/1919-madison-ave-manhattan-ny-10035/292914302245940933/","1919 Madison Ave")</f>
        <v>1919 Madison Ave</v>
      </c>
      <c r="F3566" s="25" t="s">
        <v>45</v>
      </c>
      <c r="G3566" s="28">
        <v>559000.0</v>
      </c>
      <c r="H3566" s="29"/>
      <c r="I3566" s="28">
        <v>1119.0</v>
      </c>
      <c r="J3566" s="28">
        <v>0.0</v>
      </c>
      <c r="K3566" s="25" t="s">
        <v>25</v>
      </c>
      <c r="L3566" s="26">
        <v>4.0</v>
      </c>
      <c r="M3566" s="26">
        <v>2.0</v>
      </c>
      <c r="N3566" s="26">
        <v>1.0</v>
      </c>
      <c r="O3566" s="26">
        <v>0.0</v>
      </c>
      <c r="P3566" s="30"/>
      <c r="Q3566" s="35">
        <v>42.0</v>
      </c>
      <c r="R3566" s="32">
        <v>44197.0</v>
      </c>
      <c r="S3566" s="32">
        <v>43719.0</v>
      </c>
      <c r="T3566" s="29"/>
      <c r="U3566" s="33"/>
      <c r="V3566" s="1"/>
    </row>
    <row r="3567" ht="24.0" customHeight="1">
      <c r="A3567" s="1"/>
      <c r="B3567" s="24" t="str">
        <f>HYPERLINK("https://www.compass.com/listing/900-west-190th-street-unit-11a-manhattan-ny-10040/333759828610451745/view?agent_id=610d3f3370540700019b0833","900 West 190th Street, Unit 11A")</f>
        <v>900 West 190th Street, Unit 11A</v>
      </c>
      <c r="C3567" s="25" t="s">
        <v>364</v>
      </c>
      <c r="D3567" s="26" t="s">
        <v>23</v>
      </c>
      <c r="E3567" s="27" t="str">
        <f>HYPERLINK("https://www.compass.com/building/cabrini-terrace-manhattan-ny/282034716771633221/","Cabrini Terrace")</f>
        <v>Cabrini Terrace</v>
      </c>
      <c r="F3567" s="25" t="s">
        <v>58</v>
      </c>
      <c r="G3567" s="28">
        <v>699000.0</v>
      </c>
      <c r="H3567" s="29"/>
      <c r="I3567" s="28">
        <v>935.0</v>
      </c>
      <c r="J3567" s="28">
        <v>0.0</v>
      </c>
      <c r="K3567" s="25" t="s">
        <v>25</v>
      </c>
      <c r="L3567" s="26">
        <v>3.0</v>
      </c>
      <c r="M3567" s="26">
        <v>2.0</v>
      </c>
      <c r="N3567" s="26">
        <v>1.0</v>
      </c>
      <c r="O3567" s="26">
        <v>0.0</v>
      </c>
      <c r="P3567" s="30"/>
      <c r="Q3567" s="35">
        <v>100.0</v>
      </c>
      <c r="R3567" s="32">
        <v>43902.0</v>
      </c>
      <c r="S3567" s="32">
        <v>43712.0</v>
      </c>
      <c r="T3567" s="29"/>
      <c r="U3567" s="33"/>
      <c r="V3567" s="1"/>
    </row>
    <row r="3568" ht="24.0" customHeight="1">
      <c r="A3568" s="1"/>
      <c r="B3568" s="24" t="str">
        <f>HYPERLINK("https://www.compass.com/listing/5500-fieldston-road-unit-7jj-bronx-ny-10471/1376444475048751089/view?agent_id=610d3f3370540700019b0833","5500 Fieldston Road, Unit 7JJ")</f>
        <v>5500 Fieldston Road, Unit 7JJ</v>
      </c>
      <c r="C3568" s="25" t="s">
        <v>365</v>
      </c>
      <c r="D3568" s="26" t="s">
        <v>23</v>
      </c>
      <c r="E3568" s="27" t="str">
        <f>HYPERLINK("https://www.compass.com/building/5500-fieldston-rd-bronx-ny-10471/293532030354930197/","5500 Fieldston Rd")</f>
        <v>5500 Fieldston Rd</v>
      </c>
      <c r="F3568" s="25" t="s">
        <v>75</v>
      </c>
      <c r="G3568" s="28">
        <v>275000.0</v>
      </c>
      <c r="H3568" s="29"/>
      <c r="I3568" s="28">
        <v>1430.0</v>
      </c>
      <c r="J3568" s="28">
        <v>0.0</v>
      </c>
      <c r="K3568" s="25" t="s">
        <v>25</v>
      </c>
      <c r="L3568" s="26">
        <v>4.0</v>
      </c>
      <c r="M3568" s="26">
        <v>2.0</v>
      </c>
      <c r="N3568" s="26">
        <v>1.0</v>
      </c>
      <c r="O3568" s="26">
        <v>0.0</v>
      </c>
      <c r="P3568" s="30"/>
      <c r="Q3568" s="35">
        <v>142.0</v>
      </c>
      <c r="R3568" s="32">
        <v>45293.0</v>
      </c>
      <c r="S3568" s="32">
        <v>45150.0</v>
      </c>
      <c r="T3568" s="29"/>
      <c r="U3568" s="33"/>
      <c r="V3568" s="1"/>
    </row>
    <row r="3569" ht="24.0" customHeight="1">
      <c r="A3569" s="1"/>
      <c r="B3569" s="24" t="str">
        <f>HYPERLINK("https://www.compass.com/listing/2605-frederick-douglass-boulevard-unit-1b-manhattan-ny-10030/4852306128823923969/view?agent_id=610d3f3370540700019b0833","2605 Frederick Douglass Boulevard, Unit 1B")</f>
        <v>2605 Frederick Douglass Boulevard, Unit 1B</v>
      </c>
      <c r="C3569" s="25" t="s">
        <v>370</v>
      </c>
      <c r="D3569" s="26" t="s">
        <v>23</v>
      </c>
      <c r="E3569" s="27" t="str">
        <f>HYPERLINK("https://www.compass.com/building/one-strivers-row-manhattan-ny/389281363946521733/","One Striver's Row")</f>
        <v>One Striver's Row</v>
      </c>
      <c r="F3569" s="25" t="s">
        <v>32</v>
      </c>
      <c r="G3569" s="28">
        <v>749000.0</v>
      </c>
      <c r="H3569" s="28">
        <v>532.0</v>
      </c>
      <c r="I3569" s="28">
        <v>737.0</v>
      </c>
      <c r="J3569" s="28">
        <v>84.0</v>
      </c>
      <c r="K3569" s="25" t="s">
        <v>28</v>
      </c>
      <c r="L3569" s="26">
        <v>4.0</v>
      </c>
      <c r="M3569" s="26">
        <v>2.0</v>
      </c>
      <c r="N3569" s="26">
        <v>0.0</v>
      </c>
      <c r="O3569" s="26">
        <v>0.0</v>
      </c>
      <c r="P3569" s="34">
        <v>1409.0</v>
      </c>
      <c r="Q3569" s="35">
        <v>0.0</v>
      </c>
      <c r="R3569" s="32">
        <v>44581.0</v>
      </c>
      <c r="S3569" s="32">
        <v>41538.0</v>
      </c>
      <c r="T3569" s="29"/>
      <c r="U3569" s="33"/>
      <c r="V3569" s="1"/>
    </row>
    <row r="3570" ht="24.0" customHeight="1">
      <c r="A3570" s="1"/>
      <c r="B3570" s="24" t="str">
        <f>HYPERLINK("https://www.compass.com/listing/1818-newkirk-avenue-unit-6m-brooklyn-ny-11226/1256851876075567777/view?agent_id=610d3f3370540700019b0833","1818 Newkirk Avenue, Unit 6M")</f>
        <v>1818 Newkirk Avenue, Unit 6M</v>
      </c>
      <c r="C3570" s="25" t="s">
        <v>370</v>
      </c>
      <c r="D3570" s="26" t="s">
        <v>23</v>
      </c>
      <c r="E3570" s="27" t="str">
        <f>HYPERLINK("https://www.compass.com/building/1818-newkirk-ave-brooklyn-ny-11226/307459854574467029/","1818 Newkirk Ave")</f>
        <v>1818 Newkirk Ave</v>
      </c>
      <c r="F3570" s="25" t="s">
        <v>172</v>
      </c>
      <c r="G3570" s="28">
        <v>665000.0</v>
      </c>
      <c r="H3570" s="28">
        <v>554.0</v>
      </c>
      <c r="I3570" s="28">
        <v>991.0</v>
      </c>
      <c r="J3570" s="28">
        <v>0.0</v>
      </c>
      <c r="K3570" s="25" t="s">
        <v>25</v>
      </c>
      <c r="L3570" s="26">
        <v>6.0</v>
      </c>
      <c r="M3570" s="26">
        <v>2.0</v>
      </c>
      <c r="N3570" s="26">
        <v>1.0</v>
      </c>
      <c r="O3570" s="26">
        <v>0.0</v>
      </c>
      <c r="P3570" s="34">
        <v>1200.0</v>
      </c>
      <c r="Q3570" s="35">
        <v>168.0</v>
      </c>
      <c r="R3570" s="32">
        <v>45154.0</v>
      </c>
      <c r="S3570" s="32">
        <v>44985.0</v>
      </c>
      <c r="T3570" s="29"/>
      <c r="U3570" s="33"/>
      <c r="V3570" s="1"/>
    </row>
    <row r="3571" ht="24.0" customHeight="1">
      <c r="A3571" s="1"/>
      <c r="B3571" s="24" t="str">
        <f>HYPERLINK("https://www.compass.com/listing/2605-frederick-douglass-boulevard-unit-5b-manhattan-ny-10030/4852330122499327025/view?agent_id=610d3f3370540700019b0833","2605 Frederick Douglass Boulevard, Unit 5B")</f>
        <v>2605 Frederick Douglass Boulevard, Unit 5B</v>
      </c>
      <c r="C3571" s="25" t="s">
        <v>370</v>
      </c>
      <c r="D3571" s="26" t="s">
        <v>23</v>
      </c>
      <c r="E3571" s="27" t="str">
        <f>HYPERLINK("https://www.compass.com/building/one-strivers-row-manhattan-ny/389281363946521733/","One Striver's Row")</f>
        <v>One Striver's Row</v>
      </c>
      <c r="F3571" s="25" t="s">
        <v>32</v>
      </c>
      <c r="G3571" s="28">
        <v>689000.0</v>
      </c>
      <c r="H3571" s="28">
        <v>551.0</v>
      </c>
      <c r="I3571" s="28">
        <v>489.0</v>
      </c>
      <c r="J3571" s="28">
        <v>156.0</v>
      </c>
      <c r="K3571" s="25" t="s">
        <v>28</v>
      </c>
      <c r="L3571" s="26">
        <v>4.0</v>
      </c>
      <c r="M3571" s="26">
        <v>2.0</v>
      </c>
      <c r="N3571" s="26">
        <v>0.0</v>
      </c>
      <c r="O3571" s="26">
        <v>0.0</v>
      </c>
      <c r="P3571" s="34">
        <v>1250.0</v>
      </c>
      <c r="Q3571" s="35">
        <v>0.0</v>
      </c>
      <c r="R3571" s="32">
        <v>44581.0</v>
      </c>
      <c r="S3571" s="32">
        <v>41538.0</v>
      </c>
      <c r="T3571" s="29"/>
      <c r="U3571" s="33"/>
      <c r="V3571" s="1"/>
    </row>
    <row r="3572" ht="24.0" customHeight="1">
      <c r="A3572" s="1"/>
      <c r="B3572" s="24" t="str">
        <f>HYPERLINK("https://www.compass.com/listing/1818-newkirk-avenue-unit-3g-brooklyn-ny-11226/739805527243845041/view?agent_id=610d3f3370540700019b0833","1818 Newkirk Avenue, Unit 3G")</f>
        <v>1818 Newkirk Avenue, Unit 3G</v>
      </c>
      <c r="C3572" s="25" t="s">
        <v>364</v>
      </c>
      <c r="D3572" s="26" t="s">
        <v>23</v>
      </c>
      <c r="E3572" s="27" t="str">
        <f>HYPERLINK("https://www.compass.com/building/1818-newkirk-ave-brooklyn-ny-11226/307459854574467029/","1818 Newkirk Ave")</f>
        <v>1818 Newkirk Ave</v>
      </c>
      <c r="F3572" s="25" t="s">
        <v>172</v>
      </c>
      <c r="G3572" s="28">
        <v>699000.0</v>
      </c>
      <c r="H3572" s="28">
        <v>635.0</v>
      </c>
      <c r="I3572" s="28">
        <v>717.0</v>
      </c>
      <c r="J3572" s="29"/>
      <c r="K3572" s="25" t="s">
        <v>25</v>
      </c>
      <c r="L3572" s="26">
        <v>4.0</v>
      </c>
      <c r="M3572" s="26">
        <v>2.0</v>
      </c>
      <c r="N3572" s="26">
        <v>1.0</v>
      </c>
      <c r="O3572" s="26">
        <v>0.0</v>
      </c>
      <c r="P3572" s="34">
        <v>1100.0</v>
      </c>
      <c r="Q3572" s="35">
        <v>72.0</v>
      </c>
      <c r="R3572" s="32">
        <v>45636.0</v>
      </c>
      <c r="S3572" s="32">
        <v>44272.0</v>
      </c>
      <c r="T3572" s="29"/>
      <c r="U3572" s="33"/>
      <c r="V3572" s="1"/>
    </row>
    <row r="3573" ht="24.0" customHeight="1">
      <c r="A3573" s="1"/>
      <c r="B3573" s="24" t="str">
        <f>HYPERLINK("https://www.compass.com/listing/2611-frederick-douglass-boulevard-unit-4i-manhattan-ny-10030/1065877297612174417/view?agent_id=610d3f3370540700019b0833","2611 Frederick Douglass Boulevard, Unit 4I")</f>
        <v>2611 Frederick Douglass Boulevard, Unit 4I</v>
      </c>
      <c r="C3573" s="25" t="s">
        <v>370</v>
      </c>
      <c r="D3573" s="26" t="s">
        <v>23</v>
      </c>
      <c r="E3573" s="27" t="str">
        <f>HYPERLINK("https://www.compass.com/building/2611-frederick-douglass-blvd-manhattan-ny-10030/389275100859054453/","2611 Frederick Douglass Blvd")</f>
        <v>2611 Frederick Douglass Blvd</v>
      </c>
      <c r="F3573" s="25" t="s">
        <v>32</v>
      </c>
      <c r="G3573" s="28">
        <v>715000.0</v>
      </c>
      <c r="H3573" s="28">
        <v>867.0</v>
      </c>
      <c r="I3573" s="28">
        <v>779.0</v>
      </c>
      <c r="J3573" s="28">
        <v>2054.0</v>
      </c>
      <c r="K3573" s="25" t="s">
        <v>28</v>
      </c>
      <c r="L3573" s="26">
        <v>4.0</v>
      </c>
      <c r="M3573" s="26">
        <v>2.0</v>
      </c>
      <c r="N3573" s="26">
        <v>1.0</v>
      </c>
      <c r="O3573" s="30"/>
      <c r="P3573" s="26">
        <v>825.0</v>
      </c>
      <c r="Q3573" s="35">
        <v>0.0</v>
      </c>
      <c r="R3573" s="32">
        <v>45351.0</v>
      </c>
      <c r="S3573" s="32">
        <v>45351.0</v>
      </c>
      <c r="T3573" s="29"/>
      <c r="U3573" s="33"/>
      <c r="V3573" s="1"/>
    </row>
    <row r="3574" ht="24.0" customHeight="1">
      <c r="A3574" s="1"/>
      <c r="B3574" s="24" t="str">
        <f>HYPERLINK("https://www.compass.com/listing/330-lenox-road-unit-4c-brooklyn-ny-11226/196923589348298321/view?agent_id=610d3f3370540700019b0833","330 Lenox Road, Unit 4C")</f>
        <v>330 Lenox Road, Unit 4C</v>
      </c>
      <c r="C3574" s="25" t="s">
        <v>365</v>
      </c>
      <c r="D3574" s="26" t="s">
        <v>23</v>
      </c>
      <c r="E3574" s="27" t="str">
        <f>HYPERLINK("https://www.compass.com/building/330-lenox-rd-brooklyn-ny-11226/293528689138839861/","330 Lenox Rd")</f>
        <v>330 Lenox Rd</v>
      </c>
      <c r="F3574" s="25" t="s">
        <v>112</v>
      </c>
      <c r="G3574" s="28">
        <v>449000.0</v>
      </c>
      <c r="H3574" s="29"/>
      <c r="I3574" s="28">
        <v>887.0</v>
      </c>
      <c r="J3574" s="28">
        <v>0.0</v>
      </c>
      <c r="K3574" s="25" t="s">
        <v>25</v>
      </c>
      <c r="L3574" s="26">
        <v>4.0</v>
      </c>
      <c r="M3574" s="26">
        <v>2.0</v>
      </c>
      <c r="N3574" s="30"/>
      <c r="O3574" s="30"/>
      <c r="P3574" s="30"/>
      <c r="Q3574" s="35">
        <v>150.0</v>
      </c>
      <c r="R3574" s="32">
        <v>43725.0</v>
      </c>
      <c r="S3574" s="32">
        <v>43541.0</v>
      </c>
      <c r="T3574" s="29"/>
      <c r="U3574" s="33"/>
      <c r="V3574" s="1"/>
    </row>
    <row r="3575" ht="24.0" customHeight="1">
      <c r="A3575" s="1"/>
      <c r="B3575" s="24" t="str">
        <f>HYPERLINK("https://www.compass.com/listing/1919-madison-avenue-unit-410-manhattan-ny-10035/242709836624578721/view?agent_id=610d3f3370540700019b0833","1919 Madison Avenue, Unit 410")</f>
        <v>1919 Madison Avenue, Unit 410</v>
      </c>
      <c r="C3575" s="25" t="s">
        <v>364</v>
      </c>
      <c r="D3575" s="26" t="s">
        <v>23</v>
      </c>
      <c r="E3575" s="27" t="str">
        <f>HYPERLINK("https://www.compass.com/building/1919-madison-ave-manhattan-ny-10035/292914302245940933/","1919 Madison Ave")</f>
        <v>1919 Madison Ave</v>
      </c>
      <c r="F3575" s="25" t="s">
        <v>45</v>
      </c>
      <c r="G3575" s="28">
        <v>590000.0</v>
      </c>
      <c r="H3575" s="29"/>
      <c r="I3575" s="28">
        <v>1093.0</v>
      </c>
      <c r="J3575" s="28">
        <v>0.0</v>
      </c>
      <c r="K3575" s="25" t="s">
        <v>25</v>
      </c>
      <c r="L3575" s="26">
        <v>4.0</v>
      </c>
      <c r="M3575" s="26">
        <v>2.0</v>
      </c>
      <c r="N3575" s="26">
        <v>1.0</v>
      </c>
      <c r="O3575" s="26">
        <v>0.0</v>
      </c>
      <c r="P3575" s="30"/>
      <c r="Q3575" s="35">
        <v>35.0</v>
      </c>
      <c r="R3575" s="32">
        <v>43902.0</v>
      </c>
      <c r="S3575" s="32">
        <v>43591.0</v>
      </c>
      <c r="T3575" s="29"/>
      <c r="U3575" s="33"/>
      <c r="V3575" s="1"/>
    </row>
    <row r="3576" ht="24.0" customHeight="1">
      <c r="A3576" s="1"/>
      <c r="B3576" s="24" t="str">
        <f>HYPERLINK("https://www.compass.com/listing/2605-frederick-douglass-boulevard-unit-6b-manhattan-ny-10030/4852306055272603841/view?agent_id=610d3f3370540700019b0833","2605 Frederick Douglass Boulevard, Unit 6B")</f>
        <v>2605 Frederick Douglass Boulevard, Unit 6B</v>
      </c>
      <c r="C3576" s="25" t="s">
        <v>370</v>
      </c>
      <c r="D3576" s="26" t="s">
        <v>23</v>
      </c>
      <c r="E3576" s="27" t="str">
        <f>HYPERLINK("https://www.compass.com/building/one-strivers-row-manhattan-ny/389281363946521733/","One Striver's Row")</f>
        <v>One Striver's Row</v>
      </c>
      <c r="F3576" s="25" t="s">
        <v>32</v>
      </c>
      <c r="G3576" s="28">
        <v>749000.0</v>
      </c>
      <c r="H3576" s="28">
        <v>599.0</v>
      </c>
      <c r="I3576" s="28">
        <v>503.0</v>
      </c>
      <c r="J3576" s="28">
        <v>156.0</v>
      </c>
      <c r="K3576" s="25" t="s">
        <v>28</v>
      </c>
      <c r="L3576" s="26">
        <v>4.0</v>
      </c>
      <c r="M3576" s="26">
        <v>2.0</v>
      </c>
      <c r="N3576" s="26">
        <v>0.0</v>
      </c>
      <c r="O3576" s="26">
        <v>0.0</v>
      </c>
      <c r="P3576" s="34">
        <v>1250.0</v>
      </c>
      <c r="Q3576" s="35">
        <v>0.0</v>
      </c>
      <c r="R3576" s="32">
        <v>44581.0</v>
      </c>
      <c r="S3576" s="32">
        <v>41538.0</v>
      </c>
      <c r="T3576" s="29"/>
      <c r="U3576" s="33"/>
      <c r="V3576" s="1"/>
    </row>
    <row r="3577" ht="24.0" customHeight="1">
      <c r="A3577" s="1"/>
      <c r="B3577" s="24" t="str">
        <f>HYPERLINK("https://www.compass.com/listing/330-lenox-road-unit-4c1-brooklyn-ny-11226/352739218702894705/view?agent_id=610d3f3370540700019b0833","330 Lenox Road, Unit 4C1")</f>
        <v>330 Lenox Road, Unit 4C1</v>
      </c>
      <c r="C3577" s="25" t="s">
        <v>370</v>
      </c>
      <c r="D3577" s="26" t="s">
        <v>23</v>
      </c>
      <c r="E3577" s="27" t="str">
        <f>HYPERLINK("https://www.compass.com/building/330-lenox-rd-brooklyn-ny-11226/293528689138839861/","330 Lenox Rd")</f>
        <v>330 Lenox Rd</v>
      </c>
      <c r="F3577" s="25" t="s">
        <v>112</v>
      </c>
      <c r="G3577" s="28">
        <v>449000.0</v>
      </c>
      <c r="H3577" s="29"/>
      <c r="I3577" s="28">
        <v>887.0</v>
      </c>
      <c r="J3577" s="28">
        <v>0.0</v>
      </c>
      <c r="K3577" s="25" t="s">
        <v>25</v>
      </c>
      <c r="L3577" s="26">
        <v>4.0</v>
      </c>
      <c r="M3577" s="26">
        <v>2.0</v>
      </c>
      <c r="N3577" s="26">
        <v>1.0</v>
      </c>
      <c r="O3577" s="30"/>
      <c r="P3577" s="30"/>
      <c r="Q3577" s="35">
        <v>61.0</v>
      </c>
      <c r="R3577" s="32">
        <v>43800.0</v>
      </c>
      <c r="S3577" s="32">
        <v>43738.0</v>
      </c>
      <c r="T3577" s="29"/>
      <c r="U3577" s="33"/>
      <c r="V3577" s="1"/>
    </row>
    <row r="3578" ht="24.0" customHeight="1">
      <c r="A3578" s="1"/>
      <c r="B3578" s="24" t="str">
        <f>HYPERLINK("https://www.compass.com/listing/154-attorney-street-unit-101-manhattan-ny-10002/29360676984166769/view?agent_id=610d3f3370540700019b0833","154 Attorney St, Unit 101")</f>
        <v>154 Attorney St, Unit 101</v>
      </c>
      <c r="C3578" s="25" t="s">
        <v>364</v>
      </c>
      <c r="D3578" s="26" t="s">
        <v>23</v>
      </c>
      <c r="E3578" s="27" t="str">
        <f>HYPERLINK("https://www.compass.com/building/154-attorney-st-manhattan-ny-10002/281885470206463525/","154 Attorney St")</f>
        <v>154 Attorney St</v>
      </c>
      <c r="F3578" s="25" t="s">
        <v>119</v>
      </c>
      <c r="G3578" s="28">
        <v>699000.0</v>
      </c>
      <c r="H3578" s="29"/>
      <c r="I3578" s="28">
        <v>890.0</v>
      </c>
      <c r="J3578" s="28">
        <v>3000.0</v>
      </c>
      <c r="K3578" s="36"/>
      <c r="L3578" s="26">
        <v>4.0</v>
      </c>
      <c r="M3578" s="26">
        <v>2.0</v>
      </c>
      <c r="N3578" s="30"/>
      <c r="O3578" s="30"/>
      <c r="P3578" s="30"/>
      <c r="Q3578" s="35">
        <v>0.0</v>
      </c>
      <c r="R3578" s="32">
        <v>41684.0</v>
      </c>
      <c r="S3578" s="32">
        <v>41684.0</v>
      </c>
      <c r="T3578" s="29"/>
      <c r="U3578" s="33"/>
      <c r="V3578" s="1"/>
    </row>
    <row r="3579" ht="24.0" customHeight="1">
      <c r="A3579" s="1"/>
      <c r="B3579" s="24" t="str">
        <f>HYPERLINK("https://www.compass.com/listing/333-east-119th-street-unit-4k-manhattan-ny-10035/360609466841503793/view?agent_id=610d3f3370540700019b0833","333 East 119th Street, Unit 4K")</f>
        <v>333 East 119th Street, Unit 4K</v>
      </c>
      <c r="C3579" s="25" t="s">
        <v>364</v>
      </c>
      <c r="D3579" s="26" t="s">
        <v>23</v>
      </c>
      <c r="E3579" s="27" t="str">
        <f>HYPERLINK("https://www.compass.com/building/the-palm-manhattan-ny/282021112697593221/"," The Palm")</f>
        <v> The Palm</v>
      </c>
      <c r="F3579" s="25" t="s">
        <v>133</v>
      </c>
      <c r="G3579" s="28">
        <v>325000.0</v>
      </c>
      <c r="H3579" s="28">
        <v>328.0</v>
      </c>
      <c r="I3579" s="28">
        <v>800.0</v>
      </c>
      <c r="J3579" s="29"/>
      <c r="K3579" s="25" t="s">
        <v>25</v>
      </c>
      <c r="L3579" s="26">
        <v>4.0</v>
      </c>
      <c r="M3579" s="26">
        <v>2.0</v>
      </c>
      <c r="N3579" s="26">
        <v>0.0</v>
      </c>
      <c r="O3579" s="26">
        <v>0.0</v>
      </c>
      <c r="P3579" s="26">
        <v>990.0</v>
      </c>
      <c r="Q3579" s="35">
        <v>750.0</v>
      </c>
      <c r="R3579" s="32">
        <v>44581.0</v>
      </c>
      <c r="S3579" s="32">
        <v>41178.0</v>
      </c>
      <c r="T3579" s="29"/>
      <c r="U3579" s="33"/>
      <c r="V3579" s="1"/>
    </row>
    <row r="3580" ht="24.0" customHeight="1">
      <c r="A3580" s="1"/>
      <c r="B3580" s="24" t="str">
        <f>HYPERLINK("https://www.compass.com/listing/99-john-street-unit-2503-manhattan-ny-10038/70915075837294225/view?agent_id=610d3f3370540700019b0833","99 John Street, Unit 2503")</f>
        <v>99 John Street, Unit 2503</v>
      </c>
      <c r="C3580" s="25" t="s">
        <v>364</v>
      </c>
      <c r="D3580" s="26" t="s">
        <v>23</v>
      </c>
      <c r="E3580" s="27" t="str">
        <f>HYPERLINK("https://www.compass.com/building/99-john-deco-lofts-manhattan-ny/282030962290734277/","99 John Deco Lofts")</f>
        <v>99 John Deco Lofts</v>
      </c>
      <c r="F3580" s="25" t="s">
        <v>80</v>
      </c>
      <c r="G3580" s="28">
        <v>1185000.0</v>
      </c>
      <c r="H3580" s="28">
        <v>1447.0</v>
      </c>
      <c r="I3580" s="28">
        <v>1422.0</v>
      </c>
      <c r="J3580" s="28">
        <v>10404.0</v>
      </c>
      <c r="K3580" s="25" t="s">
        <v>28</v>
      </c>
      <c r="L3580" s="26">
        <v>4.0</v>
      </c>
      <c r="M3580" s="26">
        <v>2.0</v>
      </c>
      <c r="N3580" s="26">
        <v>1.0</v>
      </c>
      <c r="O3580" s="26">
        <v>0.0</v>
      </c>
      <c r="P3580" s="26">
        <v>819.0</v>
      </c>
      <c r="Q3580" s="35">
        <v>27.0</v>
      </c>
      <c r="R3580" s="32">
        <v>44581.0</v>
      </c>
      <c r="S3580" s="32">
        <v>41709.0</v>
      </c>
      <c r="T3580" s="29"/>
      <c r="U3580" s="33"/>
      <c r="V3580" s="1"/>
    </row>
    <row r="3581" ht="24.0" customHeight="1">
      <c r="A3581" s="1"/>
      <c r="B3581" s="24" t="str">
        <f>HYPERLINK("https://www.compass.com/listing/5800-arlington-avenue-unit-2h-bronx-ny-10471/317340240033006625/view?agent_id=610d3f3370540700019b0833","5800 Arlington Avenue, Unit 2H")</f>
        <v>5800 Arlington Avenue, Unit 2H</v>
      </c>
      <c r="C3581" s="25" t="s">
        <v>370</v>
      </c>
      <c r="D3581" s="26" t="s">
        <v>23</v>
      </c>
      <c r="E3581" s="27" t="str">
        <f>HYPERLINK("https://www.compass.com/building/skyview-on-the-hudson-bronx-ny/293417855687381093/","Skyview on the Hudson")</f>
        <v>Skyview on the Hudson</v>
      </c>
      <c r="F3581" s="25" t="s">
        <v>75</v>
      </c>
      <c r="G3581" s="28">
        <v>285000.0</v>
      </c>
      <c r="H3581" s="28">
        <v>300.0</v>
      </c>
      <c r="I3581" s="28">
        <v>941.0</v>
      </c>
      <c r="J3581" s="29"/>
      <c r="K3581" s="25" t="s">
        <v>25</v>
      </c>
      <c r="L3581" s="26">
        <v>4.0</v>
      </c>
      <c r="M3581" s="26">
        <v>2.0</v>
      </c>
      <c r="N3581" s="26">
        <v>1.0</v>
      </c>
      <c r="O3581" s="26">
        <v>0.0</v>
      </c>
      <c r="P3581" s="26">
        <v>950.0</v>
      </c>
      <c r="Q3581" s="35">
        <v>237.0</v>
      </c>
      <c r="R3581" s="32">
        <v>45611.0</v>
      </c>
      <c r="S3581" s="32">
        <v>41649.0</v>
      </c>
      <c r="T3581" s="29"/>
      <c r="U3581" s="33"/>
      <c r="V3581" s="1"/>
    </row>
    <row r="3582" ht="24.0" customHeight="1">
      <c r="A3582" s="1"/>
      <c r="B3582" s="24" t="str">
        <f>HYPERLINK("https://www.compass.com/listing/161-west-133rd-street-unit-b2-manhattan-ny-10030/205892469710127681/view?agent_id=610d3f3370540700019b0833","161 West 133rd Street, Unit B2")</f>
        <v>161 West 133rd Street, Unit B2</v>
      </c>
      <c r="C3582" s="25" t="s">
        <v>364</v>
      </c>
      <c r="D3582" s="26" t="s">
        <v>23</v>
      </c>
      <c r="E3582" s="27" t="str">
        <f>HYPERLINK("https://www.compass.com/building/161-w-133rd-st-manhattan-ny-10030/281993103102036229/","161 W 133rd St")</f>
        <v>161 W 133rd St</v>
      </c>
      <c r="F3582" s="25" t="s">
        <v>32</v>
      </c>
      <c r="G3582" s="28">
        <v>680000.0</v>
      </c>
      <c r="H3582" s="28">
        <v>767.0</v>
      </c>
      <c r="I3582" s="28">
        <v>486.0</v>
      </c>
      <c r="J3582" s="28">
        <v>1104.0</v>
      </c>
      <c r="K3582" s="25" t="s">
        <v>28</v>
      </c>
      <c r="L3582" s="26">
        <v>4.0</v>
      </c>
      <c r="M3582" s="26">
        <v>2.0</v>
      </c>
      <c r="N3582" s="26">
        <v>1.0</v>
      </c>
      <c r="O3582" s="30"/>
      <c r="P3582" s="26">
        <v>887.0</v>
      </c>
      <c r="Q3582" s="35">
        <v>3.0</v>
      </c>
      <c r="R3582" s="32">
        <v>43697.0</v>
      </c>
      <c r="S3582" s="32">
        <v>43535.0</v>
      </c>
      <c r="T3582" s="29"/>
      <c r="U3582" s="33"/>
      <c r="V3582" s="1"/>
    </row>
    <row r="3583" ht="24.0" customHeight="1">
      <c r="A3583" s="1"/>
      <c r="B3583" s="24" t="str">
        <f>HYPERLINK("https://www.compass.com/listing/1818-newkirk-avenue-unit-a-brooklyn-ny-11226/363671339277115921/view?agent_id=610d3f3370540700019b0833","1818 Newkirk Avenue, Unit A")</f>
        <v>1818 Newkirk Avenue, Unit A</v>
      </c>
      <c r="C3583" s="25" t="s">
        <v>364</v>
      </c>
      <c r="D3583" s="26" t="s">
        <v>23</v>
      </c>
      <c r="E3583" s="27" t="str">
        <f>HYPERLINK("https://www.compass.com/building/1818-newkirk-ave-brooklyn-ny-11226/307459854574467029/","1818 Newkirk Ave")</f>
        <v>1818 Newkirk Ave</v>
      </c>
      <c r="F3583" s="25" t="s">
        <v>172</v>
      </c>
      <c r="G3583" s="28">
        <v>498000.0</v>
      </c>
      <c r="H3583" s="29"/>
      <c r="I3583" s="28">
        <v>467.0</v>
      </c>
      <c r="J3583" s="29"/>
      <c r="K3583" s="25" t="s">
        <v>25</v>
      </c>
      <c r="L3583" s="26">
        <v>5.0</v>
      </c>
      <c r="M3583" s="26">
        <v>2.0</v>
      </c>
      <c r="N3583" s="26">
        <v>1.0</v>
      </c>
      <c r="O3583" s="26">
        <v>0.0</v>
      </c>
      <c r="P3583" s="30"/>
      <c r="Q3583" s="35">
        <v>462.0</v>
      </c>
      <c r="R3583" s="32">
        <v>45636.0</v>
      </c>
      <c r="S3583" s="32">
        <v>43745.0</v>
      </c>
      <c r="T3583" s="29"/>
      <c r="U3583" s="33"/>
      <c r="V3583" s="1"/>
    </row>
    <row r="3584" ht="24.0" customHeight="1">
      <c r="A3584" s="1"/>
      <c r="B3584" s="24" t="str">
        <f>HYPERLINK("https://www.compass.com/listing/137-139-w-142nd-street-unit-1d-manhattan-ny-10030/269327245636574801/view?agent_id=610d3f3370540700019b0833","137-139 W 142nd Street, Unit 1D")</f>
        <v>137-139 W 142nd Street, Unit 1D</v>
      </c>
      <c r="C3584" s="25" t="s">
        <v>365</v>
      </c>
      <c r="D3584" s="26" t="s">
        <v>23</v>
      </c>
      <c r="E3584" s="27" t="str">
        <f>HYPERLINK("https://www.compass.com/building/137-w-142nd-st-manhattan-ny-10030/281927211290764421/","137 W 142nd St")</f>
        <v>137 W 142nd St</v>
      </c>
      <c r="F3584" s="25" t="s">
        <v>32</v>
      </c>
      <c r="G3584" s="28">
        <v>499000.0</v>
      </c>
      <c r="H3584" s="28">
        <v>601.0</v>
      </c>
      <c r="I3584" s="28">
        <v>642.0</v>
      </c>
      <c r="J3584" s="28">
        <v>0.0</v>
      </c>
      <c r="K3584" s="25" t="s">
        <v>25</v>
      </c>
      <c r="L3584" s="26">
        <v>5.0</v>
      </c>
      <c r="M3584" s="26">
        <v>2.0</v>
      </c>
      <c r="N3584" s="26">
        <v>1.0</v>
      </c>
      <c r="O3584" s="26">
        <v>0.0</v>
      </c>
      <c r="P3584" s="26">
        <v>830.0</v>
      </c>
      <c r="Q3584" s="35">
        <v>184.0</v>
      </c>
      <c r="R3584" s="32">
        <v>43807.0</v>
      </c>
      <c r="S3584" s="32">
        <v>43623.0</v>
      </c>
      <c r="T3584" s="29"/>
      <c r="U3584" s="33"/>
      <c r="V3584" s="1"/>
    </row>
    <row r="3585" ht="24.0" customHeight="1">
      <c r="A3585" s="1"/>
      <c r="B3585" s="24" t="str">
        <f>HYPERLINK("https://www.compass.com/listing/5900-arlington-avenue-unit-12h-bronx-ny-10471/239101388821380529/view?agent_id=610d3f3370540700019b0833","5900 Arlington Avenue, Unit 12H")</f>
        <v>5900 Arlington Avenue, Unit 12H</v>
      </c>
      <c r="C3585" s="25" t="s">
        <v>370</v>
      </c>
      <c r="D3585" s="26" t="s">
        <v>23</v>
      </c>
      <c r="E3585" s="27" t="str">
        <f t="shared" ref="E3585:E3586" si="125">HYPERLINK("https://www.compass.com/building/skyview-on-the-hudson-bronx-ny/293535671430276277/","Skyview On The Hudson")</f>
        <v>Skyview On The Hudson</v>
      </c>
      <c r="F3585" s="25" t="s">
        <v>75</v>
      </c>
      <c r="G3585" s="28">
        <v>475000.0</v>
      </c>
      <c r="H3585" s="28">
        <v>500.0</v>
      </c>
      <c r="I3585" s="28">
        <v>1105.0</v>
      </c>
      <c r="J3585" s="28">
        <v>0.0</v>
      </c>
      <c r="K3585" s="25" t="s">
        <v>25</v>
      </c>
      <c r="L3585" s="26">
        <v>4.0</v>
      </c>
      <c r="M3585" s="26">
        <v>2.0</v>
      </c>
      <c r="N3585" s="26">
        <v>1.0</v>
      </c>
      <c r="O3585" s="26">
        <v>0.0</v>
      </c>
      <c r="P3585" s="26">
        <v>950.0</v>
      </c>
      <c r="Q3585" s="35">
        <v>389.0</v>
      </c>
      <c r="R3585" s="32">
        <v>44065.0</v>
      </c>
      <c r="S3585" s="32">
        <v>43581.0</v>
      </c>
      <c r="T3585" s="29"/>
      <c r="U3585" s="33"/>
      <c r="V3585" s="1"/>
    </row>
    <row r="3586" ht="24.0" customHeight="1">
      <c r="A3586" s="1"/>
      <c r="B3586" s="24" t="str">
        <f>HYPERLINK("https://www.compass.com/listing/5900-arlington-avenue-unit-22x-bronx-ny-10471/842715525789553121/view?agent_id=610d3f3370540700019b0833","5900 Arlington Avenue, Unit 22X")</f>
        <v>5900 Arlington Avenue, Unit 22X</v>
      </c>
      <c r="C3586" s="25" t="s">
        <v>364</v>
      </c>
      <c r="D3586" s="26" t="s">
        <v>23</v>
      </c>
      <c r="E3586" s="27" t="str">
        <f t="shared" si="125"/>
        <v>Skyview On The Hudson</v>
      </c>
      <c r="F3586" s="25" t="s">
        <v>75</v>
      </c>
      <c r="G3586" s="28">
        <v>450000.0</v>
      </c>
      <c r="H3586" s="28">
        <v>450.0</v>
      </c>
      <c r="I3586" s="28">
        <v>1150.0</v>
      </c>
      <c r="J3586" s="28">
        <v>0.0</v>
      </c>
      <c r="K3586" s="25" t="s">
        <v>25</v>
      </c>
      <c r="L3586" s="26">
        <v>4.0</v>
      </c>
      <c r="M3586" s="26">
        <v>2.0</v>
      </c>
      <c r="N3586" s="26">
        <v>1.0</v>
      </c>
      <c r="O3586" s="26">
        <v>0.0</v>
      </c>
      <c r="P3586" s="34">
        <v>1000.0</v>
      </c>
      <c r="Q3586" s="35">
        <v>187.0</v>
      </c>
      <c r="R3586" s="32">
        <v>44602.0</v>
      </c>
      <c r="S3586" s="32">
        <v>44414.0</v>
      </c>
      <c r="T3586" s="29"/>
      <c r="U3586" s="33"/>
      <c r="V3586" s="1"/>
    </row>
    <row r="3587" ht="24.0" customHeight="1">
      <c r="A3587" s="1"/>
      <c r="B3587" s="24" t="str">
        <f>HYPERLINK("https://www.compass.com/listing/5700-arlington-avenue-unit-6w-bronx-ny-10471/532095382885935353/view?agent_id=610d3f3370540700019b0833","5700 Arlington Avenue, Unit 6W")</f>
        <v>5700 Arlington Avenue, Unit 6W</v>
      </c>
      <c r="C3587" s="25" t="s">
        <v>364</v>
      </c>
      <c r="D3587" s="26" t="s">
        <v>23</v>
      </c>
      <c r="E3587" s="27" t="str">
        <f>HYPERLINK("https://www.compass.com/building/skyview-on-the-hudson-bronx-ny/293529087136258053/","Skyview on the Hudson ")</f>
        <v>Skyview on the Hudson </v>
      </c>
      <c r="F3587" s="25" t="s">
        <v>75</v>
      </c>
      <c r="G3587" s="28">
        <v>445000.0</v>
      </c>
      <c r="H3587" s="28">
        <v>432.0</v>
      </c>
      <c r="I3587" s="28">
        <v>1200.0</v>
      </c>
      <c r="J3587" s="28">
        <v>0.0</v>
      </c>
      <c r="K3587" s="25" t="s">
        <v>25</v>
      </c>
      <c r="L3587" s="26">
        <v>4.0</v>
      </c>
      <c r="M3587" s="26">
        <v>2.0</v>
      </c>
      <c r="N3587" s="26">
        <v>1.0</v>
      </c>
      <c r="O3587" s="30"/>
      <c r="P3587" s="34">
        <v>1030.0</v>
      </c>
      <c r="Q3587" s="35">
        <v>64.0</v>
      </c>
      <c r="R3587" s="32">
        <v>44068.0</v>
      </c>
      <c r="S3587" s="32">
        <v>43986.0</v>
      </c>
      <c r="T3587" s="29"/>
      <c r="U3587" s="33"/>
      <c r="V3587" s="1"/>
    </row>
    <row r="3588" ht="24.0" customHeight="1">
      <c r="A3588" s="1"/>
      <c r="B3588" s="24" t="str">
        <f>HYPERLINK("https://www.compass.com/listing/5900-arlington-avenue-unit-10h-bronx-ny-10471/1384154198923661233/view?agent_id=610d3f3370540700019b0833","5900 Arlington Avenue, Unit 10H")</f>
        <v>5900 Arlington Avenue, Unit 10H</v>
      </c>
      <c r="C3588" s="25" t="s">
        <v>365</v>
      </c>
      <c r="D3588" s="26" t="s">
        <v>23</v>
      </c>
      <c r="E3588" s="27" t="str">
        <f>HYPERLINK("https://www.compass.com/building/skyview-on-the-hudson-bronx-ny/293535671430276277/","Skyview On The Hudson")</f>
        <v>Skyview On The Hudson</v>
      </c>
      <c r="F3588" s="25" t="s">
        <v>75</v>
      </c>
      <c r="G3588" s="28">
        <v>375000.0</v>
      </c>
      <c r="H3588" s="29"/>
      <c r="I3588" s="28">
        <v>1187.0</v>
      </c>
      <c r="J3588" s="28">
        <v>0.0</v>
      </c>
      <c r="K3588" s="25" t="s">
        <v>25</v>
      </c>
      <c r="L3588" s="26">
        <v>4.0</v>
      </c>
      <c r="M3588" s="26">
        <v>2.0</v>
      </c>
      <c r="N3588" s="26">
        <v>1.0</v>
      </c>
      <c r="O3588" s="30"/>
      <c r="P3588" s="30"/>
      <c r="Q3588" s="35">
        <v>140.0</v>
      </c>
      <c r="R3588" s="32">
        <v>45301.0</v>
      </c>
      <c r="S3588" s="32">
        <v>45161.0</v>
      </c>
      <c r="T3588" s="29"/>
      <c r="U3588" s="33"/>
      <c r="V3588" s="1"/>
    </row>
    <row r="3589" ht="24.0" customHeight="1">
      <c r="A3589" s="1"/>
      <c r="B3589" s="24" t="str">
        <f>HYPERLINK("https://www.compass.com/listing/9511-shore-road-unit-205-brooklyn-ny-11209/1312487104120858833/view?agent_id=610d3f3370540700019b0833","9511 Shore Road, Unit 205")</f>
        <v>9511 Shore Road, Unit 205</v>
      </c>
      <c r="C3589" s="25" t="s">
        <v>364</v>
      </c>
      <c r="D3589" s="26" t="s">
        <v>23</v>
      </c>
      <c r="E3589" s="27" t="str">
        <f>HYPERLINK("https://www.compass.com/building/the-9511-shore-road-condominium-brooklyn-ny/293416527217142373/","The 9511 Shore Road Condominium")</f>
        <v>The 9511 Shore Road Condominium</v>
      </c>
      <c r="F3589" s="25" t="s">
        <v>55</v>
      </c>
      <c r="G3589" s="28">
        <v>599000.0</v>
      </c>
      <c r="H3589" s="28">
        <v>567.0</v>
      </c>
      <c r="I3589" s="28">
        <v>1029.0</v>
      </c>
      <c r="J3589" s="28">
        <v>4968.0</v>
      </c>
      <c r="K3589" s="25" t="s">
        <v>28</v>
      </c>
      <c r="L3589" s="26">
        <v>4.0</v>
      </c>
      <c r="M3589" s="26">
        <v>2.0</v>
      </c>
      <c r="N3589" s="26">
        <v>1.0</v>
      </c>
      <c r="O3589" s="30"/>
      <c r="P3589" s="34">
        <v>1056.0</v>
      </c>
      <c r="Q3589" s="35">
        <v>160.0</v>
      </c>
      <c r="R3589" s="32">
        <v>45460.0</v>
      </c>
      <c r="S3589" s="32">
        <v>45062.0</v>
      </c>
      <c r="T3589" s="29"/>
      <c r="U3589" s="33"/>
      <c r="V3589" s="1"/>
    </row>
    <row r="3590" ht="24.0" customHeight="1">
      <c r="A3590" s="1"/>
      <c r="B3590" s="24" t="str">
        <f>HYPERLINK("https://www.compass.com/listing/6300-riverdale-avenue-unit-3j-bronx-ny-10471/919652958396338049/view?agent_id=610d3f3370540700019b0833","6300 Riverdale Avenue, Unit 3J")</f>
        <v>6300 Riverdale Avenue, Unit 3J</v>
      </c>
      <c r="C3590" s="25" t="s">
        <v>364</v>
      </c>
      <c r="D3590" s="26" t="s">
        <v>23</v>
      </c>
      <c r="E3590" s="27" t="str">
        <f>HYPERLINK("https://www.compass.com/building/6300-riverdale-ave-bronx-ny-10471/293529476778750741/","6300 Riverdale Ave")</f>
        <v>6300 Riverdale Ave</v>
      </c>
      <c r="F3590" s="25" t="s">
        <v>75</v>
      </c>
      <c r="G3590" s="28">
        <v>199000.0</v>
      </c>
      <c r="H3590" s="29"/>
      <c r="I3590" s="28">
        <v>825.0</v>
      </c>
      <c r="J3590" s="29"/>
      <c r="K3590" s="25" t="s">
        <v>25</v>
      </c>
      <c r="L3590" s="26">
        <v>4.0</v>
      </c>
      <c r="M3590" s="26">
        <v>2.0</v>
      </c>
      <c r="N3590" s="26">
        <v>1.0</v>
      </c>
      <c r="O3590" s="26">
        <v>0.0</v>
      </c>
      <c r="P3590" s="30"/>
      <c r="Q3590" s="35">
        <v>373.0</v>
      </c>
      <c r="R3590" s="32">
        <v>44581.0</v>
      </c>
      <c r="S3590" s="32">
        <v>42259.0</v>
      </c>
      <c r="T3590" s="29"/>
      <c r="U3590" s="33"/>
      <c r="V3590" s="1"/>
    </row>
    <row r="3591" ht="24.0" customHeight="1">
      <c r="A3591" s="1"/>
      <c r="B3591" s="24" t="str">
        <f>HYPERLINK("https://www.compass.com/listing/137-west-142nd-street-unit-3a-manhattan-ny-10030/1018302579975957417/view?agent_id=610d3f3370540700019b0833","137 W 142nd St, Unit 3A")</f>
        <v>137 W 142nd St, Unit 3A</v>
      </c>
      <c r="C3591" s="25" t="s">
        <v>364</v>
      </c>
      <c r="D3591" s="26" t="s">
        <v>23</v>
      </c>
      <c r="E3591" s="27" t="str">
        <f>HYPERLINK("https://www.compass.com/building/137-w-142nd-st-manhattan-ny-10030/281927211290764421/","137 W 142nd St")</f>
        <v>137 W 142nd St</v>
      </c>
      <c r="F3591" s="25" t="s">
        <v>32</v>
      </c>
      <c r="G3591" s="28">
        <v>384000.0</v>
      </c>
      <c r="H3591" s="28">
        <v>512.0</v>
      </c>
      <c r="I3591" s="28">
        <v>667.0</v>
      </c>
      <c r="J3591" s="28">
        <v>0.0</v>
      </c>
      <c r="K3591" s="25" t="s">
        <v>25</v>
      </c>
      <c r="L3591" s="26">
        <v>5.0</v>
      </c>
      <c r="M3591" s="26">
        <v>2.0</v>
      </c>
      <c r="N3591" s="26">
        <v>1.0</v>
      </c>
      <c r="O3591" s="26">
        <v>0.0</v>
      </c>
      <c r="P3591" s="26">
        <v>750.0</v>
      </c>
      <c r="Q3591" s="35">
        <v>149.0</v>
      </c>
      <c r="R3591" s="32">
        <v>44858.0</v>
      </c>
      <c r="S3591" s="32">
        <v>44658.0</v>
      </c>
      <c r="T3591" s="29"/>
      <c r="U3591" s="33"/>
      <c r="V3591" s="1"/>
    </row>
    <row r="3592" ht="24.0" customHeight="1">
      <c r="A3592" s="1"/>
      <c r="B3592" s="24" t="str">
        <f>HYPERLINK("https://www.compass.com/listing/157-broome-street-unit-4d-new-york-ny-10002/907986097849669601/view?agent_id=610d3f3370540700019b0833","157 Broome St, Unit 4D")</f>
        <v>157 Broome St, Unit 4D</v>
      </c>
      <c r="C3592" s="25" t="s">
        <v>364</v>
      </c>
      <c r="D3592" s="26" t="s">
        <v>23</v>
      </c>
      <c r="E3592" s="27" t="str">
        <f>HYPERLINK("https://www.compass.com/building/157-broome-st-new-york-ny-10002/281885522173890165/","157 Broome St")</f>
        <v>157 Broome St</v>
      </c>
      <c r="F3592" s="25" t="s">
        <v>119</v>
      </c>
      <c r="G3592" s="28">
        <v>549000.0</v>
      </c>
      <c r="H3592" s="28">
        <v>784.0</v>
      </c>
      <c r="I3592" s="28">
        <v>637.0</v>
      </c>
      <c r="J3592" s="28">
        <v>0.0</v>
      </c>
      <c r="K3592" s="25" t="s">
        <v>25</v>
      </c>
      <c r="L3592" s="26">
        <v>5.0</v>
      </c>
      <c r="M3592" s="26">
        <v>2.0</v>
      </c>
      <c r="N3592" s="26">
        <v>1.0</v>
      </c>
      <c r="O3592" s="26">
        <v>0.0</v>
      </c>
      <c r="P3592" s="26">
        <v>700.0</v>
      </c>
      <c r="Q3592" s="31"/>
      <c r="R3592" s="32">
        <v>44504.0</v>
      </c>
      <c r="S3592" s="33"/>
      <c r="T3592" s="29"/>
      <c r="U3592" s="33"/>
      <c r="V3592" s="1"/>
    </row>
    <row r="3593" ht="24.0" customHeight="1">
      <c r="A3593" s="1"/>
      <c r="B3593" s="24" t="str">
        <f>HYPERLINK("https://www.compass.com/listing/5800-arlington-avenue-unit-9x-bronx-ny-10471/460879614039439065/view?agent_id=610d3f3370540700019b0833","5800 Arlington Ave, Unit 9X")</f>
        <v>5800 Arlington Ave, Unit 9X</v>
      </c>
      <c r="C3593" s="25" t="s">
        <v>365</v>
      </c>
      <c r="D3593" s="26" t="s">
        <v>23</v>
      </c>
      <c r="E3593" s="27" t="str">
        <f>HYPERLINK("https://www.compass.com/building/skyview-on-the-hudson-bronx-ny/293417855687381093/","Skyview on the Hudson")</f>
        <v>Skyview on the Hudson</v>
      </c>
      <c r="F3593" s="25" t="s">
        <v>75</v>
      </c>
      <c r="G3593" s="28">
        <v>389000.0</v>
      </c>
      <c r="H3593" s="28">
        <v>432.0</v>
      </c>
      <c r="I3593" s="28">
        <v>1035.0</v>
      </c>
      <c r="J3593" s="28">
        <v>0.0</v>
      </c>
      <c r="K3593" s="25" t="s">
        <v>25</v>
      </c>
      <c r="L3593" s="26">
        <v>5.0</v>
      </c>
      <c r="M3593" s="26">
        <v>2.0</v>
      </c>
      <c r="N3593" s="26">
        <v>1.0</v>
      </c>
      <c r="O3593" s="26">
        <v>0.0</v>
      </c>
      <c r="P3593" s="26">
        <v>900.0</v>
      </c>
      <c r="Q3593" s="35">
        <v>264.0</v>
      </c>
      <c r="R3593" s="32">
        <v>44245.0</v>
      </c>
      <c r="S3593" s="32">
        <v>43887.0</v>
      </c>
      <c r="T3593" s="29"/>
      <c r="U3593" s="33"/>
      <c r="V3593" s="1"/>
    </row>
    <row r="3594" ht="24.0" customHeight="1">
      <c r="A3594" s="1"/>
      <c r="B3594" s="24" t="str">
        <f>HYPERLINK("https://www.compass.com/listing/59-john-street-unit-6f-manhattan-ny-10038/70910888042838881/view?agent_id=610d3f3370540700019b0833","59 John St, Unit 6F")</f>
        <v>59 John St, Unit 6F</v>
      </c>
      <c r="C3594" s="25" t="s">
        <v>370</v>
      </c>
      <c r="D3594" s="26" t="s">
        <v>23</v>
      </c>
      <c r="E3594" s="27" t="str">
        <f t="shared" ref="E3594:E3596" si="126">HYPERLINK("https://www.compass.com/building/five-nine-john-lofts-manhattan-ny/292920470557182949/","Five Nine John Lofts")</f>
        <v>Five Nine John Lofts</v>
      </c>
      <c r="F3594" s="25" t="s">
        <v>80</v>
      </c>
      <c r="G3594" s="28">
        <v>1485000.0</v>
      </c>
      <c r="H3594" s="28">
        <v>845.0</v>
      </c>
      <c r="I3594" s="28">
        <v>3004.0</v>
      </c>
      <c r="J3594" s="28">
        <v>8304.0</v>
      </c>
      <c r="K3594" s="25" t="s">
        <v>28</v>
      </c>
      <c r="L3594" s="26">
        <v>5.0</v>
      </c>
      <c r="M3594" s="26">
        <v>2.0</v>
      </c>
      <c r="N3594" s="26">
        <v>0.0</v>
      </c>
      <c r="O3594" s="26">
        <v>0.0</v>
      </c>
      <c r="P3594" s="34">
        <v>1757.0</v>
      </c>
      <c r="Q3594" s="35">
        <v>349.0</v>
      </c>
      <c r="R3594" s="32">
        <v>45636.0</v>
      </c>
      <c r="S3594" s="32">
        <v>41212.0</v>
      </c>
      <c r="T3594" s="29"/>
      <c r="U3594" s="33"/>
      <c r="V3594" s="1"/>
    </row>
    <row r="3595" ht="24.0" customHeight="1">
      <c r="A3595" s="1"/>
      <c r="B3595" s="24" t="str">
        <f>HYPERLINK("https://www.compass.com/listing/59-john-street-unit-10b-manhattan-ny-10038/70912149538538561/view?agent_id=610d3f3370540700019b0833","59 John St, Unit 10B")</f>
        <v>59 John St, Unit 10B</v>
      </c>
      <c r="C3595" s="25" t="s">
        <v>364</v>
      </c>
      <c r="D3595" s="26" t="s">
        <v>23</v>
      </c>
      <c r="E3595" s="27" t="str">
        <f t="shared" si="126"/>
        <v>Five Nine John Lofts</v>
      </c>
      <c r="F3595" s="25" t="s">
        <v>80</v>
      </c>
      <c r="G3595" s="28">
        <v>2283000.0</v>
      </c>
      <c r="H3595" s="28">
        <v>1230.0</v>
      </c>
      <c r="I3595" s="28">
        <v>3768.0</v>
      </c>
      <c r="J3595" s="28">
        <v>12132.0</v>
      </c>
      <c r="K3595" s="25" t="s">
        <v>28</v>
      </c>
      <c r="L3595" s="26">
        <v>4.0</v>
      </c>
      <c r="M3595" s="26">
        <v>2.0</v>
      </c>
      <c r="N3595" s="26">
        <v>0.0</v>
      </c>
      <c r="O3595" s="26">
        <v>0.0</v>
      </c>
      <c r="P3595" s="34">
        <v>1856.0</v>
      </c>
      <c r="Q3595" s="31"/>
      <c r="R3595" s="32">
        <v>44581.0</v>
      </c>
      <c r="S3595" s="33"/>
      <c r="T3595" s="29"/>
      <c r="U3595" s="33"/>
      <c r="V3595" s="1"/>
    </row>
    <row r="3596" ht="24.0" customHeight="1">
      <c r="A3596" s="1"/>
      <c r="B3596" s="24" t="str">
        <f>HYPERLINK("https://www.compass.com/listing/59-john-street-unit-10b-manhattan-ny-10038/920947596804787217/view?agent_id=610d3f3370540700019b0833","59 John St, Unit 10B")</f>
        <v>59 John St, Unit 10B</v>
      </c>
      <c r="C3596" s="25" t="s">
        <v>364</v>
      </c>
      <c r="D3596" s="26" t="s">
        <v>23</v>
      </c>
      <c r="E3596" s="27" t="str">
        <f t="shared" si="126"/>
        <v>Five Nine John Lofts</v>
      </c>
      <c r="F3596" s="25" t="s">
        <v>80</v>
      </c>
      <c r="G3596" s="28">
        <v>2995000.0</v>
      </c>
      <c r="H3596" s="28">
        <v>1614.0</v>
      </c>
      <c r="I3596" s="28">
        <v>4747.0</v>
      </c>
      <c r="J3596" s="28">
        <v>23220.0</v>
      </c>
      <c r="K3596" s="25" t="s">
        <v>28</v>
      </c>
      <c r="L3596" s="26">
        <v>4.0</v>
      </c>
      <c r="M3596" s="26">
        <v>2.0</v>
      </c>
      <c r="N3596" s="26">
        <v>0.0</v>
      </c>
      <c r="O3596" s="26">
        <v>0.0</v>
      </c>
      <c r="P3596" s="34">
        <v>1856.0</v>
      </c>
      <c r="Q3596" s="35">
        <v>34.0</v>
      </c>
      <c r="R3596" s="32">
        <v>45636.0</v>
      </c>
      <c r="S3596" s="32">
        <v>42564.0</v>
      </c>
      <c r="T3596" s="29"/>
      <c r="U3596" s="33"/>
      <c r="V3596" s="1"/>
    </row>
    <row r="3597" ht="24.0" customHeight="1">
      <c r="A3597" s="1"/>
      <c r="B3597" s="24" t="str">
        <f>HYPERLINK("https://www.compass.com/listing/99-john-street-unit-1810-manhattan-ny-10038/29509679457586481/view?agent_id=610d3f3370540700019b0833","99 John St, Unit 1810")</f>
        <v>99 John St, Unit 1810</v>
      </c>
      <c r="C3597" s="25" t="s">
        <v>364</v>
      </c>
      <c r="D3597" s="26" t="s">
        <v>23</v>
      </c>
      <c r="E3597" s="27" t="str">
        <f>HYPERLINK("https://www.compass.com/building/99-john-deco-lofts-manhattan-ny/282030962290734277/","99 John Deco Lofts")</f>
        <v>99 John Deco Lofts</v>
      </c>
      <c r="F3597" s="25" t="s">
        <v>80</v>
      </c>
      <c r="G3597" s="28">
        <v>1145000.0</v>
      </c>
      <c r="H3597" s="28">
        <v>1195.0</v>
      </c>
      <c r="I3597" s="28">
        <v>1917.0</v>
      </c>
      <c r="J3597" s="28">
        <v>14412.0</v>
      </c>
      <c r="K3597" s="25" t="s">
        <v>28</v>
      </c>
      <c r="L3597" s="26">
        <v>4.0</v>
      </c>
      <c r="M3597" s="26">
        <v>2.0</v>
      </c>
      <c r="N3597" s="30"/>
      <c r="O3597" s="30"/>
      <c r="P3597" s="26">
        <v>958.0</v>
      </c>
      <c r="Q3597" s="31"/>
      <c r="R3597" s="32">
        <v>43698.0</v>
      </c>
      <c r="S3597" s="33"/>
      <c r="T3597" s="29"/>
      <c r="U3597" s="33"/>
      <c r="V3597" s="1"/>
    </row>
    <row r="3598" ht="24.0" customHeight="1">
      <c r="A3598" s="1"/>
      <c r="B3598" s="24" t="str">
        <f>HYPERLINK("https://www.compass.com/listing/272-water-street-unit-2-manhattan-ny-10038/803313300704219385/view?agent_id=610d3f3370540700019b0833","272 Water St, Unit 2")</f>
        <v>272 Water St, Unit 2</v>
      </c>
      <c r="C3598" s="25" t="s">
        <v>364</v>
      </c>
      <c r="D3598" s="26" t="s">
        <v>23</v>
      </c>
      <c r="E3598" s="27" t="str">
        <f>HYPERLINK("https://www.compass.com/building/272-water-st-manhattan-ny-10038/567449473171396397/","272 Water St")</f>
        <v>272 Water St</v>
      </c>
      <c r="F3598" s="25" t="s">
        <v>80</v>
      </c>
      <c r="G3598" s="28">
        <v>2850000.0</v>
      </c>
      <c r="H3598" s="28">
        <v>1114.0</v>
      </c>
      <c r="I3598" s="28">
        <v>2820.0</v>
      </c>
      <c r="J3598" s="28">
        <v>17580.0</v>
      </c>
      <c r="K3598" s="25" t="s">
        <v>28</v>
      </c>
      <c r="L3598" s="26">
        <v>4.0</v>
      </c>
      <c r="M3598" s="26">
        <v>2.0</v>
      </c>
      <c r="N3598" s="26">
        <v>0.0</v>
      </c>
      <c r="O3598" s="26">
        <v>0.0</v>
      </c>
      <c r="P3598" s="34">
        <v>2559.0</v>
      </c>
      <c r="Q3598" s="35">
        <v>193.0</v>
      </c>
      <c r="R3598" s="32">
        <v>45636.0</v>
      </c>
      <c r="S3598" s="32">
        <v>41523.0</v>
      </c>
      <c r="T3598" s="29"/>
      <c r="U3598" s="33"/>
      <c r="V3598" s="1"/>
    </row>
    <row r="3599" ht="24.0" customHeight="1">
      <c r="A3599" s="1"/>
      <c r="B3599" s="24" t="str">
        <f>HYPERLINK("https://www.compass.com/listing/128-west-138th-street-unit-5g-manhattan-ny-10030/1162599719771019849/view?agent_id=610d3f3370540700019b0833","128 W 138th St, Unit 5G")</f>
        <v>128 W 138th St, Unit 5G</v>
      </c>
      <c r="C3599" s="25" t="s">
        <v>370</v>
      </c>
      <c r="D3599" s="26" t="s">
        <v>23</v>
      </c>
      <c r="E3599" s="27" t="str">
        <f>HYPERLINK("https://www.compass.com/building/128-w-138th-st-manhattan-ny-10030/281992611378610197/","128 W 138th St")</f>
        <v>128 W 138th St</v>
      </c>
      <c r="F3599" s="25" t="s">
        <v>32</v>
      </c>
      <c r="G3599" s="28">
        <v>399000.0</v>
      </c>
      <c r="H3599" s="29"/>
      <c r="I3599" s="28">
        <v>610.0</v>
      </c>
      <c r="J3599" s="28">
        <v>0.0</v>
      </c>
      <c r="K3599" s="25" t="s">
        <v>25</v>
      </c>
      <c r="L3599" s="26">
        <v>4.0</v>
      </c>
      <c r="M3599" s="26">
        <v>2.0</v>
      </c>
      <c r="N3599" s="26">
        <v>1.0</v>
      </c>
      <c r="O3599" s="30"/>
      <c r="P3599" s="30"/>
      <c r="Q3599" s="35">
        <v>87.0</v>
      </c>
      <c r="R3599" s="32">
        <v>45269.0</v>
      </c>
      <c r="S3599" s="32">
        <v>45181.0</v>
      </c>
      <c r="T3599" s="29"/>
      <c r="U3599" s="33"/>
      <c r="V3599" s="1"/>
    </row>
    <row r="3600" ht="24.0" customHeight="1">
      <c r="A3600" s="1"/>
      <c r="B3600" s="24" t="str">
        <f>HYPERLINK("https://www.compass.com/listing/80-john-street-unit-5g-manhattan-ny-10038/70931343621529713/view?agent_id=610d3f3370540700019b0833","80 John St, Unit 5G")</f>
        <v>80 John St, Unit 5G</v>
      </c>
      <c r="C3600" s="25" t="s">
        <v>364</v>
      </c>
      <c r="D3600" s="26" t="s">
        <v>23</v>
      </c>
      <c r="E3600" s="27" t="str">
        <f t="shared" ref="E3600:E3602" si="127">HYPERLINK("https://www.compass.com/building/the-south-star-manhattan-ny/282030771458293189/","The South Star")</f>
        <v>The South Star</v>
      </c>
      <c r="F3600" s="25" t="s">
        <v>80</v>
      </c>
      <c r="G3600" s="28">
        <v>1275000.0</v>
      </c>
      <c r="H3600" s="28">
        <v>1278.0</v>
      </c>
      <c r="I3600" s="28">
        <v>1868.0</v>
      </c>
      <c r="J3600" s="28">
        <v>13512.0</v>
      </c>
      <c r="K3600" s="25" t="s">
        <v>28</v>
      </c>
      <c r="L3600" s="26">
        <v>4.0</v>
      </c>
      <c r="M3600" s="26">
        <v>2.0</v>
      </c>
      <c r="N3600" s="26">
        <v>0.0</v>
      </c>
      <c r="O3600" s="26">
        <v>0.0</v>
      </c>
      <c r="P3600" s="26">
        <v>998.0</v>
      </c>
      <c r="Q3600" s="35">
        <v>34.0</v>
      </c>
      <c r="R3600" s="32">
        <v>45636.0</v>
      </c>
      <c r="S3600" s="32">
        <v>43222.0</v>
      </c>
      <c r="T3600" s="29"/>
      <c r="U3600" s="33"/>
      <c r="V3600" s="1"/>
    </row>
    <row r="3601" ht="24.0" customHeight="1">
      <c r="A3601" s="1"/>
      <c r="B3601" s="24" t="str">
        <f>HYPERLINK("https://www.compass.com/listing/80-john-street-unit-9b-manhattan-ny-10038/70912810778928593/view?agent_id=610d3f3370540700019b0833","80 John St, Unit 9B")</f>
        <v>80 John St, Unit 9B</v>
      </c>
      <c r="C3601" s="25" t="s">
        <v>364</v>
      </c>
      <c r="D3601" s="26" t="s">
        <v>23</v>
      </c>
      <c r="E3601" s="27" t="str">
        <f t="shared" si="127"/>
        <v>The South Star</v>
      </c>
      <c r="F3601" s="25" t="s">
        <v>80</v>
      </c>
      <c r="G3601" s="28">
        <v>1450000.0</v>
      </c>
      <c r="H3601" s="28">
        <v>1373.0</v>
      </c>
      <c r="I3601" s="28">
        <v>1954.0</v>
      </c>
      <c r="J3601" s="28">
        <v>13944.0</v>
      </c>
      <c r="K3601" s="25" t="s">
        <v>28</v>
      </c>
      <c r="L3601" s="26">
        <v>4.0</v>
      </c>
      <c r="M3601" s="26">
        <v>2.0</v>
      </c>
      <c r="N3601" s="26">
        <v>0.0</v>
      </c>
      <c r="O3601" s="26">
        <v>0.0</v>
      </c>
      <c r="P3601" s="34">
        <v>1056.0</v>
      </c>
      <c r="Q3601" s="35">
        <v>81.0</v>
      </c>
      <c r="R3601" s="32">
        <v>45636.0</v>
      </c>
      <c r="S3601" s="32">
        <v>42607.0</v>
      </c>
      <c r="T3601" s="29"/>
      <c r="U3601" s="33"/>
      <c r="V3601" s="1"/>
    </row>
    <row r="3602" ht="24.0" customHeight="1">
      <c r="A3602" s="1"/>
      <c r="B3602" s="24" t="str">
        <f>HYPERLINK("https://www.compass.com/listing/80-john-street-unit-2f-manhattan-ny-10038/50866958463157345/view?agent_id=610d3f3370540700019b0833","80 John St, Unit 2F")</f>
        <v>80 John St, Unit 2F</v>
      </c>
      <c r="C3602" s="25" t="s">
        <v>364</v>
      </c>
      <c r="D3602" s="26" t="s">
        <v>23</v>
      </c>
      <c r="E3602" s="27" t="str">
        <f t="shared" si="127"/>
        <v>The South Star</v>
      </c>
      <c r="F3602" s="25" t="s">
        <v>80</v>
      </c>
      <c r="G3602" s="28">
        <v>1400000.0</v>
      </c>
      <c r="H3602" s="28">
        <v>1347.0</v>
      </c>
      <c r="I3602" s="28">
        <v>2117.0</v>
      </c>
      <c r="J3602" s="28">
        <v>16200.0</v>
      </c>
      <c r="K3602" s="25" t="s">
        <v>28</v>
      </c>
      <c r="L3602" s="26">
        <v>4.0</v>
      </c>
      <c r="M3602" s="26">
        <v>2.0</v>
      </c>
      <c r="N3602" s="26">
        <v>0.0</v>
      </c>
      <c r="O3602" s="26">
        <v>0.0</v>
      </c>
      <c r="P3602" s="34">
        <v>1039.0</v>
      </c>
      <c r="Q3602" s="35">
        <v>47.0</v>
      </c>
      <c r="R3602" s="32">
        <v>45636.0</v>
      </c>
      <c r="S3602" s="32">
        <v>42479.0</v>
      </c>
      <c r="T3602" s="29"/>
      <c r="U3602" s="33"/>
      <c r="V3602" s="1"/>
    </row>
    <row r="3603" ht="24.0" customHeight="1">
      <c r="A3603" s="1"/>
      <c r="B3603" s="24" t="str">
        <f>HYPERLINK("https://www.compass.com/listing/42-ann-street-unit-5-manhattan-ny-10038/221455537462593169/view?agent_id=610d3f3370540700019b0833","42 Ann St, Unit 5")</f>
        <v>42 Ann St, Unit 5</v>
      </c>
      <c r="C3603" s="25" t="s">
        <v>364</v>
      </c>
      <c r="D3603" s="26" t="s">
        <v>23</v>
      </c>
      <c r="E3603" s="27" t="str">
        <f t="shared" ref="E3603:E3604" si="128">HYPERLINK("https://www.compass.com/building/42-ann-st-manhattan-ny-10038/281928162206591253/","42 Ann St")</f>
        <v>42 Ann St</v>
      </c>
      <c r="F3603" s="25" t="s">
        <v>80</v>
      </c>
      <c r="G3603" s="28">
        <v>1995000.0</v>
      </c>
      <c r="H3603" s="28">
        <v>737.0</v>
      </c>
      <c r="I3603" s="28">
        <v>1014.0</v>
      </c>
      <c r="J3603" s="28">
        <v>1356.0</v>
      </c>
      <c r="K3603" s="25" t="s">
        <v>28</v>
      </c>
      <c r="L3603" s="26">
        <v>4.0</v>
      </c>
      <c r="M3603" s="26">
        <v>2.0</v>
      </c>
      <c r="N3603" s="26">
        <v>0.0</v>
      </c>
      <c r="O3603" s="26">
        <v>0.0</v>
      </c>
      <c r="P3603" s="34">
        <v>2708.0</v>
      </c>
      <c r="Q3603" s="35">
        <v>0.0</v>
      </c>
      <c r="R3603" s="32">
        <v>44581.0</v>
      </c>
      <c r="S3603" s="32">
        <v>41537.0</v>
      </c>
      <c r="T3603" s="29"/>
      <c r="U3603" s="33"/>
      <c r="V3603" s="1"/>
    </row>
    <row r="3604" ht="24.0" customHeight="1">
      <c r="A3604" s="1"/>
      <c r="B3604" s="24" t="str">
        <f>HYPERLINK("https://www.compass.com/listing/42-ann-street-unit-3-manhattan-ny-10038/70911406148514993/view?agent_id=610d3f3370540700019b0833","42 Ann St, Unit 3")</f>
        <v>42 Ann St, Unit 3</v>
      </c>
      <c r="C3604" s="25" t="s">
        <v>364</v>
      </c>
      <c r="D3604" s="26" t="s">
        <v>23</v>
      </c>
      <c r="E3604" s="27" t="str">
        <f t="shared" si="128"/>
        <v>42 Ann St</v>
      </c>
      <c r="F3604" s="25" t="s">
        <v>80</v>
      </c>
      <c r="G3604" s="28">
        <v>1895000.0</v>
      </c>
      <c r="H3604" s="28">
        <v>700.0</v>
      </c>
      <c r="I3604" s="28">
        <v>1179.0</v>
      </c>
      <c r="J3604" s="28">
        <v>1584.0</v>
      </c>
      <c r="K3604" s="25" t="s">
        <v>28</v>
      </c>
      <c r="L3604" s="26">
        <v>4.0</v>
      </c>
      <c r="M3604" s="26">
        <v>2.0</v>
      </c>
      <c r="N3604" s="26">
        <v>0.0</v>
      </c>
      <c r="O3604" s="26">
        <v>0.0</v>
      </c>
      <c r="P3604" s="34">
        <v>2708.0</v>
      </c>
      <c r="Q3604" s="35">
        <v>0.0</v>
      </c>
      <c r="R3604" s="32">
        <v>44581.0</v>
      </c>
      <c r="S3604" s="32">
        <v>41537.0</v>
      </c>
      <c r="T3604" s="29"/>
      <c r="U3604" s="33"/>
      <c r="V3604" s="1"/>
    </row>
    <row r="3605" ht="24.0" customHeight="1">
      <c r="A3605" s="1"/>
      <c r="B3605" s="24" t="str">
        <f>HYPERLINK("https://www.compass.com/listing/2611-frederick-douglass-boulevard-unit-4i-manhattan-ny-10030/1340570144953584409/view?agent_id=610d3f3370540700019b0833","2611 Frederick Douglass Blvd, Unit 4I")</f>
        <v>2611 Frederick Douglass Blvd, Unit 4I</v>
      </c>
      <c r="C3605" s="25" t="s">
        <v>365</v>
      </c>
      <c r="D3605" s="26" t="s">
        <v>23</v>
      </c>
      <c r="E3605" s="27" t="str">
        <f>HYPERLINK("https://www.compass.com/building/2611-frederick-douglass-blvd-manhattan-ny-10030/389275100859054453/","2611 Frederick Douglass Blvd")</f>
        <v>2611 Frederick Douglass Blvd</v>
      </c>
      <c r="F3605" s="25" t="s">
        <v>32</v>
      </c>
      <c r="G3605" s="28">
        <v>699500.0</v>
      </c>
      <c r="H3605" s="28">
        <v>823.0</v>
      </c>
      <c r="I3605" s="28">
        <v>830.0</v>
      </c>
      <c r="J3605" s="28">
        <v>2232.0</v>
      </c>
      <c r="K3605" s="25" t="s">
        <v>28</v>
      </c>
      <c r="L3605" s="26">
        <v>4.0</v>
      </c>
      <c r="M3605" s="26">
        <v>2.0</v>
      </c>
      <c r="N3605" s="26">
        <v>1.0</v>
      </c>
      <c r="O3605" s="30"/>
      <c r="P3605" s="26">
        <v>850.0</v>
      </c>
      <c r="Q3605" s="35">
        <v>189.0</v>
      </c>
      <c r="R3605" s="32">
        <v>45355.0</v>
      </c>
      <c r="S3605" s="32">
        <v>45101.0</v>
      </c>
      <c r="T3605" s="29"/>
      <c r="U3605" s="33"/>
      <c r="V3605" s="1"/>
    </row>
    <row r="3606" ht="24.0" customHeight="1">
      <c r="A3606" s="1"/>
      <c r="B3606" s="24" t="str">
        <f>HYPERLINK("https://www.compass.com/listing/100-west-141st-street-unit-58-manhattan-ny-10030/565285874332828353/view?agent_id=610d3f3370540700019b0833","100 W 141st St, Unit 58")</f>
        <v>100 W 141st St, Unit 58</v>
      </c>
      <c r="C3606" s="25" t="s">
        <v>364</v>
      </c>
      <c r="D3606" s="26" t="s">
        <v>23</v>
      </c>
      <c r="E3606" s="27" t="str">
        <f>HYPERLINK("https://www.compass.com/building/100-w-141st-st-manhattan-ny-10030/294842394805287829/","100 W 141st St")</f>
        <v>100 W 141st St</v>
      </c>
      <c r="F3606" s="25" t="s">
        <v>32</v>
      </c>
      <c r="G3606" s="28">
        <v>335000.0</v>
      </c>
      <c r="H3606" s="28">
        <v>429.0</v>
      </c>
      <c r="I3606" s="28">
        <v>792.0</v>
      </c>
      <c r="J3606" s="28">
        <v>0.0</v>
      </c>
      <c r="K3606" s="25" t="s">
        <v>25</v>
      </c>
      <c r="L3606" s="26">
        <v>5.0</v>
      </c>
      <c r="M3606" s="26">
        <v>2.0</v>
      </c>
      <c r="N3606" s="26">
        <v>1.0</v>
      </c>
      <c r="O3606" s="26">
        <v>0.0</v>
      </c>
      <c r="P3606" s="26">
        <v>780.0</v>
      </c>
      <c r="Q3606" s="35">
        <v>64.0</v>
      </c>
      <c r="R3606" s="32">
        <v>44098.0</v>
      </c>
      <c r="S3606" s="32">
        <v>44033.0</v>
      </c>
      <c r="T3606" s="29"/>
      <c r="U3606" s="33"/>
      <c r="V3606" s="1"/>
    </row>
    <row r="3607" ht="24.0" customHeight="1">
      <c r="A3607" s="1"/>
      <c r="B3607" s="24" t="str">
        <f>HYPERLINK("https://www.compass.com/listing/88-greenwich-street-unit-1004-manhattan-ny-10006/1838981846772354065/view?agent_id=610d3f3370540700019b0833","88 Greenwich St, Unit 1004")</f>
        <v>88 Greenwich St, Unit 1004</v>
      </c>
      <c r="C3607" s="25" t="s">
        <v>364</v>
      </c>
      <c r="D3607" s="26" t="s">
        <v>23</v>
      </c>
      <c r="E3607" s="27" t="str">
        <f>HYPERLINK("https://www.compass.com/building/greenwich-club-manhattan-ny/281896382854343541/","Greenwich Club")</f>
        <v>Greenwich Club</v>
      </c>
      <c r="F3607" s="25" t="s">
        <v>80</v>
      </c>
      <c r="G3607" s="28">
        <v>1595000.0</v>
      </c>
      <c r="H3607" s="28">
        <v>1315.0</v>
      </c>
      <c r="I3607" s="28">
        <v>3154.0</v>
      </c>
      <c r="J3607" s="28">
        <v>18576.0</v>
      </c>
      <c r="K3607" s="25" t="s">
        <v>28</v>
      </c>
      <c r="L3607" s="26">
        <v>4.0</v>
      </c>
      <c r="M3607" s="26">
        <v>2.0</v>
      </c>
      <c r="N3607" s="26">
        <v>0.0</v>
      </c>
      <c r="O3607" s="26">
        <v>0.0</v>
      </c>
      <c r="P3607" s="34">
        <v>1213.0</v>
      </c>
      <c r="Q3607" s="35">
        <v>257.0</v>
      </c>
      <c r="R3607" s="32">
        <v>45636.0</v>
      </c>
      <c r="S3607" s="32">
        <v>42768.0</v>
      </c>
      <c r="T3607" s="29"/>
      <c r="U3607" s="33"/>
      <c r="V3607" s="1"/>
    </row>
    <row r="3608" ht="24.0" customHeight="1">
      <c r="A3608" s="1"/>
      <c r="B3608" s="24" t="str">
        <f>HYPERLINK("https://www.compass.com/listing/4022-glenwood-road-brooklyn-ny-11210/29283813964168129/view?agent_id=610d3f3370540700019b0833","4022 Glenwood Rd")</f>
        <v>4022 Glenwood Rd</v>
      </c>
      <c r="C3608" s="25" t="s">
        <v>364</v>
      </c>
      <c r="D3608" s="26" t="s">
        <v>23</v>
      </c>
      <c r="E3608" s="27" t="str">
        <f>HYPERLINK("https://www.compass.com/building/4022-glenwood-rd-brooklyn-ny-11210/293533343742522261/","4022 Glenwood Rd")</f>
        <v>4022 Glenwood Rd</v>
      </c>
      <c r="F3608" s="25" t="s">
        <v>123</v>
      </c>
      <c r="G3608" s="28">
        <v>799000.0</v>
      </c>
      <c r="H3608" s="28">
        <v>490.0</v>
      </c>
      <c r="I3608" s="28">
        <v>0.0</v>
      </c>
      <c r="J3608" s="29"/>
      <c r="K3608" s="25" t="s">
        <v>384</v>
      </c>
      <c r="L3608" s="26">
        <v>4.0</v>
      </c>
      <c r="M3608" s="26">
        <v>2.0</v>
      </c>
      <c r="N3608" s="26">
        <v>0.0</v>
      </c>
      <c r="O3608" s="26">
        <v>0.0</v>
      </c>
      <c r="P3608" s="34">
        <v>1632.0</v>
      </c>
      <c r="Q3608" s="35">
        <v>120.0</v>
      </c>
      <c r="R3608" s="32">
        <v>44581.0</v>
      </c>
      <c r="S3608" s="32">
        <v>43162.0</v>
      </c>
      <c r="T3608" s="29"/>
      <c r="U3608" s="33"/>
      <c r="V3608" s="1"/>
    </row>
    <row r="3609" ht="24.0" customHeight="1">
      <c r="A3609" s="1"/>
      <c r="B3609" s="24" t="str">
        <f>HYPERLINK("https://www.compass.com/listing/88-greenwich-street-unit-1004-manhattan-ny-10006/1838889798995903465/view?agent_id=610d3f3370540700019b0833","88 Greenwich St, Unit 1004")</f>
        <v>88 Greenwich St, Unit 1004</v>
      </c>
      <c r="C3609" s="25" t="s">
        <v>364</v>
      </c>
      <c r="D3609" s="26" t="s">
        <v>23</v>
      </c>
      <c r="E3609" s="27" t="str">
        <f>HYPERLINK("https://www.compass.com/building/greenwich-club-manhattan-ny/281896382854343541/","Greenwich Club")</f>
        <v>Greenwich Club</v>
      </c>
      <c r="F3609" s="25" t="s">
        <v>80</v>
      </c>
      <c r="G3609" s="28">
        <v>1500000.0</v>
      </c>
      <c r="H3609" s="28">
        <v>1237.0</v>
      </c>
      <c r="I3609" s="28">
        <v>3161.0</v>
      </c>
      <c r="J3609" s="28">
        <v>18420.0</v>
      </c>
      <c r="K3609" s="25" t="s">
        <v>28</v>
      </c>
      <c r="L3609" s="26">
        <v>4.0</v>
      </c>
      <c r="M3609" s="26">
        <v>2.0</v>
      </c>
      <c r="N3609" s="26">
        <v>0.0</v>
      </c>
      <c r="O3609" s="26">
        <v>0.0</v>
      </c>
      <c r="P3609" s="34">
        <v>1213.0</v>
      </c>
      <c r="Q3609" s="35">
        <v>165.0</v>
      </c>
      <c r="R3609" s="32">
        <v>45636.0</v>
      </c>
      <c r="S3609" s="32">
        <v>43194.0</v>
      </c>
      <c r="T3609" s="29"/>
      <c r="U3609" s="33"/>
      <c r="V3609" s="1"/>
    </row>
    <row r="3610" ht="24.0" customHeight="1">
      <c r="A3610" s="1"/>
      <c r="B3610" s="24" t="str">
        <f>HYPERLINK("https://www.compass.com/listing/100-west-141st-street-unit-58-manhattan-ny-10030/310132417209715937/view?agent_id=610d3f3370540700019b0833","100 W 141st St, Unit 58")</f>
        <v>100 W 141st St, Unit 58</v>
      </c>
      <c r="C3610" s="25" t="s">
        <v>370</v>
      </c>
      <c r="D3610" s="26" t="s">
        <v>23</v>
      </c>
      <c r="E3610" s="27" t="str">
        <f>HYPERLINK("https://www.compass.com/building/100-w-141st-st-manhattan-ny-10030/294842394805287829/","100 W 141st St")</f>
        <v>100 W 141st St</v>
      </c>
      <c r="F3610" s="25" t="s">
        <v>32</v>
      </c>
      <c r="G3610" s="28">
        <v>339000.0</v>
      </c>
      <c r="H3610" s="28">
        <v>435.0</v>
      </c>
      <c r="I3610" s="28">
        <v>793.0</v>
      </c>
      <c r="J3610" s="28">
        <v>0.0</v>
      </c>
      <c r="K3610" s="25" t="s">
        <v>25</v>
      </c>
      <c r="L3610" s="26">
        <v>5.0</v>
      </c>
      <c r="M3610" s="26">
        <v>2.0</v>
      </c>
      <c r="N3610" s="26">
        <v>1.0</v>
      </c>
      <c r="O3610" s="26">
        <v>0.0</v>
      </c>
      <c r="P3610" s="26">
        <v>780.0</v>
      </c>
      <c r="Q3610" s="35">
        <v>230.0</v>
      </c>
      <c r="R3610" s="32">
        <v>43919.0</v>
      </c>
      <c r="S3610" s="32">
        <v>43679.0</v>
      </c>
      <c r="T3610" s="29"/>
      <c r="U3610" s="33"/>
      <c r="V3610" s="1"/>
    </row>
    <row r="3611" ht="24.0" customHeight="1">
      <c r="A3611" s="1"/>
      <c r="B3611" s="24" t="str">
        <f>HYPERLINK("https://www.compass.com/listing/128-west-138th-street-unit-1d-manhattan-ny-10030/1446491423582627337/view?agent_id=610d3f3370540700019b0833","128 W 138th St, Unit 1D")</f>
        <v>128 W 138th St, Unit 1D</v>
      </c>
      <c r="C3611" s="25" t="s">
        <v>370</v>
      </c>
      <c r="D3611" s="26" t="s">
        <v>23</v>
      </c>
      <c r="E3611" s="27" t="str">
        <f>HYPERLINK("https://www.compass.com/building/128-w-138th-st-manhattan-ny-10030/281992611378610197/","128 W 138th St")</f>
        <v>128 W 138th St</v>
      </c>
      <c r="F3611" s="25" t="s">
        <v>32</v>
      </c>
      <c r="G3611" s="28">
        <v>325000.0</v>
      </c>
      <c r="H3611" s="28">
        <v>540.0</v>
      </c>
      <c r="I3611" s="28">
        <v>703.0</v>
      </c>
      <c r="J3611" s="28">
        <v>0.0</v>
      </c>
      <c r="K3611" s="25" t="s">
        <v>25</v>
      </c>
      <c r="L3611" s="26">
        <v>4.0</v>
      </c>
      <c r="M3611" s="26">
        <v>2.0</v>
      </c>
      <c r="N3611" s="26">
        <v>1.0</v>
      </c>
      <c r="O3611" s="26">
        <v>0.0</v>
      </c>
      <c r="P3611" s="26">
        <v>602.0</v>
      </c>
      <c r="Q3611" s="35">
        <v>148.0</v>
      </c>
      <c r="R3611" s="32">
        <v>45636.0</v>
      </c>
      <c r="S3611" s="32">
        <v>45246.0</v>
      </c>
      <c r="T3611" s="29"/>
      <c r="U3611" s="33"/>
      <c r="V3611" s="1"/>
    </row>
    <row r="3612" ht="24.0" customHeight="1">
      <c r="A3612" s="1"/>
      <c r="B3612" s="24" t="str">
        <f>HYPERLINK("https://www.compass.com/listing/100-west-141st-street-unit-28-manhattan-ny-10030/4852311875733432161/view?agent_id=610d3f3370540700019b0833","100 W 141st St, Unit 28")</f>
        <v>100 W 141st St, Unit 28</v>
      </c>
      <c r="C3612" s="25" t="s">
        <v>364</v>
      </c>
      <c r="D3612" s="26" t="s">
        <v>23</v>
      </c>
      <c r="E3612" s="27" t="str">
        <f>HYPERLINK("https://www.compass.com/building/100-w-141st-st-manhattan-ny-10030/294842394805287829/","100 W 141st St")</f>
        <v>100 W 141st St</v>
      </c>
      <c r="F3612" s="25" t="s">
        <v>32</v>
      </c>
      <c r="G3612" s="28">
        <v>165000.0</v>
      </c>
      <c r="H3612" s="29"/>
      <c r="I3612" s="28">
        <v>777.0</v>
      </c>
      <c r="J3612" s="29"/>
      <c r="K3612" s="25" t="s">
        <v>25</v>
      </c>
      <c r="L3612" s="26">
        <v>5.0</v>
      </c>
      <c r="M3612" s="26">
        <v>2.0</v>
      </c>
      <c r="N3612" s="26">
        <v>0.0</v>
      </c>
      <c r="O3612" s="26">
        <v>0.0</v>
      </c>
      <c r="P3612" s="30"/>
      <c r="Q3612" s="35">
        <v>272.0</v>
      </c>
      <c r="R3612" s="32">
        <v>44581.0</v>
      </c>
      <c r="S3612" s="32">
        <v>41185.0</v>
      </c>
      <c r="T3612" s="29"/>
      <c r="U3612" s="33"/>
      <c r="V3612" s="1"/>
    </row>
    <row r="3613" ht="24.0" customHeight="1">
      <c r="A3613" s="1"/>
      <c r="B3613" s="24" t="str">
        <f>HYPERLINK("https://www.compass.com/listing/237-west-135th-street-unit-5e-manhattan-ny-10030/4852316624507642001/view?agent_id=610d3f3370540700019b0833","237 W 135th St, Unit 5E")</f>
        <v>237 W 135th St, Unit 5E</v>
      </c>
      <c r="C3613" s="25" t="s">
        <v>370</v>
      </c>
      <c r="D3613" s="26" t="s">
        <v>23</v>
      </c>
      <c r="E3613" s="27" t="str">
        <f>HYPERLINK("https://www.compass.com/building/237-w-135th-st-manhattan-ny-10030/281994389503461301/","237 W 135th St")</f>
        <v>237 W 135th St</v>
      </c>
      <c r="F3613" s="25" t="s">
        <v>32</v>
      </c>
      <c r="G3613" s="28">
        <v>399000.0</v>
      </c>
      <c r="H3613" s="29"/>
      <c r="I3613" s="28">
        <v>465.0</v>
      </c>
      <c r="J3613" s="29"/>
      <c r="K3613" s="25" t="s">
        <v>25</v>
      </c>
      <c r="L3613" s="26">
        <v>5.0</v>
      </c>
      <c r="M3613" s="26">
        <v>2.0</v>
      </c>
      <c r="N3613" s="26">
        <v>1.0</v>
      </c>
      <c r="O3613" s="26">
        <v>0.0</v>
      </c>
      <c r="P3613" s="30"/>
      <c r="Q3613" s="35">
        <v>0.0</v>
      </c>
      <c r="R3613" s="32">
        <v>44581.0</v>
      </c>
      <c r="S3613" s="32">
        <v>41512.0</v>
      </c>
      <c r="T3613" s="29"/>
      <c r="U3613" s="33"/>
      <c r="V3613" s="1"/>
    </row>
    <row r="3614" ht="24.0" customHeight="1">
      <c r="A3614" s="1"/>
      <c r="B3614" s="24" t="str">
        <f>HYPERLINK("https://www.compass.com/listing/20-clinton-street-unit-2f-manhattan-ny-10002/70912371845093393/view?agent_id=610d3f3370540700019b0833","20 Clinton St, Unit 2F")</f>
        <v>20 Clinton St, Unit 2F</v>
      </c>
      <c r="C3614" s="25" t="s">
        <v>364</v>
      </c>
      <c r="D3614" s="26" t="s">
        <v>23</v>
      </c>
      <c r="E3614" s="27" t="str">
        <f t="shared" ref="E3614:E3615" si="129">HYPERLINK("https://www.compass.com/building/20-clinton-st-manhattan-ny-10002/281886218847785781/","20 Clinton St")</f>
        <v>20 Clinton St</v>
      </c>
      <c r="F3614" s="25" t="s">
        <v>119</v>
      </c>
      <c r="G3614" s="28">
        <v>1225000.0</v>
      </c>
      <c r="H3614" s="28">
        <v>1381.0</v>
      </c>
      <c r="I3614" s="28">
        <v>1006.0</v>
      </c>
      <c r="J3614" s="28">
        <v>5400.0</v>
      </c>
      <c r="K3614" s="25" t="s">
        <v>28</v>
      </c>
      <c r="L3614" s="26">
        <v>5.0</v>
      </c>
      <c r="M3614" s="26">
        <v>2.0</v>
      </c>
      <c r="N3614" s="26">
        <v>1.0</v>
      </c>
      <c r="O3614" s="26">
        <v>0.0</v>
      </c>
      <c r="P3614" s="26">
        <v>887.0</v>
      </c>
      <c r="Q3614" s="35">
        <v>54.0</v>
      </c>
      <c r="R3614" s="32">
        <v>45636.0</v>
      </c>
      <c r="S3614" s="32">
        <v>41832.0</v>
      </c>
      <c r="T3614" s="29"/>
      <c r="U3614" s="33"/>
      <c r="V3614" s="1"/>
    </row>
    <row r="3615" ht="24.0" customHeight="1">
      <c r="A3615" s="1"/>
      <c r="B3615" s="24" t="str">
        <f>HYPERLINK("https://www.compass.com/listing/20-clinton-street-unit-2f-manhattan-ny-10002/920836225132594697/view?agent_id=610d3f3370540700019b0833","20 Clinton St, Unit 2F")</f>
        <v>20 Clinton St, Unit 2F</v>
      </c>
      <c r="C3615" s="25" t="s">
        <v>364</v>
      </c>
      <c r="D3615" s="26" t="s">
        <v>23</v>
      </c>
      <c r="E3615" s="27" t="str">
        <f t="shared" si="129"/>
        <v>20 Clinton St</v>
      </c>
      <c r="F3615" s="25" t="s">
        <v>119</v>
      </c>
      <c r="G3615" s="28">
        <v>1325000.0</v>
      </c>
      <c r="H3615" s="28">
        <v>1286.0</v>
      </c>
      <c r="I3615" s="28">
        <v>1113.0</v>
      </c>
      <c r="J3615" s="28">
        <v>6012.0</v>
      </c>
      <c r="K3615" s="25" t="s">
        <v>28</v>
      </c>
      <c r="L3615" s="26">
        <v>5.0</v>
      </c>
      <c r="M3615" s="26">
        <v>2.0</v>
      </c>
      <c r="N3615" s="26">
        <v>1.0</v>
      </c>
      <c r="O3615" s="26">
        <v>0.0</v>
      </c>
      <c r="P3615" s="34">
        <v>1030.0</v>
      </c>
      <c r="Q3615" s="35">
        <v>100.0</v>
      </c>
      <c r="R3615" s="32">
        <v>45636.0</v>
      </c>
      <c r="S3615" s="32">
        <v>42451.0</v>
      </c>
      <c r="T3615" s="29"/>
      <c r="U3615" s="33"/>
      <c r="V3615" s="1"/>
    </row>
    <row r="3616" ht="24.0" customHeight="1">
      <c r="A3616" s="1"/>
      <c r="B3616" s="24" t="str">
        <f>HYPERLINK("https://www.compass.com/listing/457-fdr-drive-unit-a604-manhattan-ny-10002/1009401230182214145/view?agent_id=610d3f3370540700019b0833","457 FDR Dr, Unit A604")</f>
        <v>457 FDR Dr, Unit A604</v>
      </c>
      <c r="C3616" s="25" t="s">
        <v>365</v>
      </c>
      <c r="D3616" s="26" t="s">
        <v>23</v>
      </c>
      <c r="E3616" s="27" t="str">
        <f>HYPERLINK("https://www.compass.com/building/east-river-housing-co-op-manhattan-ny/294842260411657045/","East River Housing Co-op")</f>
        <v>East River Housing Co-op</v>
      </c>
      <c r="F3616" s="25" t="s">
        <v>119</v>
      </c>
      <c r="G3616" s="28">
        <v>895000.0</v>
      </c>
      <c r="H3616" s="29"/>
      <c r="I3616" s="28">
        <v>1345.0</v>
      </c>
      <c r="J3616" s="28">
        <v>0.0</v>
      </c>
      <c r="K3616" s="25" t="s">
        <v>25</v>
      </c>
      <c r="L3616" s="26">
        <v>4.0</v>
      </c>
      <c r="M3616" s="26">
        <v>2.0</v>
      </c>
      <c r="N3616" s="26">
        <v>1.0</v>
      </c>
      <c r="O3616" s="30"/>
      <c r="P3616" s="30"/>
      <c r="Q3616" s="35">
        <v>199.0</v>
      </c>
      <c r="R3616" s="32">
        <v>44949.0</v>
      </c>
      <c r="S3616" s="32">
        <v>44747.0</v>
      </c>
      <c r="T3616" s="29"/>
      <c r="U3616" s="33"/>
      <c r="V3616" s="1"/>
    </row>
    <row r="3617" ht="24.0" customHeight="1">
      <c r="A3617" s="1"/>
      <c r="B3617" s="24" t="str">
        <f>HYPERLINK("https://www.compass.com/listing/570-grand-street-unit-g1504-manhattan-ny-10002/783745324261495729/view?agent_id=610d3f3370540700019b0833","570 Grand St, Unit G1504")</f>
        <v>570 Grand St, Unit G1504</v>
      </c>
      <c r="C3617" s="25" t="s">
        <v>364</v>
      </c>
      <c r="D3617" s="26" t="s">
        <v>23</v>
      </c>
      <c r="E3617" s="27" t="str">
        <f>HYPERLINK("https://www.compass.com/building/east-river-coop-manhattan-ny/281887797969684453/","East River Coop")</f>
        <v>East River Coop</v>
      </c>
      <c r="F3617" s="25" t="s">
        <v>119</v>
      </c>
      <c r="G3617" s="28">
        <v>959000.0</v>
      </c>
      <c r="H3617" s="28">
        <v>880.0</v>
      </c>
      <c r="I3617" s="28">
        <v>970.0</v>
      </c>
      <c r="J3617" s="29"/>
      <c r="K3617" s="25" t="s">
        <v>25</v>
      </c>
      <c r="L3617" s="26">
        <v>5.0</v>
      </c>
      <c r="M3617" s="26">
        <v>2.0</v>
      </c>
      <c r="N3617" s="26">
        <v>1.0</v>
      </c>
      <c r="O3617" s="26">
        <v>0.0</v>
      </c>
      <c r="P3617" s="34">
        <v>1090.0</v>
      </c>
      <c r="Q3617" s="35">
        <v>176.0</v>
      </c>
      <c r="R3617" s="32">
        <v>45636.0</v>
      </c>
      <c r="S3617" s="32">
        <v>42576.0</v>
      </c>
      <c r="T3617" s="29"/>
      <c r="U3617" s="33"/>
      <c r="V3617" s="1"/>
    </row>
    <row r="3618" ht="24.0" customHeight="1">
      <c r="A3618" s="1"/>
      <c r="B3618" s="24" t="str">
        <f>HYPERLINK("https://www.compass.com/listing/154-attorney-street-unit-301-manhattan-ny-10002/1838892805263461849/view?agent_id=610d3f3370540700019b0833","154 Attorney St, Unit 301")</f>
        <v>154 Attorney St, Unit 301</v>
      </c>
      <c r="C3618" s="25" t="s">
        <v>364</v>
      </c>
      <c r="D3618" s="26" t="s">
        <v>23</v>
      </c>
      <c r="E3618" s="27" t="str">
        <f>HYPERLINK("https://www.compass.com/building/154-attorney-st-manhattan-ny-10002/281885470206463525/","154 Attorney St")</f>
        <v>154 Attorney St</v>
      </c>
      <c r="F3618" s="25" t="s">
        <v>119</v>
      </c>
      <c r="G3618" s="28">
        <v>1495000.0</v>
      </c>
      <c r="H3618" s="28">
        <v>1196.0</v>
      </c>
      <c r="I3618" s="28">
        <v>2571.0</v>
      </c>
      <c r="J3618" s="28">
        <v>13860.0</v>
      </c>
      <c r="K3618" s="25" t="s">
        <v>28</v>
      </c>
      <c r="L3618" s="26">
        <v>6.0</v>
      </c>
      <c r="M3618" s="26">
        <v>2.0</v>
      </c>
      <c r="N3618" s="26">
        <v>0.0</v>
      </c>
      <c r="O3618" s="26">
        <v>0.0</v>
      </c>
      <c r="P3618" s="34">
        <v>1250.0</v>
      </c>
      <c r="Q3618" s="35">
        <v>155.0</v>
      </c>
      <c r="R3618" s="32">
        <v>45636.0</v>
      </c>
      <c r="S3618" s="32">
        <v>43236.0</v>
      </c>
      <c r="T3618" s="29"/>
      <c r="U3618" s="33"/>
      <c r="V3618" s="1"/>
    </row>
    <row r="3619" ht="24.0" customHeight="1">
      <c r="A3619" s="1"/>
      <c r="B3619" s="24" t="str">
        <f>HYPERLINK("https://www.compass.com/listing/660-st-nicholas-avenue-unit-62-manhattan-ny-10030/1809621754880703737/view?agent_id=610d3f3370540700019b0833","660 St Nicholas Ave, Unit 62")</f>
        <v>660 St Nicholas Ave, Unit 62</v>
      </c>
      <c r="C3619" s="25" t="s">
        <v>364</v>
      </c>
      <c r="D3619" s="26" t="s">
        <v>23</v>
      </c>
      <c r="E3619" s="27" t="str">
        <f t="shared" ref="E3619:E3620" si="130">HYPERLINK("https://www.compass.com/building/660-st-nicholas-ave-manhattan-ny-10030/281995826304243589/","660 St Nicholas Ave")</f>
        <v>660 St Nicholas Ave</v>
      </c>
      <c r="F3619" s="25" t="s">
        <v>32</v>
      </c>
      <c r="G3619" s="28">
        <v>375000.0</v>
      </c>
      <c r="H3619" s="29"/>
      <c r="I3619" s="28">
        <v>598.0</v>
      </c>
      <c r="J3619" s="29"/>
      <c r="K3619" s="25" t="s">
        <v>25</v>
      </c>
      <c r="L3619" s="26">
        <v>4.0</v>
      </c>
      <c r="M3619" s="26">
        <v>2.0</v>
      </c>
      <c r="N3619" s="26">
        <v>1.0</v>
      </c>
      <c r="O3619" s="26">
        <v>0.0</v>
      </c>
      <c r="P3619" s="30"/>
      <c r="Q3619" s="35">
        <v>215.0</v>
      </c>
      <c r="R3619" s="32">
        <v>45636.0</v>
      </c>
      <c r="S3619" s="32">
        <v>44232.0</v>
      </c>
      <c r="T3619" s="29"/>
      <c r="U3619" s="33"/>
      <c r="V3619" s="1"/>
    </row>
    <row r="3620" ht="24.0" customHeight="1">
      <c r="A3620" s="1"/>
      <c r="B3620" s="24" t="str">
        <f>HYPERLINK("https://www.compass.com/listing/660-st-nicholas-avenue-unit-62-manhattan-ny-10030/1809623098442350753/view?agent_id=610d3f3370540700019b0833","660 St Nicholas Ave, Unit 62")</f>
        <v>660 St Nicholas Ave, Unit 62</v>
      </c>
      <c r="C3620" s="25" t="s">
        <v>370</v>
      </c>
      <c r="D3620" s="26" t="s">
        <v>23</v>
      </c>
      <c r="E3620" s="27" t="str">
        <f t="shared" si="130"/>
        <v>660 St Nicholas Ave</v>
      </c>
      <c r="F3620" s="25" t="s">
        <v>32</v>
      </c>
      <c r="G3620" s="28">
        <v>375000.0</v>
      </c>
      <c r="H3620" s="29"/>
      <c r="I3620" s="28">
        <v>598.0</v>
      </c>
      <c r="J3620" s="29"/>
      <c r="K3620" s="25" t="s">
        <v>25</v>
      </c>
      <c r="L3620" s="26">
        <v>4.0</v>
      </c>
      <c r="M3620" s="26">
        <v>2.0</v>
      </c>
      <c r="N3620" s="26">
        <v>1.0</v>
      </c>
      <c r="O3620" s="26">
        <v>0.0</v>
      </c>
      <c r="P3620" s="30"/>
      <c r="Q3620" s="35">
        <v>82.0</v>
      </c>
      <c r="R3620" s="32">
        <v>44581.0</v>
      </c>
      <c r="S3620" s="32">
        <v>44448.0</v>
      </c>
      <c r="T3620" s="29"/>
      <c r="U3620" s="33"/>
      <c r="V3620" s="1"/>
    </row>
    <row r="3621" ht="24.0" customHeight="1">
      <c r="A3621" s="1"/>
      <c r="B3621" s="24" t="str">
        <f>HYPERLINK("https://www.compass.com/listing/90-william-street-unit-16h-manhattan-ny-10038/451539089058622497/view?agent_id=610d3f3370540700019b0833","90 William St, Unit 16H")</f>
        <v>90 William St, Unit 16H</v>
      </c>
      <c r="C3621" s="25" t="s">
        <v>370</v>
      </c>
      <c r="D3621" s="26" t="s">
        <v>23</v>
      </c>
      <c r="E3621" s="27" t="str">
        <f>HYPERLINK("https://www.compass.com/building/be-90william-manhattan-ny/282030888110276085/","Be@90William")</f>
        <v>Be@90William</v>
      </c>
      <c r="F3621" s="25" t="s">
        <v>80</v>
      </c>
      <c r="G3621" s="28">
        <v>1150000.0</v>
      </c>
      <c r="H3621" s="28">
        <v>1049.0</v>
      </c>
      <c r="I3621" s="28">
        <v>1931.0</v>
      </c>
      <c r="J3621" s="28">
        <v>8436.0</v>
      </c>
      <c r="K3621" s="25" t="s">
        <v>28</v>
      </c>
      <c r="L3621" s="26">
        <v>4.0</v>
      </c>
      <c r="M3621" s="26">
        <v>2.0</v>
      </c>
      <c r="N3621" s="26">
        <v>1.0</v>
      </c>
      <c r="O3621" s="26">
        <v>0.0</v>
      </c>
      <c r="P3621" s="34">
        <v>1096.0</v>
      </c>
      <c r="Q3621" s="35">
        <v>65.0</v>
      </c>
      <c r="R3621" s="32">
        <v>44074.0</v>
      </c>
      <c r="S3621" s="32">
        <v>43875.0</v>
      </c>
      <c r="T3621" s="29"/>
      <c r="U3621" s="33"/>
      <c r="V3621" s="1"/>
    </row>
    <row r="3622" ht="24.0" customHeight="1">
      <c r="A3622" s="1"/>
      <c r="B3622" s="24" t="str">
        <f>HYPERLINK("https://www.compass.com/listing/6911-15-shore-road-unit-3a-brooklyn-ny-11209/29504500993682913/view?agent_id=610d3f3370540700019b0833","6911-15 Shore Rd, Unit 3A")</f>
        <v>6911-15 Shore Rd, Unit 3A</v>
      </c>
      <c r="C3622" s="25" t="s">
        <v>370</v>
      </c>
      <c r="D3622" s="26" t="s">
        <v>23</v>
      </c>
      <c r="E3622" s="27" t="str">
        <f>HYPERLINK("https://www.compass.com/building/6911-15-shore-rd-brooklyn-ny-11209/436380755342474365/","6911-15 Shore Rd")</f>
        <v>6911-15 Shore Rd</v>
      </c>
      <c r="F3622" s="25" t="s">
        <v>55</v>
      </c>
      <c r="G3622" s="28">
        <v>579000.0</v>
      </c>
      <c r="H3622" s="28">
        <v>526.0</v>
      </c>
      <c r="I3622" s="28">
        <v>363.0</v>
      </c>
      <c r="J3622" s="28">
        <v>396.0</v>
      </c>
      <c r="K3622" s="25" t="s">
        <v>28</v>
      </c>
      <c r="L3622" s="26">
        <v>5.0</v>
      </c>
      <c r="M3622" s="26">
        <v>2.0</v>
      </c>
      <c r="N3622" s="26">
        <v>0.0</v>
      </c>
      <c r="O3622" s="26">
        <v>0.0</v>
      </c>
      <c r="P3622" s="34">
        <v>1100.0</v>
      </c>
      <c r="Q3622" s="35">
        <v>0.0</v>
      </c>
      <c r="R3622" s="32">
        <v>44581.0</v>
      </c>
      <c r="S3622" s="32">
        <v>41513.0</v>
      </c>
      <c r="T3622" s="29"/>
      <c r="U3622" s="33"/>
      <c r="V3622" s="1"/>
    </row>
    <row r="3623" ht="24.0" customHeight="1">
      <c r="A3623" s="1"/>
      <c r="B3623" s="24" t="str">
        <f>HYPERLINK("https://www.compass.com/listing/5500-fieldston-road-unit-7jj-bronx-ny-10471/1707350038280995289/view?agent_id=610d3f3370540700019b0833","5500 Fieldston Rd, Unit 7JJ")</f>
        <v>5500 Fieldston Rd, Unit 7JJ</v>
      </c>
      <c r="C3623" s="25" t="s">
        <v>364</v>
      </c>
      <c r="D3623" s="26" t="s">
        <v>23</v>
      </c>
      <c r="E3623" s="27" t="str">
        <f>HYPERLINK("https://www.compass.com/building/5500-fieldston-rd-bronx-ny-10471/293532030354930197/","5500 Fieldston Rd")</f>
        <v>5500 Fieldston Rd</v>
      </c>
      <c r="F3623" s="25" t="s">
        <v>75</v>
      </c>
      <c r="G3623" s="28">
        <v>275000.0</v>
      </c>
      <c r="H3623" s="28">
        <v>324.0</v>
      </c>
      <c r="I3623" s="28">
        <v>1273.0</v>
      </c>
      <c r="J3623" s="28">
        <v>0.0</v>
      </c>
      <c r="K3623" s="25" t="s">
        <v>25</v>
      </c>
      <c r="L3623" s="26">
        <v>4.0</v>
      </c>
      <c r="M3623" s="26">
        <v>2.0</v>
      </c>
      <c r="N3623" s="26">
        <v>1.0</v>
      </c>
      <c r="O3623" s="26">
        <v>0.0</v>
      </c>
      <c r="P3623" s="26">
        <v>850.0</v>
      </c>
      <c r="Q3623" s="35">
        <v>179.0</v>
      </c>
      <c r="R3623" s="32">
        <v>45786.0</v>
      </c>
      <c r="S3623" s="32">
        <v>45607.0</v>
      </c>
      <c r="T3623" s="29"/>
      <c r="U3623" s="33"/>
      <c r="V3623" s="1"/>
    </row>
    <row r="3624" ht="24.0" customHeight="1">
      <c r="A3624" s="1"/>
      <c r="B3624" s="24" t="str">
        <f>HYPERLINK("https://www.compass.com/listing/811-cortelyou-road-unit-4n-brooklyn-ny-11218/344008246494632561/view?agent_id=610d3f3370540700019b0833","811 Cortelyou Rd, Unit 4N")</f>
        <v>811 Cortelyou Rd, Unit 4N</v>
      </c>
      <c r="C3624" s="25" t="s">
        <v>364</v>
      </c>
      <c r="D3624" s="26" t="s">
        <v>23</v>
      </c>
      <c r="E3624" s="27" t="str">
        <f t="shared" ref="E3624:E3625" si="131">HYPERLINK("https://www.compass.com/building/811-cortelyou-rd-brooklyn-ny-11218/293528215727677477/","811 Cortelyou Rd")</f>
        <v>811 Cortelyou Rd</v>
      </c>
      <c r="F3624" s="25" t="s">
        <v>117</v>
      </c>
      <c r="G3624" s="28">
        <v>565000.0</v>
      </c>
      <c r="H3624" s="29"/>
      <c r="I3624" s="28">
        <v>951.0</v>
      </c>
      <c r="J3624" s="28">
        <v>0.0</v>
      </c>
      <c r="K3624" s="25" t="s">
        <v>25</v>
      </c>
      <c r="L3624" s="26">
        <v>4.0</v>
      </c>
      <c r="M3624" s="26">
        <v>2.0</v>
      </c>
      <c r="N3624" s="26">
        <v>1.0</v>
      </c>
      <c r="O3624" s="30"/>
      <c r="P3624" s="30"/>
      <c r="Q3624" s="35">
        <v>68.0</v>
      </c>
      <c r="R3624" s="32">
        <v>43902.0</v>
      </c>
      <c r="S3624" s="32">
        <v>43742.0</v>
      </c>
      <c r="T3624" s="29"/>
      <c r="U3624" s="33"/>
      <c r="V3624" s="1"/>
    </row>
    <row r="3625" ht="24.0" customHeight="1">
      <c r="A3625" s="1"/>
      <c r="B3625" s="24" t="str">
        <f>HYPERLINK("https://www.compass.com/listing/811-cortelyou-road-unit-4n-brooklyn-ny-11218/521551633455976233/view?agent_id=610d3f3370540700019b0833","811 Cortelyou Rd, Unit 4N")</f>
        <v>811 Cortelyou Rd, Unit 4N</v>
      </c>
      <c r="C3625" s="25" t="s">
        <v>364</v>
      </c>
      <c r="D3625" s="26" t="s">
        <v>23</v>
      </c>
      <c r="E3625" s="27" t="str">
        <f t="shared" si="131"/>
        <v>811 Cortelyou Rd</v>
      </c>
      <c r="F3625" s="25" t="s">
        <v>117</v>
      </c>
      <c r="G3625" s="28">
        <v>499000.0</v>
      </c>
      <c r="H3625" s="29"/>
      <c r="I3625" s="28">
        <v>951.0</v>
      </c>
      <c r="J3625" s="28">
        <v>0.0</v>
      </c>
      <c r="K3625" s="25" t="s">
        <v>25</v>
      </c>
      <c r="L3625" s="26">
        <v>4.0</v>
      </c>
      <c r="M3625" s="26">
        <v>2.0</v>
      </c>
      <c r="N3625" s="26">
        <v>1.0</v>
      </c>
      <c r="O3625" s="30"/>
      <c r="P3625" s="30"/>
      <c r="Q3625" s="35">
        <v>83.0</v>
      </c>
      <c r="R3625" s="32">
        <v>44087.0</v>
      </c>
      <c r="S3625" s="32">
        <v>43993.0</v>
      </c>
      <c r="T3625" s="29"/>
      <c r="U3625" s="33"/>
      <c r="V3625" s="1"/>
    </row>
    <row r="3626" ht="24.0" customHeight="1">
      <c r="A3626" s="1"/>
      <c r="B3626" s="24" t="str">
        <f>HYPERLINK("https://www.compass.com/listing/132-suffolk-street-unit-2b-manhattan-ny-10002/4852319882944980993/view?agent_id=610d3f3370540700019b0833","132 Suffolk St, Unit 2B")</f>
        <v>132 Suffolk St, Unit 2B</v>
      </c>
      <c r="C3626" s="25" t="s">
        <v>370</v>
      </c>
      <c r="D3626" s="26" t="s">
        <v>23</v>
      </c>
      <c r="E3626" s="27" t="str">
        <f>HYPERLINK("https://www.compass.com/building/132-suffolk-st-manhattan-ny-10002/282065860544205349/","132 Suffolk St")</f>
        <v>132 Suffolk St</v>
      </c>
      <c r="F3626" s="25" t="s">
        <v>119</v>
      </c>
      <c r="G3626" s="28">
        <v>850000.0</v>
      </c>
      <c r="H3626" s="28">
        <v>966.0</v>
      </c>
      <c r="I3626" s="28">
        <v>679.0</v>
      </c>
      <c r="J3626" s="28">
        <v>3588.0</v>
      </c>
      <c r="K3626" s="25" t="s">
        <v>28</v>
      </c>
      <c r="L3626" s="26">
        <v>4.0</v>
      </c>
      <c r="M3626" s="26">
        <v>2.0</v>
      </c>
      <c r="N3626" s="26">
        <v>0.0</v>
      </c>
      <c r="O3626" s="26">
        <v>0.0</v>
      </c>
      <c r="P3626" s="26">
        <v>880.0</v>
      </c>
      <c r="Q3626" s="35">
        <v>0.0</v>
      </c>
      <c r="R3626" s="32">
        <v>44581.0</v>
      </c>
      <c r="S3626" s="32">
        <v>41783.0</v>
      </c>
      <c r="T3626" s="29"/>
      <c r="U3626" s="33"/>
      <c r="V3626" s="1"/>
    </row>
    <row r="3627" ht="24.0" customHeight="1">
      <c r="A3627" s="1"/>
      <c r="B3627" s="24" t="str">
        <f>HYPERLINK("https://www.compass.com/listing/299-pearl-street-unit-1d-manhattan-ny-10038/1277620487844975729/view?agent_id=610d3f3370540700019b0833","299 Pearl St, Unit 1D")</f>
        <v>299 Pearl St, Unit 1D</v>
      </c>
      <c r="C3627" s="25" t="s">
        <v>365</v>
      </c>
      <c r="D3627" s="26" t="s">
        <v>23</v>
      </c>
      <c r="E3627" s="27" t="str">
        <f>HYPERLINK("https://www.compass.com/building/southbridge-towers-manhattan-ny/282060987299824005/","Southbridge Towers")</f>
        <v>Southbridge Towers</v>
      </c>
      <c r="F3627" s="25" t="s">
        <v>80</v>
      </c>
      <c r="G3627" s="28">
        <v>899000.0</v>
      </c>
      <c r="H3627" s="29"/>
      <c r="I3627" s="28">
        <v>863.0</v>
      </c>
      <c r="J3627" s="28">
        <v>0.0</v>
      </c>
      <c r="K3627" s="25" t="s">
        <v>25</v>
      </c>
      <c r="L3627" s="26">
        <v>4.0</v>
      </c>
      <c r="M3627" s="26">
        <v>2.0</v>
      </c>
      <c r="N3627" s="26">
        <v>1.0</v>
      </c>
      <c r="O3627" s="30"/>
      <c r="P3627" s="30"/>
      <c r="Q3627" s="35">
        <v>114.0</v>
      </c>
      <c r="R3627" s="32">
        <v>45128.0</v>
      </c>
      <c r="S3627" s="32">
        <v>45014.0</v>
      </c>
      <c r="T3627" s="29"/>
      <c r="U3627" s="33"/>
      <c r="V3627" s="1"/>
    </row>
    <row r="3628" ht="24.0" customHeight="1">
      <c r="A3628" s="1"/>
      <c r="B3628" s="24" t="str">
        <f>HYPERLINK("https://www.compass.com/listing/1885-lexington-avenue-unit-6d-manhattan-ny-10035/1328290987872594633/view?agent_id=610d3f3370540700019b0833","1885 Lexington Ave, Unit 6D")</f>
        <v>1885 Lexington Ave, Unit 6D</v>
      </c>
      <c r="C3628" s="25" t="s">
        <v>370</v>
      </c>
      <c r="D3628" s="26" t="s">
        <v>23</v>
      </c>
      <c r="E3628" s="27" t="str">
        <f>HYPERLINK("https://www.compass.com/building/lancaster-lexington-manhattan-ny/282017824111596149/","Lancaster Lexington")</f>
        <v>Lancaster Lexington</v>
      </c>
      <c r="F3628" s="25" t="s">
        <v>133</v>
      </c>
      <c r="G3628" s="28">
        <v>695000.0</v>
      </c>
      <c r="H3628" s="28">
        <v>698.0</v>
      </c>
      <c r="I3628" s="28">
        <v>1142.0</v>
      </c>
      <c r="J3628" s="29"/>
      <c r="K3628" s="25" t="s">
        <v>25</v>
      </c>
      <c r="L3628" s="26">
        <v>4.0</v>
      </c>
      <c r="M3628" s="26">
        <v>2.0</v>
      </c>
      <c r="N3628" s="26">
        <v>1.0</v>
      </c>
      <c r="O3628" s="26">
        <v>0.0</v>
      </c>
      <c r="P3628" s="26">
        <v>996.0</v>
      </c>
      <c r="Q3628" s="35">
        <v>43.0</v>
      </c>
      <c r="R3628" s="32">
        <v>45218.0</v>
      </c>
      <c r="S3628" s="32">
        <v>45084.0</v>
      </c>
      <c r="T3628" s="29"/>
      <c r="U3628" s="33"/>
      <c r="V3628" s="1"/>
    </row>
    <row r="3629" ht="24.0" customHeight="1">
      <c r="A3629" s="1"/>
      <c r="B3629" s="24" t="str">
        <f>HYPERLINK("https://www.compass.com/listing/100-beekman-street-unit-20d-manhattan-ny-10038/1025966720474516673/view?agent_id=610d3f3370540700019b0833","100 Beekman St, Unit 20D")</f>
        <v>100 Beekman St, Unit 20D</v>
      </c>
      <c r="C3629" s="25" t="s">
        <v>370</v>
      </c>
      <c r="D3629" s="26" t="s">
        <v>23</v>
      </c>
      <c r="E3629" s="27" t="str">
        <f>HYPERLINK("https://www.compass.com/building/southbridge-towers-manhattan-ny/282059138173797781/","Southbridge Towers")</f>
        <v>Southbridge Towers</v>
      </c>
      <c r="F3629" s="25" t="s">
        <v>80</v>
      </c>
      <c r="G3629" s="28">
        <v>1295000.0</v>
      </c>
      <c r="H3629" s="29"/>
      <c r="I3629" s="28">
        <v>923.0</v>
      </c>
      <c r="J3629" s="28">
        <v>0.0</v>
      </c>
      <c r="K3629" s="25" t="s">
        <v>25</v>
      </c>
      <c r="L3629" s="26">
        <v>4.0</v>
      </c>
      <c r="M3629" s="26">
        <v>2.0</v>
      </c>
      <c r="N3629" s="26">
        <v>1.0</v>
      </c>
      <c r="O3629" s="30"/>
      <c r="P3629" s="30"/>
      <c r="Q3629" s="35">
        <v>302.0</v>
      </c>
      <c r="R3629" s="32">
        <v>44969.0</v>
      </c>
      <c r="S3629" s="32">
        <v>44667.0</v>
      </c>
      <c r="T3629" s="29"/>
      <c r="U3629" s="33"/>
      <c r="V3629" s="1"/>
    </row>
    <row r="3630" ht="24.0" customHeight="1">
      <c r="A3630" s="1"/>
      <c r="B3630" s="24" t="str">
        <f>HYPERLINK("https://www.compass.com/listing/170-john-street-unit-3a-4a-manhattan-ny-10038/1013350041944799881/view?agent_id=610d3f3370540700019b0833","170 John St, Unit 3A/4A")</f>
        <v>170 John St, Unit 3A/4A</v>
      </c>
      <c r="C3630" s="25" t="s">
        <v>364</v>
      </c>
      <c r="D3630" s="26" t="s">
        <v>23</v>
      </c>
      <c r="E3630" s="27" t="str">
        <f>HYPERLINK("https://www.compass.com/building/170-john-st-manhattan-ny-10038/282029906366313093/","170 John St")</f>
        <v>170 John St</v>
      </c>
      <c r="F3630" s="25" t="s">
        <v>80</v>
      </c>
      <c r="G3630" s="28">
        <v>1395000.0</v>
      </c>
      <c r="H3630" s="28">
        <v>1266.0</v>
      </c>
      <c r="I3630" s="28">
        <v>2511.0</v>
      </c>
      <c r="J3630" s="28">
        <v>16200.0</v>
      </c>
      <c r="K3630" s="25" t="s">
        <v>28</v>
      </c>
      <c r="L3630" s="26">
        <v>5.0</v>
      </c>
      <c r="M3630" s="26">
        <v>2.0</v>
      </c>
      <c r="N3630" s="26">
        <v>1.0</v>
      </c>
      <c r="O3630" s="30"/>
      <c r="P3630" s="34">
        <v>1102.0</v>
      </c>
      <c r="Q3630" s="35">
        <v>106.0</v>
      </c>
      <c r="R3630" s="32">
        <v>44756.0</v>
      </c>
      <c r="S3630" s="32">
        <v>44650.0</v>
      </c>
      <c r="T3630" s="29"/>
      <c r="U3630" s="33"/>
      <c r="V3630" s="1"/>
    </row>
    <row r="3631" ht="24.0" customHeight="1">
      <c r="A3631" s="1"/>
      <c r="B3631" s="24" t="str">
        <f>HYPERLINK("https://www.compass.com/listing/1885-lexington-avenue-unit-ph7b-manhattan-ny-10035/4852281325060620369/view?agent_id=610d3f3370540700019b0833","1885 Lexington Ave, Unit PH7B")</f>
        <v>1885 Lexington Ave, Unit PH7B</v>
      </c>
      <c r="C3631" s="25" t="s">
        <v>364</v>
      </c>
      <c r="D3631" s="26" t="s">
        <v>23</v>
      </c>
      <c r="E3631" s="27" t="str">
        <f>HYPERLINK("https://www.compass.com/building/lancaster-lexington-manhattan-ny/282017824111596149/","Lancaster Lexington")</f>
        <v>Lancaster Lexington</v>
      </c>
      <c r="F3631" s="25" t="s">
        <v>133</v>
      </c>
      <c r="G3631" s="28">
        <v>699000.0</v>
      </c>
      <c r="H3631" s="28">
        <v>732.0</v>
      </c>
      <c r="I3631" s="28">
        <v>955.0</v>
      </c>
      <c r="J3631" s="29"/>
      <c r="K3631" s="25" t="s">
        <v>25</v>
      </c>
      <c r="L3631" s="26">
        <v>4.0</v>
      </c>
      <c r="M3631" s="26">
        <v>2.0</v>
      </c>
      <c r="N3631" s="26">
        <v>1.0</v>
      </c>
      <c r="O3631" s="26">
        <v>0.0</v>
      </c>
      <c r="P3631" s="26">
        <v>955.0</v>
      </c>
      <c r="Q3631" s="35">
        <v>197.0</v>
      </c>
      <c r="R3631" s="32">
        <v>45636.0</v>
      </c>
      <c r="S3631" s="32">
        <v>42695.0</v>
      </c>
      <c r="T3631" s="29"/>
      <c r="U3631" s="33"/>
      <c r="V3631" s="1"/>
    </row>
    <row r="3632" ht="24.0" customHeight="1">
      <c r="A3632" s="1"/>
      <c r="B3632" s="24" t="str">
        <f>HYPERLINK("https://www.compass.com/listing/120-greenwich-street-unit-11ef-manhattan-ny-10006/4852269790204542913/view?agent_id=610d3f3370540700019b0833","120 Greenwich St, Unit 11EF")</f>
        <v>120 Greenwich St, Unit 11EF</v>
      </c>
      <c r="C3632" s="25" t="s">
        <v>364</v>
      </c>
      <c r="D3632" s="26" t="s">
        <v>23</v>
      </c>
      <c r="E3632" s="27" t="str">
        <f>HYPERLINK("https://www.compass.com/building/120-greenwich-st-manhattan-ny-10006/405237302750833669/","120 Greenwich St")</f>
        <v>120 Greenwich St</v>
      </c>
      <c r="F3632" s="25" t="s">
        <v>80</v>
      </c>
      <c r="G3632" s="28">
        <v>1800000.0</v>
      </c>
      <c r="H3632" s="28">
        <v>1440.0</v>
      </c>
      <c r="I3632" s="28">
        <v>3454.0</v>
      </c>
      <c r="J3632" s="28">
        <v>17772.0</v>
      </c>
      <c r="K3632" s="25" t="s">
        <v>28</v>
      </c>
      <c r="L3632" s="26">
        <v>4.0</v>
      </c>
      <c r="M3632" s="26">
        <v>2.0</v>
      </c>
      <c r="N3632" s="26">
        <v>0.0</v>
      </c>
      <c r="O3632" s="26">
        <v>0.0</v>
      </c>
      <c r="P3632" s="34">
        <v>1250.0</v>
      </c>
      <c r="Q3632" s="35">
        <v>27.0</v>
      </c>
      <c r="R3632" s="32">
        <v>45636.0</v>
      </c>
      <c r="S3632" s="32">
        <v>42858.0</v>
      </c>
      <c r="T3632" s="29"/>
      <c r="U3632" s="33"/>
      <c r="V3632" s="1"/>
    </row>
    <row r="3633" ht="24.0" customHeight="1">
      <c r="A3633" s="1"/>
      <c r="B3633" s="24" t="str">
        <f>HYPERLINK("https://www.compass.com/listing/100-beekman-street-unit-20d-manhattan-ny-10038/599212421913170017/view?agent_id=610d3f3370540700019b0833","100 Beekman St, Unit 20D")</f>
        <v>100 Beekman St, Unit 20D</v>
      </c>
      <c r="C3633" s="25" t="s">
        <v>364</v>
      </c>
      <c r="D3633" s="26" t="s">
        <v>23</v>
      </c>
      <c r="E3633" s="27" t="str">
        <f>HYPERLINK("https://www.compass.com/building/southbridge-towers-manhattan-ny/282059138173797781/","Southbridge Towers")</f>
        <v>Southbridge Towers</v>
      </c>
      <c r="F3633" s="25" t="s">
        <v>80</v>
      </c>
      <c r="G3633" s="28">
        <v>1495000.0</v>
      </c>
      <c r="H3633" s="29"/>
      <c r="I3633" s="28">
        <v>838.0</v>
      </c>
      <c r="J3633" s="28">
        <v>0.0</v>
      </c>
      <c r="K3633" s="25" t="s">
        <v>25</v>
      </c>
      <c r="L3633" s="26">
        <v>5.0</v>
      </c>
      <c r="M3633" s="26">
        <v>2.0</v>
      </c>
      <c r="N3633" s="26">
        <v>1.0</v>
      </c>
      <c r="O3633" s="30"/>
      <c r="P3633" s="30"/>
      <c r="Q3633" s="35">
        <v>52.0</v>
      </c>
      <c r="R3633" s="32">
        <v>44132.0</v>
      </c>
      <c r="S3633" s="32">
        <v>44079.0</v>
      </c>
      <c r="T3633" s="29"/>
      <c r="U3633" s="33"/>
      <c r="V3633" s="1"/>
    </row>
    <row r="3634" ht="24.0" customHeight="1">
      <c r="A3634" s="1"/>
      <c r="B3634" s="24" t="str">
        <f>HYPERLINK("https://www.compass.com/listing/118-suffolk-street-unit-3a-manhattan-ny-10002/897097103718994705/view?agent_id=610d3f3370540700019b0833","118 Suffolk St, Unit 3A")</f>
        <v>118 Suffolk St, Unit 3A</v>
      </c>
      <c r="C3634" s="25" t="s">
        <v>364</v>
      </c>
      <c r="D3634" s="26" t="s">
        <v>23</v>
      </c>
      <c r="E3634" s="27" t="str">
        <f>HYPERLINK("https://www.compass.com/building/118-suffolk-st-manhattan-ny-10002/281884723746179621/","118 Suffolk St")</f>
        <v>118 Suffolk St</v>
      </c>
      <c r="F3634" s="25" t="s">
        <v>119</v>
      </c>
      <c r="G3634" s="28">
        <v>750000.0</v>
      </c>
      <c r="H3634" s="29"/>
      <c r="I3634" s="28">
        <v>1317.0</v>
      </c>
      <c r="J3634" s="29"/>
      <c r="K3634" s="25" t="s">
        <v>25</v>
      </c>
      <c r="L3634" s="26">
        <v>4.0</v>
      </c>
      <c r="M3634" s="26">
        <v>2.0</v>
      </c>
      <c r="N3634" s="26">
        <v>1.0</v>
      </c>
      <c r="O3634" s="26">
        <v>0.0</v>
      </c>
      <c r="P3634" s="30"/>
      <c r="Q3634" s="35">
        <v>60.0</v>
      </c>
      <c r="R3634" s="32">
        <v>45636.0</v>
      </c>
      <c r="S3634" s="32">
        <v>44531.0</v>
      </c>
      <c r="T3634" s="29"/>
      <c r="U3634" s="33"/>
      <c r="V3634" s="1"/>
    </row>
    <row r="3635" ht="24.0" customHeight="1">
      <c r="A3635" s="1"/>
      <c r="B3635" s="24" t="str">
        <f>HYPERLINK("https://www.compass.com/listing/1165-east-54th-street-unit-3a-brooklyn-ny-11234/120167063439284977/view?agent_id=610d3f3370540700019b0833","1165 E 54th St, Unit 3A")</f>
        <v>1165 E 54th St, Unit 3A</v>
      </c>
      <c r="C3635" s="25" t="s">
        <v>364</v>
      </c>
      <c r="D3635" s="26" t="s">
        <v>23</v>
      </c>
      <c r="E3635" s="27" t="str">
        <f>HYPERLINK("https://www.compass.com/building/kings-village-brooklyn-ny/293416492874180693/","Kings Village ")</f>
        <v>Kings Village </v>
      </c>
      <c r="F3635" s="25" t="s">
        <v>123</v>
      </c>
      <c r="G3635" s="28">
        <v>180000.0</v>
      </c>
      <c r="H3635" s="29"/>
      <c r="I3635" s="28">
        <v>825.0</v>
      </c>
      <c r="J3635" s="28">
        <v>0.0</v>
      </c>
      <c r="K3635" s="25" t="s">
        <v>25</v>
      </c>
      <c r="L3635" s="26">
        <v>5.0</v>
      </c>
      <c r="M3635" s="26">
        <v>2.0</v>
      </c>
      <c r="N3635" s="26">
        <v>1.0</v>
      </c>
      <c r="O3635" s="30"/>
      <c r="P3635" s="30"/>
      <c r="Q3635" s="35">
        <v>20.0</v>
      </c>
      <c r="R3635" s="32">
        <v>43438.0</v>
      </c>
      <c r="S3635" s="32">
        <v>43417.0</v>
      </c>
      <c r="T3635" s="29"/>
      <c r="U3635" s="33"/>
      <c r="V3635" s="1"/>
    </row>
    <row r="3636" ht="24.0" customHeight="1">
      <c r="A3636" s="1"/>
      <c r="B3636" s="24" t="str">
        <f>HYPERLINK("https://www.compass.com/listing/435-east-117th-street-unit-2-manhattan-ny-10035/29428133539154353/view?agent_id=610d3f3370540700019b0833","435 E 117th St, Unit 2")</f>
        <v>435 E 117th St, Unit 2</v>
      </c>
      <c r="C3636" s="25" t="s">
        <v>370</v>
      </c>
      <c r="D3636" s="26" t="s">
        <v>23</v>
      </c>
      <c r="E3636" s="27" t="str">
        <f>HYPERLINK("https://www.compass.com/building/leah-condominiums-manhattan-ny/281927843791807941/","Leah Condominiums")</f>
        <v>Leah Condominiums</v>
      </c>
      <c r="F3636" s="25" t="s">
        <v>133</v>
      </c>
      <c r="G3636" s="28">
        <v>900000.0</v>
      </c>
      <c r="H3636" s="28">
        <v>679.0</v>
      </c>
      <c r="I3636" s="28">
        <v>993.0</v>
      </c>
      <c r="J3636" s="28">
        <v>216.0</v>
      </c>
      <c r="K3636" s="25" t="s">
        <v>28</v>
      </c>
      <c r="L3636" s="26">
        <v>5.0</v>
      </c>
      <c r="M3636" s="26">
        <v>2.0</v>
      </c>
      <c r="N3636" s="26">
        <v>0.0</v>
      </c>
      <c r="O3636" s="26">
        <v>0.0</v>
      </c>
      <c r="P3636" s="34">
        <v>1326.0</v>
      </c>
      <c r="Q3636" s="35">
        <v>388.0</v>
      </c>
      <c r="R3636" s="32">
        <v>45636.0</v>
      </c>
      <c r="S3636" s="32">
        <v>42030.0</v>
      </c>
      <c r="T3636" s="29"/>
      <c r="U3636" s="33"/>
      <c r="V3636" s="1"/>
    </row>
    <row r="3637" ht="24.0" customHeight="1">
      <c r="A3637" s="1"/>
      <c r="B3637" s="24" t="str">
        <f>HYPERLINK("https://www.compass.com/listing/30-54-38th-street-unit-4a-queens-ny-11103/362784625226840737/view?agent_id=610d3f3370540700019b0833","30-54 38th St, Unit 4A")</f>
        <v>30-54 38th St, Unit 4A</v>
      </c>
      <c r="C3637" s="25" t="s">
        <v>364</v>
      </c>
      <c r="D3637" s="26" t="s">
        <v>23</v>
      </c>
      <c r="E3637" s="27" t="str">
        <f>HYPERLINK("https://www.compass.com/building/30-54-38th-st-queens-ny-11103/293531421794984277/","30-54 38th St")</f>
        <v>30-54 38th St</v>
      </c>
      <c r="F3637" s="25" t="s">
        <v>68</v>
      </c>
      <c r="G3637" s="28">
        <v>929000.0</v>
      </c>
      <c r="H3637" s="28">
        <v>1202.0</v>
      </c>
      <c r="I3637" s="28">
        <v>1203.0</v>
      </c>
      <c r="J3637" s="28">
        <v>8618.0</v>
      </c>
      <c r="K3637" s="25" t="s">
        <v>28</v>
      </c>
      <c r="L3637" s="26">
        <v>2.0</v>
      </c>
      <c r="M3637" s="26">
        <v>2.0</v>
      </c>
      <c r="N3637" s="26">
        <v>1.0</v>
      </c>
      <c r="O3637" s="30"/>
      <c r="P3637" s="26">
        <v>773.0</v>
      </c>
      <c r="Q3637" s="35">
        <v>0.0</v>
      </c>
      <c r="R3637" s="32">
        <v>43754.0</v>
      </c>
      <c r="S3637" s="32">
        <v>43752.0</v>
      </c>
      <c r="T3637" s="29"/>
      <c r="U3637" s="33"/>
      <c r="V3637" s="1"/>
    </row>
    <row r="3638" ht="24.0" customHeight="1">
      <c r="A3638" s="1"/>
      <c r="B3638" s="24" t="str">
        <f>HYPERLINK("https://www.compass.com/listing/77-fulton-street-unit-3d-manhattan-ny-10038/4852276229316817729/view?agent_id=610d3f3370540700019b0833","77 Fulton St, Unit 3D")</f>
        <v>77 Fulton St, Unit 3D</v>
      </c>
      <c r="C3638" s="25" t="s">
        <v>364</v>
      </c>
      <c r="D3638" s="26" t="s">
        <v>23</v>
      </c>
      <c r="E3638" s="27" t="str">
        <f>HYPERLINK("https://www.compass.com/building/southbridge-towers-manhattan-ny/282060021083179093/","Southbridge Towers")</f>
        <v>Southbridge Towers</v>
      </c>
      <c r="F3638" s="25" t="s">
        <v>80</v>
      </c>
      <c r="G3638" s="28">
        <v>1199000.0</v>
      </c>
      <c r="H3638" s="28">
        <v>1205.0</v>
      </c>
      <c r="I3638" s="28">
        <v>793.0</v>
      </c>
      <c r="J3638" s="29"/>
      <c r="K3638" s="25" t="s">
        <v>25</v>
      </c>
      <c r="L3638" s="26">
        <v>4.0</v>
      </c>
      <c r="M3638" s="26">
        <v>2.0</v>
      </c>
      <c r="N3638" s="26">
        <v>1.0</v>
      </c>
      <c r="O3638" s="26">
        <v>0.0</v>
      </c>
      <c r="P3638" s="26">
        <v>995.0</v>
      </c>
      <c r="Q3638" s="35">
        <v>8.0</v>
      </c>
      <c r="R3638" s="32">
        <v>45636.0</v>
      </c>
      <c r="S3638" s="32">
        <v>42782.0</v>
      </c>
      <c r="T3638" s="29"/>
      <c r="U3638" s="33"/>
      <c r="V3638" s="1"/>
    </row>
    <row r="3639" ht="24.0" customHeight="1">
      <c r="A3639" s="1"/>
      <c r="B3639" s="24" t="str">
        <f>HYPERLINK("https://www.compass.com/listing/1199-east-53rd-street-unit-2n-brooklyn-ny-11234/607921898053346393/view?agent_id=610d3f3370540700019b0833","1199 E 53rd St, Unit 2N")</f>
        <v>1199 E 53rd St, Unit 2N</v>
      </c>
      <c r="C3639" s="25" t="s">
        <v>365</v>
      </c>
      <c r="D3639" s="26" t="s">
        <v>23</v>
      </c>
      <c r="E3639" s="27" t="str">
        <f t="shared" ref="E3639:E3640" si="132">HYPERLINK("https://www.compass.com/building/kings-village-brooklyn-ny/293416499719285397/","Kings Village")</f>
        <v>Kings Village</v>
      </c>
      <c r="F3639" s="25" t="s">
        <v>123</v>
      </c>
      <c r="G3639" s="28">
        <v>235000.0</v>
      </c>
      <c r="H3639" s="29"/>
      <c r="I3639" s="28">
        <v>890.0</v>
      </c>
      <c r="J3639" s="28">
        <v>0.0</v>
      </c>
      <c r="K3639" s="25" t="s">
        <v>25</v>
      </c>
      <c r="L3639" s="26">
        <v>1.0</v>
      </c>
      <c r="M3639" s="26">
        <v>2.0</v>
      </c>
      <c r="N3639" s="26">
        <v>1.0</v>
      </c>
      <c r="O3639" s="30"/>
      <c r="P3639" s="30"/>
      <c r="Q3639" s="35">
        <v>83.0</v>
      </c>
      <c r="R3639" s="32">
        <v>44179.0</v>
      </c>
      <c r="S3639" s="32">
        <v>44095.0</v>
      </c>
      <c r="T3639" s="29"/>
      <c r="U3639" s="33"/>
      <c r="V3639" s="1"/>
    </row>
    <row r="3640" ht="24.0" customHeight="1">
      <c r="A3640" s="1"/>
      <c r="B3640" s="24" t="str">
        <f>HYPERLINK("https://www.compass.com/listing/1199-east-53rd-street-unit-2n-brooklyn-ny-11234/732885755699830993/view?agent_id=610d3f3370540700019b0833","1199 E 53rd St, Unit 2N")</f>
        <v>1199 E 53rd St, Unit 2N</v>
      </c>
      <c r="C3640" s="25" t="s">
        <v>365</v>
      </c>
      <c r="D3640" s="26" t="s">
        <v>23</v>
      </c>
      <c r="E3640" s="27" t="str">
        <f t="shared" si="132"/>
        <v>Kings Village</v>
      </c>
      <c r="F3640" s="25" t="s">
        <v>123</v>
      </c>
      <c r="G3640" s="28">
        <v>250000.0</v>
      </c>
      <c r="H3640" s="29"/>
      <c r="I3640" s="28">
        <v>890.0</v>
      </c>
      <c r="J3640" s="28">
        <v>0.0</v>
      </c>
      <c r="K3640" s="25" t="s">
        <v>25</v>
      </c>
      <c r="L3640" s="26">
        <v>1.0</v>
      </c>
      <c r="M3640" s="26">
        <v>2.0</v>
      </c>
      <c r="N3640" s="26">
        <v>1.0</v>
      </c>
      <c r="O3640" s="30"/>
      <c r="P3640" s="30"/>
      <c r="Q3640" s="35">
        <v>30.0</v>
      </c>
      <c r="R3640" s="32">
        <v>44293.0</v>
      </c>
      <c r="S3640" s="32">
        <v>44263.0</v>
      </c>
      <c r="T3640" s="29"/>
      <c r="U3640" s="33"/>
      <c r="V3640" s="1"/>
    </row>
    <row r="3641" ht="24.0" customHeight="1">
      <c r="A3641" s="1"/>
      <c r="B3641" s="24" t="str">
        <f>HYPERLINK("https://www.compass.com/listing/77-fulton-street-unit-5k-manhattan-ny-10038/70925783098587793/view?agent_id=610d3f3370540700019b0833","77 Fulton St, Unit 5K")</f>
        <v>77 Fulton St, Unit 5K</v>
      </c>
      <c r="C3641" s="25" t="s">
        <v>364</v>
      </c>
      <c r="D3641" s="26" t="s">
        <v>23</v>
      </c>
      <c r="E3641" s="27" t="str">
        <f>HYPERLINK("https://www.compass.com/building/southbridge-towers-manhattan-ny/282060021083179093/","Southbridge Towers")</f>
        <v>Southbridge Towers</v>
      </c>
      <c r="F3641" s="25" t="s">
        <v>80</v>
      </c>
      <c r="G3641" s="28">
        <v>1089000.0</v>
      </c>
      <c r="H3641" s="29"/>
      <c r="I3641" s="28">
        <v>753.0</v>
      </c>
      <c r="J3641" s="29"/>
      <c r="K3641" s="25" t="s">
        <v>25</v>
      </c>
      <c r="L3641" s="26">
        <v>4.0</v>
      </c>
      <c r="M3641" s="26">
        <v>2.0</v>
      </c>
      <c r="N3641" s="26">
        <v>1.0</v>
      </c>
      <c r="O3641" s="26">
        <v>0.0</v>
      </c>
      <c r="P3641" s="30"/>
      <c r="Q3641" s="35">
        <v>224.0</v>
      </c>
      <c r="R3641" s="32">
        <v>45636.0</v>
      </c>
      <c r="S3641" s="32">
        <v>42374.0</v>
      </c>
      <c r="T3641" s="29"/>
      <c r="U3641" s="33"/>
      <c r="V3641" s="1"/>
    </row>
    <row r="3642" ht="24.0" customHeight="1">
      <c r="A3642" s="1"/>
      <c r="B3642" s="24" t="str">
        <f>HYPERLINK("https://www.compass.com/listing/90-beekman-street-unit-2b-manhattan-ny-10038/764582872101318161/view?agent_id=610d3f3370540700019b0833","90 Beekman St, Unit 2B")</f>
        <v>90 Beekman St, Unit 2B</v>
      </c>
      <c r="C3642" s="25" t="s">
        <v>365</v>
      </c>
      <c r="D3642" s="26" t="s">
        <v>23</v>
      </c>
      <c r="E3642" s="27" t="str">
        <f>HYPERLINK("https://www.compass.com/building/southbridge-towers-manhattan-ny/282060751747713669/","Southbridge Towers")</f>
        <v>Southbridge Towers</v>
      </c>
      <c r="F3642" s="25" t="s">
        <v>80</v>
      </c>
      <c r="G3642" s="28">
        <v>950000.0</v>
      </c>
      <c r="H3642" s="28">
        <v>864.0</v>
      </c>
      <c r="I3642" s="28">
        <v>752.0</v>
      </c>
      <c r="J3642" s="28">
        <v>0.0</v>
      </c>
      <c r="K3642" s="25" t="s">
        <v>25</v>
      </c>
      <c r="L3642" s="26">
        <v>5.0</v>
      </c>
      <c r="M3642" s="26">
        <v>2.0</v>
      </c>
      <c r="N3642" s="26">
        <v>1.0</v>
      </c>
      <c r="O3642" s="30"/>
      <c r="P3642" s="34">
        <v>1100.0</v>
      </c>
      <c r="Q3642" s="35">
        <v>12.0</v>
      </c>
      <c r="R3642" s="32">
        <v>44326.0</v>
      </c>
      <c r="S3642" s="32">
        <v>44314.0</v>
      </c>
      <c r="T3642" s="29"/>
      <c r="U3642" s="33"/>
      <c r="V3642" s="1"/>
    </row>
    <row r="3643" ht="24.0" customHeight="1">
      <c r="A3643" s="1"/>
      <c r="B3643" s="24" t="str">
        <f>HYPERLINK("https://www.compass.com/listing/123-washington-street-unit-49f-manhattan-ny-10006/921741773713951057/view?agent_id=610d3f3370540700019b0833","123 Washington St, Unit 49F")</f>
        <v>123 Washington St, Unit 49F</v>
      </c>
      <c r="C3643" s="25" t="s">
        <v>370</v>
      </c>
      <c r="D3643" s="26" t="s">
        <v>23</v>
      </c>
      <c r="E3643" s="27" t="str">
        <f>HYPERLINK("https://www.compass.com/building/w-residences-manhattan-ny/281896297181489973/","W Residences")</f>
        <v>W Residences</v>
      </c>
      <c r="F3643" s="25" t="s">
        <v>80</v>
      </c>
      <c r="G3643" s="28">
        <v>2375000.0</v>
      </c>
      <c r="H3643" s="28">
        <v>2062.0</v>
      </c>
      <c r="I3643" s="28">
        <v>1822.0</v>
      </c>
      <c r="J3643" s="28">
        <v>1536.0</v>
      </c>
      <c r="K3643" s="25" t="s">
        <v>28</v>
      </c>
      <c r="L3643" s="26">
        <v>5.0</v>
      </c>
      <c r="M3643" s="26">
        <v>2.0</v>
      </c>
      <c r="N3643" s="26">
        <v>0.0</v>
      </c>
      <c r="O3643" s="26">
        <v>0.0</v>
      </c>
      <c r="P3643" s="34">
        <v>1152.0</v>
      </c>
      <c r="Q3643" s="35">
        <v>134.0</v>
      </c>
      <c r="R3643" s="32">
        <v>45636.0</v>
      </c>
      <c r="S3643" s="32">
        <v>41700.0</v>
      </c>
      <c r="T3643" s="29"/>
      <c r="U3643" s="33"/>
      <c r="V3643" s="1"/>
    </row>
    <row r="3644" ht="24.0" customHeight="1">
      <c r="A3644" s="1"/>
      <c r="B3644" s="24" t="str">
        <f>HYPERLINK("https://www.compass.com/listing/299-pearl-street-unit-6b-manhattan-ny-10038/611446087456312929/view?agent_id=610d3f3370540700019b0833","299 Pearl St, Unit 6B")</f>
        <v>299 Pearl St, Unit 6B</v>
      </c>
      <c r="C3644" s="25" t="s">
        <v>365</v>
      </c>
      <c r="D3644" s="26" t="s">
        <v>23</v>
      </c>
      <c r="E3644" s="27" t="str">
        <f>HYPERLINK("https://www.compass.com/building/southbridge-towers-manhattan-ny/282060987299824005/","Southbridge Towers")</f>
        <v>Southbridge Towers</v>
      </c>
      <c r="F3644" s="25" t="s">
        <v>80</v>
      </c>
      <c r="G3644" s="28">
        <v>1099000.0</v>
      </c>
      <c r="H3644" s="29"/>
      <c r="I3644" s="28">
        <v>785.0</v>
      </c>
      <c r="J3644" s="28">
        <v>0.0</v>
      </c>
      <c r="K3644" s="25" t="s">
        <v>25</v>
      </c>
      <c r="L3644" s="26">
        <v>6.0</v>
      </c>
      <c r="M3644" s="26">
        <v>2.0</v>
      </c>
      <c r="N3644" s="26">
        <v>1.0</v>
      </c>
      <c r="O3644" s="30"/>
      <c r="P3644" s="30"/>
      <c r="Q3644" s="31"/>
      <c r="R3644" s="32">
        <v>44362.0</v>
      </c>
      <c r="S3644" s="33"/>
      <c r="T3644" s="29"/>
      <c r="U3644" s="33"/>
      <c r="V3644" s="1"/>
    </row>
    <row r="3645" ht="24.0" customHeight="1">
      <c r="A3645" s="1"/>
      <c r="B3645" s="24" t="str">
        <f>HYPERLINK("https://www.compass.com/listing/1270-east-51st-street-unit-7y-brooklyn-ny-11234/623821543482615401/view?agent_id=610d3f3370540700019b0833","1270 E 51st St, Unit 7Y")</f>
        <v>1270 E 51st St, Unit 7Y</v>
      </c>
      <c r="C3645" s="25" t="s">
        <v>365</v>
      </c>
      <c r="D3645" s="26" t="s">
        <v>23</v>
      </c>
      <c r="E3645" s="27" t="str">
        <f>HYPERLINK("https://www.compass.com/building/kings-village-brooklyn-ny/293535463686315381/","King's Village ")</f>
        <v>King's Village </v>
      </c>
      <c r="F3645" s="25" t="s">
        <v>123</v>
      </c>
      <c r="G3645" s="28">
        <v>225000.0</v>
      </c>
      <c r="H3645" s="29"/>
      <c r="I3645" s="28">
        <v>850.0</v>
      </c>
      <c r="J3645" s="28">
        <v>0.0</v>
      </c>
      <c r="K3645" s="25" t="s">
        <v>25</v>
      </c>
      <c r="L3645" s="26">
        <v>3.0</v>
      </c>
      <c r="M3645" s="26">
        <v>2.0</v>
      </c>
      <c r="N3645" s="26">
        <v>1.0</v>
      </c>
      <c r="O3645" s="30"/>
      <c r="P3645" s="30"/>
      <c r="Q3645" s="35">
        <v>62.0</v>
      </c>
      <c r="R3645" s="32">
        <v>44179.0</v>
      </c>
      <c r="S3645" s="32">
        <v>44116.0</v>
      </c>
      <c r="T3645" s="29"/>
      <c r="U3645" s="33"/>
      <c r="V3645" s="1"/>
    </row>
    <row r="3646" ht="24.0" customHeight="1">
      <c r="A3646" s="1"/>
      <c r="B3646" s="24" t="str">
        <f>HYPERLINK("https://www.compass.com/listing/100-beekman-street-unit-3d-manhattan-ny-10038/233697297542683985/view?agent_id=610d3f3370540700019b0833","100 Beekman St, Unit 3D")</f>
        <v>100 Beekman St, Unit 3D</v>
      </c>
      <c r="C3646" s="25" t="s">
        <v>364</v>
      </c>
      <c r="D3646" s="26" t="s">
        <v>23</v>
      </c>
      <c r="E3646" s="27" t="str">
        <f>HYPERLINK("https://www.compass.com/building/southbridge-towers-manhattan-ny/282059138173797781/","Southbridge Towers")</f>
        <v>Southbridge Towers</v>
      </c>
      <c r="F3646" s="25" t="s">
        <v>80</v>
      </c>
      <c r="G3646" s="28">
        <v>915000.0</v>
      </c>
      <c r="H3646" s="29"/>
      <c r="I3646" s="28">
        <v>780.0</v>
      </c>
      <c r="J3646" s="29"/>
      <c r="K3646" s="25" t="s">
        <v>25</v>
      </c>
      <c r="L3646" s="26">
        <v>4.0</v>
      </c>
      <c r="M3646" s="26">
        <v>2.0</v>
      </c>
      <c r="N3646" s="26">
        <v>0.0</v>
      </c>
      <c r="O3646" s="26">
        <v>0.0</v>
      </c>
      <c r="P3646" s="30"/>
      <c r="Q3646" s="35">
        <v>107.0</v>
      </c>
      <c r="R3646" s="32">
        <v>45636.0</v>
      </c>
      <c r="S3646" s="32">
        <v>42839.0</v>
      </c>
      <c r="T3646" s="29"/>
      <c r="U3646" s="33"/>
      <c r="V3646" s="1"/>
    </row>
    <row r="3647" ht="24.0" customHeight="1">
      <c r="A3647" s="1"/>
      <c r="B3647" s="24" t="str">
        <f>HYPERLINK("https://www.compass.com/listing/157-ludlow-street-unit-2r-manhattan-ny-10002/595598547016319353/view?agent_id=610d3f3370540700019b0833","157 Ludlow St, Unit 2R")</f>
        <v>157 Ludlow St, Unit 2R</v>
      </c>
      <c r="C3647" s="25" t="s">
        <v>364</v>
      </c>
      <c r="D3647" s="26" t="s">
        <v>23</v>
      </c>
      <c r="E3647" s="27" t="str">
        <f>HYPERLINK("https://www.compass.com/building/157-ludlow-st-manhattan-ny-10002/281885529102880421/","157 Ludlow St")</f>
        <v>157 Ludlow St</v>
      </c>
      <c r="F3647" s="25" t="s">
        <v>119</v>
      </c>
      <c r="G3647" s="28">
        <v>850000.0</v>
      </c>
      <c r="H3647" s="28">
        <v>1080.0</v>
      </c>
      <c r="I3647" s="28">
        <v>1495.0</v>
      </c>
      <c r="J3647" s="28">
        <v>9348.0</v>
      </c>
      <c r="K3647" s="25" t="s">
        <v>28</v>
      </c>
      <c r="L3647" s="26">
        <v>4.0</v>
      </c>
      <c r="M3647" s="26">
        <v>2.0</v>
      </c>
      <c r="N3647" s="26">
        <v>1.0</v>
      </c>
      <c r="O3647" s="26">
        <v>0.0</v>
      </c>
      <c r="P3647" s="26">
        <v>787.0</v>
      </c>
      <c r="Q3647" s="35">
        <v>191.0</v>
      </c>
      <c r="R3647" s="32">
        <v>45636.0</v>
      </c>
      <c r="S3647" s="32">
        <v>44256.0</v>
      </c>
      <c r="T3647" s="29"/>
      <c r="U3647" s="33"/>
      <c r="V3647" s="1"/>
    </row>
    <row r="3648" ht="24.0" customHeight="1">
      <c r="A3648" s="1"/>
      <c r="B3648" s="24" t="str">
        <f>HYPERLINK("https://www.compass.com/listing/333-pearl-street-unit-18c-manhattan-ny-10038/920545522452059673/view?agent_id=610d3f3370540700019b0833","333 Pearl St, Unit 18C")</f>
        <v>333 Pearl St, Unit 18C</v>
      </c>
      <c r="C3648" s="25" t="s">
        <v>364</v>
      </c>
      <c r="D3648" s="26" t="s">
        <v>23</v>
      </c>
      <c r="E3648" s="27" t="str">
        <f>HYPERLINK("https://www.compass.com/building/southbridge-towers-manhattan-ny/282059656732376485/","Southbridge Towers")</f>
        <v>Southbridge Towers</v>
      </c>
      <c r="F3648" s="25" t="s">
        <v>80</v>
      </c>
      <c r="G3648" s="28">
        <v>1250000.0</v>
      </c>
      <c r="H3648" s="29"/>
      <c r="I3648" s="28">
        <v>780.0</v>
      </c>
      <c r="J3648" s="29"/>
      <c r="K3648" s="25" t="s">
        <v>25</v>
      </c>
      <c r="L3648" s="26">
        <v>4.0</v>
      </c>
      <c r="M3648" s="26">
        <v>2.0</v>
      </c>
      <c r="N3648" s="26">
        <v>0.0</v>
      </c>
      <c r="O3648" s="26">
        <v>0.0</v>
      </c>
      <c r="P3648" s="30"/>
      <c r="Q3648" s="35">
        <v>84.0</v>
      </c>
      <c r="R3648" s="32">
        <v>45636.0</v>
      </c>
      <c r="S3648" s="32">
        <v>42873.0</v>
      </c>
      <c r="T3648" s="29"/>
      <c r="U3648" s="33"/>
      <c r="V3648" s="1"/>
    </row>
    <row r="3649" ht="24.0" customHeight="1">
      <c r="A3649" s="1"/>
      <c r="B3649" s="24" t="str">
        <f>HYPERLINK("https://www.compass.com/listing/100-beekman-street-unit-26d-manhattan-ny-10038/4852265847256781681/view?agent_id=610d3f3370540700019b0833","100 Beekman St, Unit 26D")</f>
        <v>100 Beekman St, Unit 26D</v>
      </c>
      <c r="C3649" s="25" t="s">
        <v>364</v>
      </c>
      <c r="D3649" s="26" t="s">
        <v>23</v>
      </c>
      <c r="E3649" s="27" t="str">
        <f t="shared" ref="E3649:E3650" si="133">HYPERLINK("https://www.compass.com/building/southbridge-towers-manhattan-ny/282059138173797781/","Southbridge Towers")</f>
        <v>Southbridge Towers</v>
      </c>
      <c r="F3649" s="25" t="s">
        <v>80</v>
      </c>
      <c r="G3649" s="28">
        <v>1350000.0</v>
      </c>
      <c r="H3649" s="29"/>
      <c r="I3649" s="28">
        <v>784.0</v>
      </c>
      <c r="J3649" s="29"/>
      <c r="K3649" s="25" t="s">
        <v>25</v>
      </c>
      <c r="L3649" s="26">
        <v>4.0</v>
      </c>
      <c r="M3649" s="26">
        <v>2.0</v>
      </c>
      <c r="N3649" s="26">
        <v>0.0</v>
      </c>
      <c r="O3649" s="26">
        <v>0.0</v>
      </c>
      <c r="P3649" s="30"/>
      <c r="Q3649" s="35">
        <v>22.0</v>
      </c>
      <c r="R3649" s="32">
        <v>45636.0</v>
      </c>
      <c r="S3649" s="32">
        <v>42870.0</v>
      </c>
      <c r="T3649" s="29"/>
      <c r="U3649" s="33"/>
      <c r="V3649" s="1"/>
    </row>
    <row r="3650" ht="24.0" customHeight="1">
      <c r="A3650" s="1"/>
      <c r="B3650" s="24" t="str">
        <f>HYPERLINK("https://www.compass.com/listing/100-beekman-street-unit-1h-manhattan-ny-10038/50947288528368145/view?agent_id=610d3f3370540700019b0833","100 Beekman St, Unit 1H")</f>
        <v>100 Beekman St, Unit 1H</v>
      </c>
      <c r="C3650" s="25" t="s">
        <v>364</v>
      </c>
      <c r="D3650" s="26" t="s">
        <v>23</v>
      </c>
      <c r="E3650" s="27" t="str">
        <f t="shared" si="133"/>
        <v>Southbridge Towers</v>
      </c>
      <c r="F3650" s="25" t="s">
        <v>80</v>
      </c>
      <c r="G3650" s="28">
        <v>975000.0</v>
      </c>
      <c r="H3650" s="28">
        <v>1147.0</v>
      </c>
      <c r="I3650" s="28">
        <v>673.0</v>
      </c>
      <c r="J3650" s="29"/>
      <c r="K3650" s="25" t="s">
        <v>25</v>
      </c>
      <c r="L3650" s="26">
        <v>4.0</v>
      </c>
      <c r="M3650" s="26">
        <v>2.0</v>
      </c>
      <c r="N3650" s="26">
        <v>0.0</v>
      </c>
      <c r="O3650" s="26">
        <v>0.0</v>
      </c>
      <c r="P3650" s="26">
        <v>850.0</v>
      </c>
      <c r="Q3650" s="35">
        <v>88.0</v>
      </c>
      <c r="R3650" s="32">
        <v>45636.0</v>
      </c>
      <c r="S3650" s="32">
        <v>42926.0</v>
      </c>
      <c r="T3650" s="29"/>
      <c r="U3650" s="33"/>
      <c r="V3650" s="1"/>
    </row>
    <row r="3651" ht="24.0" customHeight="1">
      <c r="A3651" s="1"/>
      <c r="B3651" s="24" t="str">
        <f>HYPERLINK("https://www.compass.com/listing/1885-lexington-avenue-unit-6c-manhattan-ny-10035/715890406242812289/view?agent_id=610d3f3370540700019b0833","1885 Lexington Ave, Unit 6C")</f>
        <v>1885 Lexington Ave, Unit 6C</v>
      </c>
      <c r="C3651" s="25" t="s">
        <v>365</v>
      </c>
      <c r="D3651" s="26" t="s">
        <v>23</v>
      </c>
      <c r="E3651" s="27" t="str">
        <f>HYPERLINK("https://www.compass.com/building/lancaster-lexington-manhattan-ny/282017824111596149/","Lancaster Lexington")</f>
        <v>Lancaster Lexington</v>
      </c>
      <c r="F3651" s="25" t="s">
        <v>133</v>
      </c>
      <c r="G3651" s="28">
        <v>748500.0</v>
      </c>
      <c r="H3651" s="28">
        <v>776.0</v>
      </c>
      <c r="I3651" s="28">
        <v>1031.0</v>
      </c>
      <c r="J3651" s="28">
        <v>12375.0</v>
      </c>
      <c r="K3651" s="25" t="s">
        <v>25</v>
      </c>
      <c r="L3651" s="26">
        <v>4.0</v>
      </c>
      <c r="M3651" s="26">
        <v>2.0</v>
      </c>
      <c r="N3651" s="26">
        <v>1.0</v>
      </c>
      <c r="O3651" s="30"/>
      <c r="P3651" s="26">
        <v>965.0</v>
      </c>
      <c r="Q3651" s="35">
        <v>56.0</v>
      </c>
      <c r="R3651" s="32">
        <v>44361.0</v>
      </c>
      <c r="S3651" s="32">
        <v>44247.0</v>
      </c>
      <c r="T3651" s="29"/>
      <c r="U3651" s="33"/>
      <c r="V3651" s="1"/>
    </row>
    <row r="3652" ht="24.0" customHeight="1">
      <c r="A3652" s="1"/>
      <c r="B3652" s="24" t="str">
        <f>HYPERLINK("https://www.compass.com/listing/40-tehama-street-unit-6h-brooklyn-ny-11218/1576432201732492137/view?agent_id=610d3f3370540700019b0833","40 Tehama St, Unit 6H")</f>
        <v>40 Tehama St, Unit 6H</v>
      </c>
      <c r="C3652" s="25" t="s">
        <v>370</v>
      </c>
      <c r="D3652" s="26" t="s">
        <v>23</v>
      </c>
      <c r="E3652" s="27" t="str">
        <f>HYPERLINK("https://www.compass.com/building/40-tehama-st-brooklyn-ny-11218/293416582045084437/","40 Tehama St")</f>
        <v>40 Tehama St</v>
      </c>
      <c r="F3652" s="25" t="s">
        <v>117</v>
      </c>
      <c r="G3652" s="28">
        <v>450000.0</v>
      </c>
      <c r="H3652" s="29"/>
      <c r="I3652" s="28">
        <v>1275.0</v>
      </c>
      <c r="J3652" s="28">
        <v>0.0</v>
      </c>
      <c r="K3652" s="25" t="s">
        <v>25</v>
      </c>
      <c r="L3652" s="26">
        <v>3.0</v>
      </c>
      <c r="M3652" s="26">
        <v>2.0</v>
      </c>
      <c r="N3652" s="26">
        <v>1.0</v>
      </c>
      <c r="O3652" s="26">
        <v>0.0</v>
      </c>
      <c r="P3652" s="30"/>
      <c r="Q3652" s="35">
        <v>182.0</v>
      </c>
      <c r="R3652" s="32">
        <v>45627.0</v>
      </c>
      <c r="S3652" s="32">
        <v>45426.0</v>
      </c>
      <c r="T3652" s="29"/>
      <c r="U3652" s="33"/>
      <c r="V3652" s="1"/>
    </row>
    <row r="3653" ht="24.0" customHeight="1">
      <c r="A3653" s="1"/>
      <c r="B3653" s="24" t="str">
        <f>HYPERLINK("https://www.compass.com/listing/20-clinton-street-unit-4e-manhattan-ny-10002/1658330789231554969/view?agent_id=610d3f3370540700019b0833","20 Clinton St, Unit 4E")</f>
        <v>20 Clinton St, Unit 4E</v>
      </c>
      <c r="C3653" s="25" t="s">
        <v>365</v>
      </c>
      <c r="D3653" s="26" t="s">
        <v>23</v>
      </c>
      <c r="E3653" s="27" t="str">
        <f t="shared" ref="E3653:E3654" si="134">HYPERLINK("https://www.compass.com/building/20-clinton-st-manhattan-ny-10002/281886218847785781/","20 Clinton St")</f>
        <v>20 Clinton St</v>
      </c>
      <c r="F3653" s="25" t="s">
        <v>119</v>
      </c>
      <c r="G3653" s="28">
        <v>1395000.0</v>
      </c>
      <c r="H3653" s="28">
        <v>1548.0</v>
      </c>
      <c r="I3653" s="28">
        <v>1647.0</v>
      </c>
      <c r="J3653" s="28">
        <v>11604.0</v>
      </c>
      <c r="K3653" s="25" t="s">
        <v>28</v>
      </c>
      <c r="L3653" s="26">
        <v>4.0</v>
      </c>
      <c r="M3653" s="26">
        <v>2.0</v>
      </c>
      <c r="N3653" s="26">
        <v>1.0</v>
      </c>
      <c r="O3653" s="26">
        <v>0.0</v>
      </c>
      <c r="P3653" s="26">
        <v>901.0</v>
      </c>
      <c r="Q3653" s="35">
        <v>69.0</v>
      </c>
      <c r="R3653" s="32">
        <v>45622.0</v>
      </c>
      <c r="S3653" s="32">
        <v>45552.0</v>
      </c>
      <c r="T3653" s="29"/>
      <c r="U3653" s="33"/>
      <c r="V3653" s="1"/>
    </row>
    <row r="3654" ht="24.0" customHeight="1">
      <c r="A3654" s="1"/>
      <c r="B3654" s="24" t="str">
        <f>HYPERLINK("https://www.compass.com/listing/20-clinton-street-unit-4e-manhattan-ny-10002/1565579806473455985/view?agent_id=610d3f3370540700019b0833","20 Clinton St, Unit 4E")</f>
        <v>20 Clinton St, Unit 4E</v>
      </c>
      <c r="C3654" s="25" t="s">
        <v>365</v>
      </c>
      <c r="D3654" s="26" t="s">
        <v>23</v>
      </c>
      <c r="E3654" s="27" t="str">
        <f t="shared" si="134"/>
        <v>20 Clinton St</v>
      </c>
      <c r="F3654" s="25" t="s">
        <v>119</v>
      </c>
      <c r="G3654" s="28">
        <v>1395000.0</v>
      </c>
      <c r="H3654" s="28">
        <v>1548.0</v>
      </c>
      <c r="I3654" s="28">
        <v>1778.0</v>
      </c>
      <c r="J3654" s="28">
        <v>13184.0</v>
      </c>
      <c r="K3654" s="25" t="s">
        <v>28</v>
      </c>
      <c r="L3654" s="26">
        <v>4.0</v>
      </c>
      <c r="M3654" s="26">
        <v>2.0</v>
      </c>
      <c r="N3654" s="26">
        <v>1.0</v>
      </c>
      <c r="O3654" s="30"/>
      <c r="P3654" s="26">
        <v>901.0</v>
      </c>
      <c r="Q3654" s="35">
        <v>83.0</v>
      </c>
      <c r="R3654" s="32">
        <v>45497.0</v>
      </c>
      <c r="S3654" s="32">
        <v>45414.0</v>
      </c>
      <c r="T3654" s="29"/>
      <c r="U3654" s="33"/>
      <c r="V3654" s="1"/>
    </row>
    <row r="3655" ht="24.0" customHeight="1">
      <c r="A3655" s="1"/>
      <c r="B3655" s="24" t="str">
        <f>HYPERLINK("https://www.compass.com/listing/77-fulton-street-unit-19l-manhattan-ny-10038/545042828861217281/view?agent_id=610d3f3370540700019b0833","77 Fulton St, Unit 19L")</f>
        <v>77 Fulton St, Unit 19L</v>
      </c>
      <c r="C3655" s="25" t="s">
        <v>370</v>
      </c>
      <c r="D3655" s="26" t="s">
        <v>23</v>
      </c>
      <c r="E3655" s="27" t="str">
        <f>HYPERLINK("https://www.compass.com/building/southbridge-towers-manhattan-ny/282060021083179093/","Southbridge Towers")</f>
        <v>Southbridge Towers</v>
      </c>
      <c r="F3655" s="25" t="s">
        <v>80</v>
      </c>
      <c r="G3655" s="28">
        <v>1250000.0</v>
      </c>
      <c r="H3655" s="29"/>
      <c r="I3655" s="28">
        <v>781.0</v>
      </c>
      <c r="J3655" s="28">
        <v>0.0</v>
      </c>
      <c r="K3655" s="25" t="s">
        <v>25</v>
      </c>
      <c r="L3655" s="26">
        <v>5.0</v>
      </c>
      <c r="M3655" s="26">
        <v>2.0</v>
      </c>
      <c r="N3655" s="26">
        <v>1.0</v>
      </c>
      <c r="O3655" s="26">
        <v>0.0</v>
      </c>
      <c r="P3655" s="30"/>
      <c r="Q3655" s="35">
        <v>84.0</v>
      </c>
      <c r="R3655" s="32">
        <v>44088.0</v>
      </c>
      <c r="S3655" s="32">
        <v>44003.0</v>
      </c>
      <c r="T3655" s="29"/>
      <c r="U3655" s="33"/>
      <c r="V3655" s="1"/>
    </row>
    <row r="3656" ht="24.0" customHeight="1">
      <c r="A3656" s="1"/>
      <c r="B3656" s="24" t="str">
        <f>HYPERLINK("https://www.compass.com/listing/140-nassau-street-unit-4b-manhattan-ny-10038/1008772607545316737/view?agent_id=610d3f3370540700019b0833","140 Nassau St, Unit 4B")</f>
        <v>140 Nassau St, Unit 4B</v>
      </c>
      <c r="C3656" s="25" t="s">
        <v>364</v>
      </c>
      <c r="D3656" s="26" t="s">
        <v>23</v>
      </c>
      <c r="E3656" s="27" t="str">
        <f>HYPERLINK("https://www.compass.com/building/morse-building-manhattan-ny/292826619515552197/","Morse Building")</f>
        <v>Morse Building</v>
      </c>
      <c r="F3656" s="25" t="s">
        <v>80</v>
      </c>
      <c r="G3656" s="28">
        <v>1500000.0</v>
      </c>
      <c r="H3656" s="28">
        <v>1056.0</v>
      </c>
      <c r="I3656" s="28">
        <v>2174.0</v>
      </c>
      <c r="J3656" s="28">
        <v>0.0</v>
      </c>
      <c r="K3656" s="25" t="s">
        <v>25</v>
      </c>
      <c r="L3656" s="26">
        <v>5.0</v>
      </c>
      <c r="M3656" s="26">
        <v>2.0</v>
      </c>
      <c r="N3656" s="26">
        <v>1.0</v>
      </c>
      <c r="O3656" s="30"/>
      <c r="P3656" s="34">
        <v>1420.0</v>
      </c>
      <c r="Q3656" s="35">
        <v>234.0</v>
      </c>
      <c r="R3656" s="32">
        <v>44901.0</v>
      </c>
      <c r="S3656" s="32">
        <v>44667.0</v>
      </c>
      <c r="T3656" s="29"/>
      <c r="U3656" s="33"/>
      <c r="V3656" s="1"/>
    </row>
    <row r="3657" ht="24.0" customHeight="1">
      <c r="A3657" s="1"/>
      <c r="B3657" s="24" t="str">
        <f>HYPERLINK("https://www.compass.com/listing/90-gold-street-unit-24l-manhattan-ny-10038/528141975808514089/view?agent_id=610d3f3370540700019b0833","90 Gold St, Unit 24L")</f>
        <v>90 Gold St, Unit 24L</v>
      </c>
      <c r="C3657" s="25" t="s">
        <v>364</v>
      </c>
      <c r="D3657" s="26" t="s">
        <v>23</v>
      </c>
      <c r="E3657" s="27" t="str">
        <f>HYPERLINK("https://www.compass.com/building/southbridge-towers-manhattan-ny/282059513756942133/","Southbridge Towers")</f>
        <v>Southbridge Towers</v>
      </c>
      <c r="F3657" s="25" t="s">
        <v>80</v>
      </c>
      <c r="G3657" s="28">
        <v>1345000.0</v>
      </c>
      <c r="H3657" s="29"/>
      <c r="I3657" s="28">
        <v>791.0</v>
      </c>
      <c r="J3657" s="28">
        <v>0.0</v>
      </c>
      <c r="K3657" s="25" t="s">
        <v>25</v>
      </c>
      <c r="L3657" s="26">
        <v>5.0</v>
      </c>
      <c r="M3657" s="26">
        <v>2.0</v>
      </c>
      <c r="N3657" s="26">
        <v>1.0</v>
      </c>
      <c r="O3657" s="30"/>
      <c r="P3657" s="30"/>
      <c r="Q3657" s="35">
        <v>119.0</v>
      </c>
      <c r="R3657" s="32">
        <v>44123.0</v>
      </c>
      <c r="S3657" s="32">
        <v>44002.0</v>
      </c>
      <c r="T3657" s="29"/>
      <c r="U3657" s="33"/>
      <c r="V3657" s="1"/>
    </row>
    <row r="3658" ht="24.0" customHeight="1">
      <c r="A3658" s="1"/>
      <c r="B3658" s="24" t="str">
        <f>HYPERLINK("https://www.compass.com/listing/137-139-west-142nd-st-unit-3a-manhattan-ny-10030/333315224979435393/view?agent_id=610d3f3370540700019b0833","137-139 West 142nd St, Unit 3A")</f>
        <v>137-139 West 142nd St, Unit 3A</v>
      </c>
      <c r="C3658" s="25" t="s">
        <v>364</v>
      </c>
      <c r="D3658" s="26" t="s">
        <v>23</v>
      </c>
      <c r="E3658" s="27" t="str">
        <f>HYPERLINK("https://www.compass.com/building/137-w-142nd-st-manhattan-ny-10030/281927211290764421/","137 W 142nd St")</f>
        <v>137 W 142nd St</v>
      </c>
      <c r="F3658" s="25" t="s">
        <v>32</v>
      </c>
      <c r="G3658" s="28">
        <v>399000.0</v>
      </c>
      <c r="H3658" s="28">
        <v>532.0</v>
      </c>
      <c r="I3658" s="28">
        <v>594.0</v>
      </c>
      <c r="J3658" s="28">
        <v>0.0</v>
      </c>
      <c r="K3658" s="25" t="s">
        <v>25</v>
      </c>
      <c r="L3658" s="26">
        <v>4.0</v>
      </c>
      <c r="M3658" s="26">
        <v>2.0</v>
      </c>
      <c r="N3658" s="26">
        <v>1.0</v>
      </c>
      <c r="O3658" s="26">
        <v>0.0</v>
      </c>
      <c r="P3658" s="26">
        <v>750.0</v>
      </c>
      <c r="Q3658" s="35">
        <v>109.0</v>
      </c>
      <c r="R3658" s="32">
        <v>43830.0</v>
      </c>
      <c r="S3658" s="32">
        <v>43721.0</v>
      </c>
      <c r="T3658" s="29"/>
      <c r="U3658" s="33"/>
      <c r="V3658" s="1"/>
    </row>
    <row r="3659" ht="24.0" customHeight="1">
      <c r="A3659" s="1"/>
      <c r="B3659" s="24" t="str">
        <f>HYPERLINK("https://www.compass.com/listing/1110-caton-avenue-unit-7-brooklyn-ny-11218/192565622155106641/view?agent_id=610d3f3370540700019b0833","1110 Caton Ave, Unit 7")</f>
        <v>1110 Caton Ave, Unit 7</v>
      </c>
      <c r="C3659" s="25" t="s">
        <v>364</v>
      </c>
      <c r="D3659" s="26" t="s">
        <v>23</v>
      </c>
      <c r="E3659" s="27" t="str">
        <f>HYPERLINK("https://www.compass.com/building/1110-caton-ave-brooklyn-ny-11218/293533735909975445/","1110 Caton Ave")</f>
        <v>1110 Caton Ave</v>
      </c>
      <c r="F3659" s="25" t="s">
        <v>393</v>
      </c>
      <c r="G3659" s="28">
        <v>299000.0</v>
      </c>
      <c r="H3659" s="29"/>
      <c r="I3659" s="28">
        <v>690.0</v>
      </c>
      <c r="J3659" s="29"/>
      <c r="K3659" s="25" t="s">
        <v>25</v>
      </c>
      <c r="L3659" s="26">
        <v>4.0</v>
      </c>
      <c r="M3659" s="26">
        <v>2.0</v>
      </c>
      <c r="N3659" s="26">
        <v>0.0</v>
      </c>
      <c r="O3659" s="26">
        <v>0.0</v>
      </c>
      <c r="P3659" s="30"/>
      <c r="Q3659" s="35">
        <v>654.0</v>
      </c>
      <c r="R3659" s="32">
        <v>44581.0</v>
      </c>
      <c r="S3659" s="32">
        <v>41274.0</v>
      </c>
      <c r="T3659" s="29"/>
      <c r="U3659" s="33"/>
      <c r="V3659" s="1"/>
    </row>
    <row r="3660" ht="24.0" customHeight="1">
      <c r="A3660" s="1"/>
      <c r="B3660" s="24" t="str">
        <f>HYPERLINK("https://www.compass.com/listing/137-west-142nd-street-unit-1d-manhattan-ny-10030/267321624372510673/view?agent_id=610d3f3370540700019b0833","137 W 142nd St, Unit 1D")</f>
        <v>137 W 142nd St, Unit 1D</v>
      </c>
      <c r="C3660" s="25" t="s">
        <v>364</v>
      </c>
      <c r="D3660" s="26" t="s">
        <v>23</v>
      </c>
      <c r="E3660" s="27" t="str">
        <f>HYPERLINK("https://www.compass.com/building/137-w-142nd-st-manhattan-ny-10030/281927211290764421/","137 W 142nd St")</f>
        <v>137 W 142nd St</v>
      </c>
      <c r="F3660" s="25" t="s">
        <v>32</v>
      </c>
      <c r="G3660" s="28">
        <v>520000.0</v>
      </c>
      <c r="H3660" s="28">
        <v>627.0</v>
      </c>
      <c r="I3660" s="28">
        <v>642.0</v>
      </c>
      <c r="J3660" s="28">
        <v>0.0</v>
      </c>
      <c r="K3660" s="25" t="s">
        <v>25</v>
      </c>
      <c r="L3660" s="26">
        <v>5.0</v>
      </c>
      <c r="M3660" s="26">
        <v>2.0</v>
      </c>
      <c r="N3660" s="26">
        <v>1.0</v>
      </c>
      <c r="O3660" s="26">
        <v>0.0</v>
      </c>
      <c r="P3660" s="26">
        <v>830.0</v>
      </c>
      <c r="Q3660" s="31"/>
      <c r="R3660" s="32">
        <v>43902.0</v>
      </c>
      <c r="S3660" s="33"/>
      <c r="T3660" s="29"/>
      <c r="U3660" s="33"/>
      <c r="V3660" s="1"/>
    </row>
    <row r="3661" ht="24.0" customHeight="1">
      <c r="A3661" s="1"/>
      <c r="B3661" s="24" t="str">
        <f>HYPERLINK("https://www.compass.com/listing/100-west-141st-street-unit-58-manhattan-ny-10030/25229928911950545/view?agent_id=610d3f3370540700019b0833","100 W 141st St, Unit 58")</f>
        <v>100 W 141st St, Unit 58</v>
      </c>
      <c r="C3661" s="25" t="s">
        <v>364</v>
      </c>
      <c r="D3661" s="26" t="s">
        <v>23</v>
      </c>
      <c r="E3661" s="27" t="str">
        <f>HYPERLINK("https://www.compass.com/building/100-w-141st-st-manhattan-ny-10030/294842394805287829/","100 W 141st St")</f>
        <v>100 W 141st St</v>
      </c>
      <c r="F3661" s="25" t="s">
        <v>32</v>
      </c>
      <c r="G3661" s="28">
        <v>355000.0</v>
      </c>
      <c r="H3661" s="28">
        <v>455.0</v>
      </c>
      <c r="I3661" s="28">
        <v>793.0</v>
      </c>
      <c r="J3661" s="28">
        <v>0.0</v>
      </c>
      <c r="K3661" s="25" t="s">
        <v>25</v>
      </c>
      <c r="L3661" s="26">
        <v>5.0</v>
      </c>
      <c r="M3661" s="26">
        <v>2.0</v>
      </c>
      <c r="N3661" s="26">
        <v>1.0</v>
      </c>
      <c r="O3661" s="26">
        <v>0.0</v>
      </c>
      <c r="P3661" s="26">
        <v>780.0</v>
      </c>
      <c r="Q3661" s="31"/>
      <c r="R3661" s="32">
        <v>43902.0</v>
      </c>
      <c r="S3661" s="33"/>
      <c r="T3661" s="29"/>
      <c r="U3661" s="33"/>
      <c r="V3661" s="1"/>
    </row>
    <row r="3662" ht="24.0" customHeight="1">
      <c r="A3662" s="1"/>
      <c r="B3662" s="24" t="str">
        <f>HYPERLINK("https://www.compass.com/listing/24-65-38th-street-unit-d5-queens-ny-11103/202052158223312513/view?agent_id=610d3f3370540700019b0833","24-65 38th St, Unit D5")</f>
        <v>24-65 38th St, Unit D5</v>
      </c>
      <c r="C3662" s="25" t="s">
        <v>364</v>
      </c>
      <c r="D3662" s="26" t="s">
        <v>23</v>
      </c>
      <c r="E3662" s="27" t="str">
        <f>HYPERLINK("https://www.compass.com/building/astoria-lights-queens-ny/293526867409920213/","Astoria Lights")</f>
        <v>Astoria Lights</v>
      </c>
      <c r="F3662" s="25" t="s">
        <v>68</v>
      </c>
      <c r="G3662" s="28">
        <v>735000.0</v>
      </c>
      <c r="H3662" s="28">
        <v>700.0</v>
      </c>
      <c r="I3662" s="28">
        <v>865.0</v>
      </c>
      <c r="J3662" s="28">
        <v>0.0</v>
      </c>
      <c r="K3662" s="25" t="s">
        <v>25</v>
      </c>
      <c r="L3662" s="26">
        <v>4.0</v>
      </c>
      <c r="M3662" s="26">
        <v>2.0</v>
      </c>
      <c r="N3662" s="26">
        <v>1.0</v>
      </c>
      <c r="O3662" s="26">
        <v>0.0</v>
      </c>
      <c r="P3662" s="34">
        <v>1050.0</v>
      </c>
      <c r="Q3662" s="35">
        <v>141.0</v>
      </c>
      <c r="R3662" s="32">
        <v>43693.0</v>
      </c>
      <c r="S3662" s="32">
        <v>43537.0</v>
      </c>
      <c r="T3662" s="29"/>
      <c r="U3662" s="33"/>
      <c r="V3662" s="1"/>
    </row>
    <row r="3663" ht="24.0" customHeight="1">
      <c r="A3663" s="1"/>
      <c r="B3663" s="24" t="str">
        <f>HYPERLINK("https://www.compass.com/listing/261-bowery-manhattan-ny-10002/1465260551479372497/view?agent_id=610d3f3370540700019b0833","261 Bowery")</f>
        <v>261 Bowery</v>
      </c>
      <c r="C3663" s="25" t="s">
        <v>364</v>
      </c>
      <c r="D3663" s="26" t="s">
        <v>23</v>
      </c>
      <c r="E3663" s="27" t="str">
        <f>HYPERLINK("https://www.compass.com/building/261-bowery-manhattan-ny-10002/281886791412226053/","261 Bowery")</f>
        <v>261 Bowery</v>
      </c>
      <c r="F3663" s="25" t="s">
        <v>119</v>
      </c>
      <c r="G3663" s="28">
        <v>6250000.0</v>
      </c>
      <c r="H3663" s="28">
        <v>1276.0</v>
      </c>
      <c r="I3663" s="28">
        <v>46088.0</v>
      </c>
      <c r="J3663" s="28">
        <v>553044.0</v>
      </c>
      <c r="K3663" s="25" t="s">
        <v>62</v>
      </c>
      <c r="L3663" s="26">
        <v>2.0</v>
      </c>
      <c r="M3663" s="26">
        <v>2.0</v>
      </c>
      <c r="N3663" s="30"/>
      <c r="O3663" s="30"/>
      <c r="P3663" s="34">
        <v>4899.0</v>
      </c>
      <c r="Q3663" s="35">
        <v>125.0</v>
      </c>
      <c r="R3663" s="32">
        <v>45398.0</v>
      </c>
      <c r="S3663" s="32">
        <v>45273.0</v>
      </c>
      <c r="T3663" s="29"/>
      <c r="U3663" s="33"/>
      <c r="V3663" s="1"/>
    </row>
    <row r="3664" ht="24.0" customHeight="1">
      <c r="A3664" s="1"/>
      <c r="B3664" s="24" t="str">
        <f>HYPERLINK("https://www.compass.com/listing/1655-flatbush-avenue-unit-c504-brooklyn-ny-11210/721665172922036441/view?agent_id=610d3f3370540700019b0833","1655 Flatbush Ave, Unit C504")</f>
        <v>1655 Flatbush Ave, Unit C504</v>
      </c>
      <c r="C3664" s="25" t="s">
        <v>365</v>
      </c>
      <c r="D3664" s="26" t="s">
        <v>23</v>
      </c>
      <c r="E3664" s="27" t="str">
        <f>HYPERLINK("https://www.compass.com/building/philip-howard-apartments-brooklyn-ny/293416486054242853/","Philip Howard Apartments")</f>
        <v>Philip Howard Apartments</v>
      </c>
      <c r="F3664" s="25" t="s">
        <v>123</v>
      </c>
      <c r="G3664" s="28">
        <v>485000.0</v>
      </c>
      <c r="H3664" s="29"/>
      <c r="I3664" s="28">
        <v>684.0</v>
      </c>
      <c r="J3664" s="28">
        <v>0.0</v>
      </c>
      <c r="K3664" s="25" t="s">
        <v>25</v>
      </c>
      <c r="L3664" s="26">
        <v>4.0</v>
      </c>
      <c r="M3664" s="26">
        <v>2.0</v>
      </c>
      <c r="N3664" s="26">
        <v>1.0</v>
      </c>
      <c r="O3664" s="26">
        <v>0.0</v>
      </c>
      <c r="P3664" s="30"/>
      <c r="Q3664" s="35">
        <v>87.0</v>
      </c>
      <c r="R3664" s="32">
        <v>44477.0</v>
      </c>
      <c r="S3664" s="32">
        <v>44389.0</v>
      </c>
      <c r="T3664" s="29"/>
      <c r="U3664" s="33"/>
      <c r="V3664" s="1"/>
    </row>
    <row r="3665" ht="24.0" customHeight="1">
      <c r="A3665" s="1"/>
      <c r="B3665" s="24" t="str">
        <f>HYPERLINK("https://www.compass.com/listing/24-39-38th-street-unit-b6-queens-ny-11103/1404343169233982529/view?agent_id=610d3f3370540700019b0833","24-39 38th St, Unit B6")</f>
        <v>24-39 38th St, Unit B6</v>
      </c>
      <c r="C3665" s="25" t="s">
        <v>370</v>
      </c>
      <c r="D3665" s="26" t="s">
        <v>23</v>
      </c>
      <c r="E3665" s="27" t="str">
        <f>HYPERLINK("https://www.compass.com/building/astoria-lights-queens-ny/293526896770060245/","Astoria Lights")</f>
        <v>Astoria Lights</v>
      </c>
      <c r="F3665" s="25" t="s">
        <v>68</v>
      </c>
      <c r="G3665" s="28">
        <v>650000.0</v>
      </c>
      <c r="H3665" s="29"/>
      <c r="I3665" s="28">
        <v>0.0</v>
      </c>
      <c r="J3665" s="28">
        <v>0.0</v>
      </c>
      <c r="K3665" s="25" t="s">
        <v>25</v>
      </c>
      <c r="L3665" s="26">
        <v>3.0</v>
      </c>
      <c r="M3665" s="26">
        <v>2.0</v>
      </c>
      <c r="N3665" s="26">
        <v>1.0</v>
      </c>
      <c r="O3665" s="30"/>
      <c r="P3665" s="30"/>
      <c r="Q3665" s="35">
        <v>162.0</v>
      </c>
      <c r="R3665" s="32">
        <v>45597.0</v>
      </c>
      <c r="S3665" s="32">
        <v>45189.0</v>
      </c>
      <c r="T3665" s="29"/>
      <c r="U3665" s="33"/>
      <c r="V3665" s="1"/>
    </row>
    <row r="3666" ht="24.0" customHeight="1">
      <c r="A3666" s="1"/>
      <c r="B3666" s="24" t="str">
        <f>HYPERLINK("https://www.compass.com/listing/779-st-anns-avenue-unit-47c-bronx-ny-10456/17930873567563345/view?agent_id=610d3f3370540700019b0833","779 St Ann's Ave, Unit 47C")</f>
        <v>779 St Ann's Ave, Unit 47C</v>
      </c>
      <c r="C3666" s="25" t="s">
        <v>364</v>
      </c>
      <c r="D3666" s="26" t="s">
        <v>23</v>
      </c>
      <c r="E3666" s="26" t="s">
        <v>394</v>
      </c>
      <c r="F3666" s="25" t="s">
        <v>225</v>
      </c>
      <c r="G3666" s="28">
        <v>295000.0</v>
      </c>
      <c r="H3666" s="28">
        <v>329.0</v>
      </c>
      <c r="I3666" s="28">
        <v>478.0</v>
      </c>
      <c r="J3666" s="28">
        <v>859.0</v>
      </c>
      <c r="K3666" s="25" t="s">
        <v>28</v>
      </c>
      <c r="L3666" s="26">
        <v>4.0</v>
      </c>
      <c r="M3666" s="26">
        <v>2.0</v>
      </c>
      <c r="N3666" s="30"/>
      <c r="O3666" s="30"/>
      <c r="P3666" s="26">
        <v>896.0</v>
      </c>
      <c r="Q3666" s="35">
        <v>77.0</v>
      </c>
      <c r="R3666" s="32">
        <v>43395.0</v>
      </c>
      <c r="S3666" s="32">
        <v>43273.0</v>
      </c>
      <c r="T3666" s="29"/>
      <c r="U3666" s="33"/>
      <c r="V3666" s="1"/>
    </row>
    <row r="3667" ht="24.0" customHeight="1">
      <c r="A3667" s="1"/>
      <c r="B3667" s="24" t="str">
        <f>HYPERLINK("https://www.compass.com/listing/350-ocean-parkway-unit-gre-brooklyn-ny-11218/4852305880865058017/view?agent_id=610d3f3370540700019b0833","350 Ocean Pkwy, Unit GRE")</f>
        <v>350 Ocean Pkwy, Unit GRE</v>
      </c>
      <c r="C3667" s="25" t="s">
        <v>370</v>
      </c>
      <c r="D3667" s="26" t="s">
        <v>23</v>
      </c>
      <c r="E3667" s="27" t="str">
        <f>HYPERLINK("https://www.compass.com/building/350-ocean-pkwy-brooklyn-ny-11218/294841231951628181/","350 Ocean Pkwy")</f>
        <v>350 Ocean Pkwy</v>
      </c>
      <c r="F3667" s="25" t="s">
        <v>117</v>
      </c>
      <c r="G3667" s="28">
        <v>375000.0</v>
      </c>
      <c r="H3667" s="29"/>
      <c r="I3667" s="28">
        <v>893.0</v>
      </c>
      <c r="J3667" s="29"/>
      <c r="K3667" s="25" t="s">
        <v>25</v>
      </c>
      <c r="L3667" s="26">
        <v>5.0</v>
      </c>
      <c r="M3667" s="26">
        <v>2.0</v>
      </c>
      <c r="N3667" s="26">
        <v>0.0</v>
      </c>
      <c r="O3667" s="26">
        <v>0.0</v>
      </c>
      <c r="P3667" s="30"/>
      <c r="Q3667" s="35">
        <v>0.0</v>
      </c>
      <c r="R3667" s="32">
        <v>44581.0</v>
      </c>
      <c r="S3667" s="32">
        <v>41538.0</v>
      </c>
      <c r="T3667" s="29"/>
      <c r="U3667" s="33"/>
      <c r="V3667" s="1"/>
    </row>
    <row r="3668" ht="24.0" customHeight="1">
      <c r="A3668" s="1"/>
      <c r="B3668" s="24" t="str">
        <f>HYPERLINK("https://www.compass.com/listing/1825-foster-avenue-unit-4c-brooklyn-ny-11230/744384455833495225/view?agent_id=610d3f3370540700019b0833","1825 Foster Ave, Unit 4C")</f>
        <v>1825 Foster Ave, Unit 4C</v>
      </c>
      <c r="C3668" s="25" t="s">
        <v>365</v>
      </c>
      <c r="D3668" s="26" t="s">
        <v>23</v>
      </c>
      <c r="E3668" s="27" t="str">
        <f>HYPERLINK("https://www.compass.com/building/1825-foster-ave-brooklyn-ny-11230/307445987366507749/","1825 Foster Ave")</f>
        <v>1825 Foster Ave</v>
      </c>
      <c r="F3668" s="25" t="s">
        <v>172</v>
      </c>
      <c r="G3668" s="28">
        <v>600000.0</v>
      </c>
      <c r="H3668" s="29"/>
      <c r="I3668" s="28">
        <v>675.0</v>
      </c>
      <c r="J3668" s="28">
        <v>0.0</v>
      </c>
      <c r="K3668" s="25" t="s">
        <v>25</v>
      </c>
      <c r="L3668" s="26">
        <v>4.0</v>
      </c>
      <c r="M3668" s="26">
        <v>2.0</v>
      </c>
      <c r="N3668" s="26">
        <v>1.0</v>
      </c>
      <c r="O3668" s="30"/>
      <c r="P3668" s="30"/>
      <c r="Q3668" s="35">
        <v>89.0</v>
      </c>
      <c r="R3668" s="32">
        <v>44368.0</v>
      </c>
      <c r="S3668" s="32">
        <v>44278.0</v>
      </c>
      <c r="T3668" s="29"/>
      <c r="U3668" s="33"/>
      <c r="V3668" s="1"/>
    </row>
    <row r="3669" ht="24.0" customHeight="1">
      <c r="A3669" s="1"/>
      <c r="B3669" s="24" t="str">
        <f>HYPERLINK("https://www.compass.com/listing/9801-shore-road-unit-1g-brooklyn-ny-11209/1597881569559334041/view?agent_id=610d3f3370540700019b0833","9801 Shore Rd, Unit 1G")</f>
        <v>9801 Shore Rd, Unit 1G</v>
      </c>
      <c r="C3669" s="25" t="s">
        <v>365</v>
      </c>
      <c r="D3669" s="26" t="s">
        <v>23</v>
      </c>
      <c r="E3669" s="27" t="str">
        <f>HYPERLINK("https://www.compass.com/building/9801-shore-rd-brooklyn-ny-11209/293533202125984421/","9801 Shore Rd")</f>
        <v>9801 Shore Rd</v>
      </c>
      <c r="F3669" s="25" t="s">
        <v>55</v>
      </c>
      <c r="G3669" s="28">
        <v>399000.0</v>
      </c>
      <c r="H3669" s="28">
        <v>392.0</v>
      </c>
      <c r="I3669" s="28">
        <v>1221.0</v>
      </c>
      <c r="J3669" s="28">
        <v>0.0</v>
      </c>
      <c r="K3669" s="25" t="s">
        <v>28</v>
      </c>
      <c r="L3669" s="26">
        <v>4.0</v>
      </c>
      <c r="M3669" s="26">
        <v>2.0</v>
      </c>
      <c r="N3669" s="26">
        <v>1.0</v>
      </c>
      <c r="O3669" s="30"/>
      <c r="P3669" s="34">
        <v>1018.0</v>
      </c>
      <c r="Q3669" s="35">
        <v>0.0</v>
      </c>
      <c r="R3669" s="32">
        <v>45459.0</v>
      </c>
      <c r="S3669" s="32">
        <v>45456.0</v>
      </c>
      <c r="T3669" s="29"/>
      <c r="U3669" s="33"/>
      <c r="V3669" s="1"/>
    </row>
    <row r="3670" ht="24.0" customHeight="1">
      <c r="A3670" s="1"/>
      <c r="B3670" s="24" t="str">
        <f>HYPERLINK("https://www.compass.com/listing/3512-oxford-avenue-unit-1e-bronx-ny-10463/750213433624697785/view?agent_id=610d3f3370540700019b0833","3512 Oxford Ave, Unit 1E")</f>
        <v>3512 Oxford Ave, Unit 1E</v>
      </c>
      <c r="C3670" s="25" t="s">
        <v>364</v>
      </c>
      <c r="D3670" s="26" t="s">
        <v>23</v>
      </c>
      <c r="E3670" s="27" t="str">
        <f>HYPERLINK("https://www.compass.com/building/oxford-arms-bronx-ny/293533752225695045/","Oxford Arms")</f>
        <v>Oxford Arms</v>
      </c>
      <c r="F3670" s="25" t="s">
        <v>84</v>
      </c>
      <c r="G3670" s="28">
        <v>339000.0</v>
      </c>
      <c r="H3670" s="28">
        <v>399.0</v>
      </c>
      <c r="I3670" s="28">
        <v>848.0</v>
      </c>
      <c r="J3670" s="28">
        <v>0.0</v>
      </c>
      <c r="K3670" s="25" t="s">
        <v>25</v>
      </c>
      <c r="L3670" s="26">
        <v>4.0</v>
      </c>
      <c r="M3670" s="26">
        <v>2.0</v>
      </c>
      <c r="N3670" s="26">
        <v>1.0</v>
      </c>
      <c r="O3670" s="26">
        <v>0.0</v>
      </c>
      <c r="P3670" s="26">
        <v>850.0</v>
      </c>
      <c r="Q3670" s="35">
        <v>121.0</v>
      </c>
      <c r="R3670" s="32">
        <v>44408.0</v>
      </c>
      <c r="S3670" s="32">
        <v>44286.0</v>
      </c>
      <c r="T3670" s="29"/>
      <c r="U3670" s="33"/>
      <c r="V3670" s="1"/>
    </row>
    <row r="3671" ht="24.0" customHeight="1">
      <c r="A3671" s="1"/>
      <c r="B3671" s="24" t="str">
        <f>HYPERLINK("https://www.compass.com/listing/24-51-38th-street-unit-a1-queens-ny-11103/444845207482824073/view?agent_id=610d3f3370540700019b0833","24-51 38th St, Unit A1")</f>
        <v>24-51 38th St, Unit A1</v>
      </c>
      <c r="C3671" s="25" t="s">
        <v>364</v>
      </c>
      <c r="D3671" s="26" t="s">
        <v>23</v>
      </c>
      <c r="E3671" s="27" t="str">
        <f>HYPERLINK("https://www.compass.com/building/astoria-lights-complex-queens-ny/293532798441094613/","Astoria Lights Complex")</f>
        <v>Astoria Lights Complex</v>
      </c>
      <c r="F3671" s="25" t="s">
        <v>68</v>
      </c>
      <c r="G3671" s="28">
        <v>669000.0</v>
      </c>
      <c r="H3671" s="29"/>
      <c r="I3671" s="28">
        <v>656.0</v>
      </c>
      <c r="J3671" s="28">
        <v>0.0</v>
      </c>
      <c r="K3671" s="25" t="s">
        <v>25</v>
      </c>
      <c r="L3671" s="26">
        <v>4.0</v>
      </c>
      <c r="M3671" s="26">
        <v>2.0</v>
      </c>
      <c r="N3671" s="26">
        <v>1.0</v>
      </c>
      <c r="O3671" s="30"/>
      <c r="P3671" s="30"/>
      <c r="Q3671" s="35">
        <v>32.0</v>
      </c>
      <c r="R3671" s="32">
        <v>43900.0</v>
      </c>
      <c r="S3671" s="32">
        <v>43867.0</v>
      </c>
      <c r="T3671" s="29"/>
      <c r="U3671" s="33"/>
      <c r="V3671" s="1"/>
    </row>
    <row r="3672" ht="24.0" customHeight="1">
      <c r="A3672" s="1"/>
      <c r="B3672" s="24" t="str">
        <f>HYPERLINK("https://www.compass.com/listing/1655-flatbush-avenue-unit-a1904-brooklyn-ny-11210/1621311343654181393/view?agent_id=610d3f3370540700019b0833","1655 Flatbush Ave, Unit A1904")</f>
        <v>1655 Flatbush Ave, Unit A1904</v>
      </c>
      <c r="C3672" s="25" t="s">
        <v>365</v>
      </c>
      <c r="D3672" s="26" t="s">
        <v>23</v>
      </c>
      <c r="E3672" s="27" t="str">
        <f t="shared" ref="E3672:E3673" si="135">HYPERLINK("https://www.compass.com/building/philip-howard-apartments-brooklyn-ny/293416486054242853/","Philip Howard Apartments")</f>
        <v>Philip Howard Apartments</v>
      </c>
      <c r="F3672" s="25" t="s">
        <v>123</v>
      </c>
      <c r="G3672" s="28">
        <v>465000.0</v>
      </c>
      <c r="H3672" s="29"/>
      <c r="I3672" s="28">
        <v>838.0</v>
      </c>
      <c r="J3672" s="28">
        <v>0.0</v>
      </c>
      <c r="K3672" s="25" t="s">
        <v>25</v>
      </c>
      <c r="L3672" s="26">
        <v>4.0</v>
      </c>
      <c r="M3672" s="26">
        <v>2.0</v>
      </c>
      <c r="N3672" s="26">
        <v>1.0</v>
      </c>
      <c r="O3672" s="30"/>
      <c r="P3672" s="30"/>
      <c r="Q3672" s="35">
        <v>159.0</v>
      </c>
      <c r="R3672" s="32">
        <v>45648.0</v>
      </c>
      <c r="S3672" s="32">
        <v>45488.0</v>
      </c>
      <c r="T3672" s="29"/>
      <c r="U3672" s="33"/>
      <c r="V3672" s="1"/>
    </row>
    <row r="3673" ht="24.0" customHeight="1">
      <c r="A3673" s="1"/>
      <c r="B3673" s="24" t="str">
        <f>HYPERLINK("https://www.compass.com/listing/1655-flatbush-avenue-unit-c1203-brooklyn-ny-11210/841944325671221073/view?agent_id=610d3f3370540700019b0833","1655 Flatbush Ave, Unit C1203")</f>
        <v>1655 Flatbush Ave, Unit C1203</v>
      </c>
      <c r="C3673" s="25" t="s">
        <v>365</v>
      </c>
      <c r="D3673" s="26" t="s">
        <v>23</v>
      </c>
      <c r="E3673" s="27" t="str">
        <f t="shared" si="135"/>
        <v>Philip Howard Apartments</v>
      </c>
      <c r="F3673" s="25" t="s">
        <v>123</v>
      </c>
      <c r="G3673" s="28">
        <v>489000.0</v>
      </c>
      <c r="H3673" s="29"/>
      <c r="I3673" s="28">
        <v>1626.0</v>
      </c>
      <c r="J3673" s="28">
        <v>9600.0</v>
      </c>
      <c r="K3673" s="25" t="s">
        <v>25</v>
      </c>
      <c r="L3673" s="26">
        <v>4.0</v>
      </c>
      <c r="M3673" s="26">
        <v>2.0</v>
      </c>
      <c r="N3673" s="26">
        <v>1.0</v>
      </c>
      <c r="O3673" s="30"/>
      <c r="P3673" s="30"/>
      <c r="Q3673" s="35">
        <v>41.0</v>
      </c>
      <c r="R3673" s="32">
        <v>44455.0</v>
      </c>
      <c r="S3673" s="32">
        <v>44413.0</v>
      </c>
      <c r="T3673" s="29"/>
      <c r="U3673" s="33"/>
      <c r="V3673" s="1"/>
    </row>
    <row r="3674" ht="24.0" customHeight="1">
      <c r="A3674" s="1"/>
      <c r="B3674" s="24" t="str">
        <f>HYPERLINK("https://www.compass.com/listing/40-broad-street-unit-20f-manhattan-ny-10004/4852308545338619041/view?agent_id=610d3f3370540700019b0833","40 Broad St, Unit 20F")</f>
        <v>40 Broad St, Unit 20F</v>
      </c>
      <c r="C3674" s="25" t="s">
        <v>364</v>
      </c>
      <c r="D3674" s="26" t="s">
        <v>23</v>
      </c>
      <c r="E3674" s="27" t="str">
        <f t="shared" ref="E3674:E3675" si="136">HYPERLINK("https://www.compass.com/building/40-broad-street-condominiums-manhattan-ny/281895687833002565/","40 Broad Street Condominiums")</f>
        <v>40 Broad Street Condominiums</v>
      </c>
      <c r="F3674" s="25" t="s">
        <v>80</v>
      </c>
      <c r="G3674" s="28">
        <v>1799000.0</v>
      </c>
      <c r="H3674" s="28">
        <v>1194.0</v>
      </c>
      <c r="I3674" s="28">
        <v>2951.0</v>
      </c>
      <c r="J3674" s="28">
        <v>11928.0</v>
      </c>
      <c r="K3674" s="25" t="s">
        <v>28</v>
      </c>
      <c r="L3674" s="26">
        <v>4.0</v>
      </c>
      <c r="M3674" s="26">
        <v>2.0</v>
      </c>
      <c r="N3674" s="26">
        <v>0.0</v>
      </c>
      <c r="O3674" s="26">
        <v>0.0</v>
      </c>
      <c r="P3674" s="34">
        <v>1507.0</v>
      </c>
      <c r="Q3674" s="35">
        <v>212.0</v>
      </c>
      <c r="R3674" s="32">
        <v>45636.0</v>
      </c>
      <c r="S3674" s="32">
        <v>42471.0</v>
      </c>
      <c r="T3674" s="29"/>
      <c r="U3674" s="33"/>
      <c r="V3674" s="1"/>
    </row>
    <row r="3675" ht="24.0" customHeight="1">
      <c r="A3675" s="1"/>
      <c r="B3675" s="24" t="str">
        <f>HYPERLINK("https://www.compass.com/listing/40-broad-street-unit-20fg-manhattan-ny-10004/29355511933640353/view?agent_id=610d3f3370540700019b0833","40 Broad St, Unit 20FG")</f>
        <v>40 Broad St, Unit 20FG</v>
      </c>
      <c r="C3675" s="25" t="s">
        <v>364</v>
      </c>
      <c r="D3675" s="26" t="s">
        <v>23</v>
      </c>
      <c r="E3675" s="27" t="str">
        <f t="shared" si="136"/>
        <v>40 Broad Street Condominiums</v>
      </c>
      <c r="F3675" s="25" t="s">
        <v>80</v>
      </c>
      <c r="G3675" s="28">
        <v>1980000.0</v>
      </c>
      <c r="H3675" s="28">
        <v>1314.0</v>
      </c>
      <c r="I3675" s="28">
        <v>2692.0</v>
      </c>
      <c r="J3675" s="28">
        <v>8820.0</v>
      </c>
      <c r="K3675" s="25" t="s">
        <v>28</v>
      </c>
      <c r="L3675" s="26">
        <v>5.0</v>
      </c>
      <c r="M3675" s="26">
        <v>2.0</v>
      </c>
      <c r="N3675" s="26">
        <v>0.0</v>
      </c>
      <c r="O3675" s="26">
        <v>0.0</v>
      </c>
      <c r="P3675" s="34">
        <v>1507.0</v>
      </c>
      <c r="Q3675" s="35">
        <v>72.0</v>
      </c>
      <c r="R3675" s="32">
        <v>45636.0</v>
      </c>
      <c r="S3675" s="32">
        <v>42398.0</v>
      </c>
      <c r="T3675" s="29"/>
      <c r="U3675" s="33"/>
      <c r="V3675" s="1"/>
    </row>
    <row r="3676" ht="24.0" customHeight="1">
      <c r="A3676" s="1"/>
      <c r="B3676" s="24" t="str">
        <f>HYPERLINK("https://www.compass.com/listing/1655-flatbush-avenue-unit-c504-brooklyn-ny-11210/993588553837684769/view?agent_id=610d3f3370540700019b0833","1655 Flatbush Ave, Unit C504")</f>
        <v>1655 Flatbush Ave, Unit C504</v>
      </c>
      <c r="C3676" s="25" t="s">
        <v>365</v>
      </c>
      <c r="D3676" s="26" t="s">
        <v>23</v>
      </c>
      <c r="E3676" s="27" t="str">
        <f>HYPERLINK("https://www.compass.com/building/philip-howard-apartments-brooklyn-ny/293416486054242853/","Philip Howard Apartments")</f>
        <v>Philip Howard Apartments</v>
      </c>
      <c r="F3676" s="25" t="s">
        <v>123</v>
      </c>
      <c r="G3676" s="28">
        <v>499000.0</v>
      </c>
      <c r="H3676" s="29"/>
      <c r="I3676" s="28">
        <v>681.0</v>
      </c>
      <c r="J3676" s="28">
        <v>0.0</v>
      </c>
      <c r="K3676" s="25" t="s">
        <v>25</v>
      </c>
      <c r="L3676" s="26">
        <v>4.0</v>
      </c>
      <c r="M3676" s="26">
        <v>2.0</v>
      </c>
      <c r="N3676" s="26">
        <v>1.0</v>
      </c>
      <c r="O3676" s="30"/>
      <c r="P3676" s="30"/>
      <c r="Q3676" s="35">
        <v>118.0</v>
      </c>
      <c r="R3676" s="32">
        <v>44741.0</v>
      </c>
      <c r="S3676" s="32">
        <v>44622.0</v>
      </c>
      <c r="T3676" s="29"/>
      <c r="U3676" s="33"/>
      <c r="V3676" s="1"/>
    </row>
    <row r="3677" ht="24.0" customHeight="1">
      <c r="A3677" s="1"/>
      <c r="B3677" s="24" t="str">
        <f>HYPERLINK("https://www.compass.com/listing/44-06-25th-avenue-unit-8-queens-ny-11103/1730724261665670513/view?agent_id=610d3f3370540700019b0833","44-06 25th Ave, Unit 8")</f>
        <v>44-06 25th Ave, Unit 8</v>
      </c>
      <c r="C3677" s="25" t="s">
        <v>370</v>
      </c>
      <c r="D3677" s="26" t="s">
        <v>23</v>
      </c>
      <c r="E3677" s="27" t="str">
        <f>HYPERLINK("https://www.compass.com/building/44-06-25th-ave-queens-ny-11103/293530037288739141/","44-06 25th Ave")</f>
        <v>44-06 25th Ave</v>
      </c>
      <c r="F3677" s="25" t="s">
        <v>68</v>
      </c>
      <c r="G3677" s="28">
        <v>335000.0</v>
      </c>
      <c r="H3677" s="28">
        <v>472.0</v>
      </c>
      <c r="I3677" s="28">
        <v>0.0</v>
      </c>
      <c r="J3677" s="28">
        <v>0.0</v>
      </c>
      <c r="K3677" s="25" t="s">
        <v>25</v>
      </c>
      <c r="L3677" s="26">
        <v>6.0</v>
      </c>
      <c r="M3677" s="26">
        <v>2.0</v>
      </c>
      <c r="N3677" s="26">
        <v>1.0</v>
      </c>
      <c r="O3677" s="30"/>
      <c r="P3677" s="26">
        <v>709.0</v>
      </c>
      <c r="Q3677" s="35">
        <v>182.0</v>
      </c>
      <c r="R3677" s="32">
        <v>45597.0</v>
      </c>
      <c r="S3677" s="32">
        <v>41928.0</v>
      </c>
      <c r="T3677" s="29"/>
      <c r="U3677" s="33"/>
      <c r="V3677" s="1"/>
    </row>
    <row r="3678" ht="24.0" customHeight="1">
      <c r="A3678" s="1"/>
      <c r="B3678" s="24" t="str">
        <f>HYPERLINK("https://www.compass.com/listing/645-east-26th-street-unit-2b-brooklyn-ny-11210/1370379027062627985/view?agent_id=610d3f3370540700019b0833","645 E 26th St, Unit 2B")</f>
        <v>645 E 26th St, Unit 2B</v>
      </c>
      <c r="C3678" s="25" t="s">
        <v>370</v>
      </c>
      <c r="D3678" s="26" t="s">
        <v>23</v>
      </c>
      <c r="E3678" s="27" t="str">
        <f>HYPERLINK("https://www.compass.com/building/645-e-26th-st-brooklyn-ny-11210/293416564949100741/","645 E 26th St")</f>
        <v>645 E 26th St</v>
      </c>
      <c r="F3678" s="25" t="s">
        <v>112</v>
      </c>
      <c r="G3678" s="28">
        <v>445000.0</v>
      </c>
      <c r="H3678" s="29"/>
      <c r="I3678" s="28">
        <v>1024.0</v>
      </c>
      <c r="J3678" s="28">
        <v>0.0</v>
      </c>
      <c r="K3678" s="25" t="s">
        <v>25</v>
      </c>
      <c r="L3678" s="26">
        <v>4.0</v>
      </c>
      <c r="M3678" s="26">
        <v>2.0</v>
      </c>
      <c r="N3678" s="26">
        <v>1.0</v>
      </c>
      <c r="O3678" s="30"/>
      <c r="P3678" s="30"/>
      <c r="Q3678" s="35">
        <v>112.0</v>
      </c>
      <c r="R3678" s="32">
        <v>45261.0</v>
      </c>
      <c r="S3678" s="32">
        <v>45142.0</v>
      </c>
      <c r="T3678" s="29"/>
      <c r="U3678" s="33"/>
      <c r="V3678" s="1"/>
    </row>
    <row r="3679" ht="24.0" customHeight="1">
      <c r="A3679" s="1"/>
      <c r="B3679" s="24" t="str">
        <f>HYPERLINK("https://www.compass.com/listing/1655-flatbush-avenue-unit-c1203-brooklyn-ny-11210/876751753485686737/view?agent_id=610d3f3370540700019b0833","1655 Flatbush Ave, Unit C1203")</f>
        <v>1655 Flatbush Ave, Unit C1203</v>
      </c>
      <c r="C3679" s="25" t="s">
        <v>364</v>
      </c>
      <c r="D3679" s="26" t="s">
        <v>23</v>
      </c>
      <c r="E3679" s="27" t="str">
        <f>HYPERLINK("https://www.compass.com/building/philip-howard-apartments-brooklyn-ny/293416486054242853/","Philip Howard Apartments")</f>
        <v>Philip Howard Apartments</v>
      </c>
      <c r="F3679" s="25" t="s">
        <v>123</v>
      </c>
      <c r="G3679" s="28">
        <v>475000.0</v>
      </c>
      <c r="H3679" s="29"/>
      <c r="I3679" s="28">
        <v>3213.0</v>
      </c>
      <c r="J3679" s="28">
        <v>28644.0</v>
      </c>
      <c r="K3679" s="25" t="s">
        <v>25</v>
      </c>
      <c r="L3679" s="26">
        <v>4.0</v>
      </c>
      <c r="M3679" s="26">
        <v>2.0</v>
      </c>
      <c r="N3679" s="26">
        <v>1.0</v>
      </c>
      <c r="O3679" s="30"/>
      <c r="P3679" s="30"/>
      <c r="Q3679" s="35">
        <v>1.0</v>
      </c>
      <c r="R3679" s="32">
        <v>44820.0</v>
      </c>
      <c r="S3679" s="32">
        <v>44818.0</v>
      </c>
      <c r="T3679" s="29"/>
      <c r="U3679" s="33"/>
      <c r="V3679" s="1"/>
    </row>
    <row r="3680" ht="24.0" customHeight="1">
      <c r="A3680" s="1"/>
      <c r="B3680" s="24" t="str">
        <f>HYPERLINK("https://www.compass.com/listing/195-bowery-unit-3-4-manhattan-ny-10002/4852282755175678225/view?agent_id=610d3f3370540700019b0833","195 Bowery, Unit 3/4")</f>
        <v>195 Bowery, Unit 3/4</v>
      </c>
      <c r="C3680" s="25" t="s">
        <v>370</v>
      </c>
      <c r="D3680" s="26" t="s">
        <v>23</v>
      </c>
      <c r="E3680" s="27" t="str">
        <f>HYPERLINK("https://www.compass.com/building/195-bowery-manhattan-ny-10002/282058235182089093/","195 Bowery")</f>
        <v>195 Bowery</v>
      </c>
      <c r="F3680" s="25" t="s">
        <v>119</v>
      </c>
      <c r="G3680" s="28">
        <v>6975000.0</v>
      </c>
      <c r="H3680" s="28">
        <v>1844.0</v>
      </c>
      <c r="I3680" s="28">
        <v>3870.0</v>
      </c>
      <c r="J3680" s="28">
        <v>22176.0</v>
      </c>
      <c r="K3680" s="25" t="s">
        <v>28</v>
      </c>
      <c r="L3680" s="26">
        <v>7.0</v>
      </c>
      <c r="M3680" s="26">
        <v>2.0</v>
      </c>
      <c r="N3680" s="26">
        <v>0.0</v>
      </c>
      <c r="O3680" s="26">
        <v>0.0</v>
      </c>
      <c r="P3680" s="34">
        <v>3782.0</v>
      </c>
      <c r="Q3680" s="35">
        <v>42.0</v>
      </c>
      <c r="R3680" s="32">
        <v>44581.0</v>
      </c>
      <c r="S3680" s="32">
        <v>42867.0</v>
      </c>
      <c r="T3680" s="29"/>
      <c r="U3680" s="33"/>
      <c r="V3680" s="1"/>
    </row>
    <row r="3681" ht="24.0" customHeight="1">
      <c r="A3681" s="1"/>
      <c r="B3681" s="24" t="str">
        <f>HYPERLINK("https://www.compass.com/listing/1655-flatbush-avenue-unit-c1203-brooklyn-ny-11210/830388171532723553/view?agent_id=610d3f3370540700019b0833","1655 Flatbush Ave, Unit C1203")</f>
        <v>1655 Flatbush Ave, Unit C1203</v>
      </c>
      <c r="C3681" s="25" t="s">
        <v>365</v>
      </c>
      <c r="D3681" s="26" t="s">
        <v>23</v>
      </c>
      <c r="E3681" s="27" t="str">
        <f t="shared" ref="E3681:E3682" si="137">HYPERLINK("https://www.compass.com/building/philip-howard-apartments-brooklyn-ny/293416486054242853/","Philip Howard Apartments")</f>
        <v>Philip Howard Apartments</v>
      </c>
      <c r="F3681" s="25" t="s">
        <v>123</v>
      </c>
      <c r="G3681" s="28">
        <v>489000.0</v>
      </c>
      <c r="H3681" s="29"/>
      <c r="I3681" s="28">
        <v>2026.0</v>
      </c>
      <c r="J3681" s="28">
        <v>14400.0</v>
      </c>
      <c r="K3681" s="25" t="s">
        <v>25</v>
      </c>
      <c r="L3681" s="26">
        <v>4.0</v>
      </c>
      <c r="M3681" s="26">
        <v>2.0</v>
      </c>
      <c r="N3681" s="26">
        <v>1.0</v>
      </c>
      <c r="O3681" s="30"/>
      <c r="P3681" s="30"/>
      <c r="Q3681" s="35">
        <v>13.0</v>
      </c>
      <c r="R3681" s="32">
        <v>44410.0</v>
      </c>
      <c r="S3681" s="32">
        <v>44397.0</v>
      </c>
      <c r="T3681" s="29"/>
      <c r="U3681" s="33"/>
      <c r="V3681" s="1"/>
    </row>
    <row r="3682" ht="24.0" customHeight="1">
      <c r="A3682" s="1"/>
      <c r="B3682" s="24" t="str">
        <f>HYPERLINK("https://www.compass.com/listing/1655-flatbush-avenue-unit-a903-brooklyn-ny-11210/1689325154000374961/view?agent_id=610d3f3370540700019b0833","1655 Flatbush Ave, Unit A903")</f>
        <v>1655 Flatbush Ave, Unit A903</v>
      </c>
      <c r="C3682" s="25" t="s">
        <v>364</v>
      </c>
      <c r="D3682" s="26" t="s">
        <v>23</v>
      </c>
      <c r="E3682" s="27" t="str">
        <f t="shared" si="137"/>
        <v>Philip Howard Apartments</v>
      </c>
      <c r="F3682" s="25" t="s">
        <v>123</v>
      </c>
      <c r="G3682" s="28">
        <v>425000.0</v>
      </c>
      <c r="H3682" s="29"/>
      <c r="I3682" s="28">
        <v>786.0</v>
      </c>
      <c r="J3682" s="28">
        <v>0.0</v>
      </c>
      <c r="K3682" s="25" t="s">
        <v>25</v>
      </c>
      <c r="L3682" s="26">
        <v>4.0</v>
      </c>
      <c r="M3682" s="26">
        <v>2.0</v>
      </c>
      <c r="N3682" s="26">
        <v>1.0</v>
      </c>
      <c r="O3682" s="26">
        <v>0.0</v>
      </c>
      <c r="P3682" s="30"/>
      <c r="Q3682" s="35">
        <v>105.0</v>
      </c>
      <c r="R3682" s="32">
        <v>45687.0</v>
      </c>
      <c r="S3682" s="32">
        <v>45582.0</v>
      </c>
      <c r="T3682" s="29"/>
      <c r="U3682" s="33"/>
      <c r="V3682" s="1"/>
    </row>
    <row r="3683" ht="24.0" customHeight="1">
      <c r="A3683" s="1"/>
      <c r="B3683" s="24" t="str">
        <f>HYPERLINK("https://www.compass.com/listing/44-06-25th-avenue-unit-8-queens-ny-11103/1726911912390071985/view?agent_id=610d3f3370540700019b0833","44-06 25th Ave, Unit 8")</f>
        <v>44-06 25th Ave, Unit 8</v>
      </c>
      <c r="C3683" s="25" t="s">
        <v>370</v>
      </c>
      <c r="D3683" s="26" t="s">
        <v>23</v>
      </c>
      <c r="E3683" s="27" t="str">
        <f>HYPERLINK("https://www.compass.com/building/44-06-25th-ave-queens-ny-11103/293530037288739141/","44-06 25th Ave")</f>
        <v>44-06 25th Ave</v>
      </c>
      <c r="F3683" s="25" t="s">
        <v>68</v>
      </c>
      <c r="G3683" s="28">
        <v>335000.0</v>
      </c>
      <c r="H3683" s="28">
        <v>472.0</v>
      </c>
      <c r="I3683" s="28">
        <v>0.0</v>
      </c>
      <c r="J3683" s="28">
        <v>0.0</v>
      </c>
      <c r="K3683" s="25" t="s">
        <v>25</v>
      </c>
      <c r="L3683" s="26">
        <v>6.0</v>
      </c>
      <c r="M3683" s="26">
        <v>2.0</v>
      </c>
      <c r="N3683" s="26">
        <v>1.0</v>
      </c>
      <c r="O3683" s="30"/>
      <c r="P3683" s="26">
        <v>709.0</v>
      </c>
      <c r="Q3683" s="35">
        <v>100.0</v>
      </c>
      <c r="R3683" s="32">
        <v>45634.0</v>
      </c>
      <c r="S3683" s="32">
        <v>42009.0</v>
      </c>
      <c r="T3683" s="29"/>
      <c r="U3683" s="33"/>
      <c r="V3683" s="1"/>
    </row>
    <row r="3684" ht="24.0" customHeight="1">
      <c r="A3684" s="1"/>
      <c r="B3684" s="24" t="str">
        <f>HYPERLINK("https://www.compass.com/listing/3-hanover-square-unit-15f-manhattan-ny-10004/1809617028781162409/view?agent_id=610d3f3370540700019b0833","3 Hanover Square, Unit 15F")</f>
        <v>3 Hanover Square, Unit 15F</v>
      </c>
      <c r="C3684" s="25" t="s">
        <v>370</v>
      </c>
      <c r="D3684" s="26" t="s">
        <v>23</v>
      </c>
      <c r="E3684" s="27" t="str">
        <f>HYPERLINK("https://www.compass.com/building/3-hanover-square-manhattan-ny-10004/281895552113714261/","3 Hanover Square")</f>
        <v>3 Hanover Square</v>
      </c>
      <c r="F3684" s="25" t="s">
        <v>80</v>
      </c>
      <c r="G3684" s="28">
        <v>899000.0</v>
      </c>
      <c r="H3684" s="28">
        <v>642.0</v>
      </c>
      <c r="I3684" s="28">
        <v>2180.0</v>
      </c>
      <c r="J3684" s="29"/>
      <c r="K3684" s="25" t="s">
        <v>25</v>
      </c>
      <c r="L3684" s="26">
        <v>4.0</v>
      </c>
      <c r="M3684" s="26">
        <v>2.0</v>
      </c>
      <c r="N3684" s="26">
        <v>0.0</v>
      </c>
      <c r="O3684" s="26">
        <v>0.0</v>
      </c>
      <c r="P3684" s="34">
        <v>1400.0</v>
      </c>
      <c r="Q3684" s="35">
        <v>0.0</v>
      </c>
      <c r="R3684" s="32">
        <v>44581.0</v>
      </c>
      <c r="S3684" s="32">
        <v>41512.0</v>
      </c>
      <c r="T3684" s="29"/>
      <c r="U3684" s="33"/>
      <c r="V3684" s="1"/>
    </row>
    <row r="3685" ht="24.0" customHeight="1">
      <c r="A3685" s="1"/>
      <c r="B3685" s="24" t="str">
        <f>HYPERLINK("https://www.compass.com/listing/779-st-anns-avenue-unit-47c-bronx-ny-10456/15649893284597137/view?agent_id=610d3f3370540700019b0833","779 St Ann's Ave, Unit 47C")</f>
        <v>779 St Ann's Ave, Unit 47C</v>
      </c>
      <c r="C3685" s="25" t="s">
        <v>364</v>
      </c>
      <c r="D3685" s="26" t="s">
        <v>23</v>
      </c>
      <c r="E3685" s="26" t="s">
        <v>394</v>
      </c>
      <c r="F3685" s="25" t="s">
        <v>225</v>
      </c>
      <c r="G3685" s="28">
        <v>275000.0</v>
      </c>
      <c r="H3685" s="28">
        <v>307.0</v>
      </c>
      <c r="I3685" s="28">
        <v>508.0</v>
      </c>
      <c r="J3685" s="28">
        <v>859.0</v>
      </c>
      <c r="K3685" s="25" t="s">
        <v>28</v>
      </c>
      <c r="L3685" s="26">
        <v>4.0</v>
      </c>
      <c r="M3685" s="26">
        <v>2.0</v>
      </c>
      <c r="N3685" s="30"/>
      <c r="O3685" s="30"/>
      <c r="P3685" s="26">
        <v>896.0</v>
      </c>
      <c r="Q3685" s="31"/>
      <c r="R3685" s="32">
        <v>43395.0</v>
      </c>
      <c r="S3685" s="33"/>
      <c r="T3685" s="29"/>
      <c r="U3685" s="33"/>
      <c r="V3685" s="1"/>
    </row>
    <row r="3686" ht="24.0" customHeight="1">
      <c r="A3686" s="1"/>
      <c r="B3686" s="24" t="str">
        <f>HYPERLINK("https://www.compass.com/listing/3215-avenue-h-unit-10l-brooklyn-ny-11210/552215054593170577/view?agent_id=610d3f3370540700019b0833","3215 Avenue H, Unit 10L")</f>
        <v>3215 Avenue H, Unit 10L</v>
      </c>
      <c r="C3686" s="25" t="s">
        <v>364</v>
      </c>
      <c r="D3686" s="26" t="s">
        <v>23</v>
      </c>
      <c r="E3686" s="27" t="str">
        <f>HYPERLINK("https://www.compass.com/building/norma-apartments-brooklyn-ny/389266833911156325/","Norma Apartments")</f>
        <v>Norma Apartments</v>
      </c>
      <c r="F3686" s="25" t="s">
        <v>112</v>
      </c>
      <c r="G3686" s="28">
        <v>369000.0</v>
      </c>
      <c r="H3686" s="29"/>
      <c r="I3686" s="28">
        <v>692.0</v>
      </c>
      <c r="J3686" s="28">
        <v>0.0</v>
      </c>
      <c r="K3686" s="25" t="s">
        <v>25</v>
      </c>
      <c r="L3686" s="26">
        <v>5.0</v>
      </c>
      <c r="M3686" s="26">
        <v>2.0</v>
      </c>
      <c r="N3686" s="26">
        <v>1.0</v>
      </c>
      <c r="O3686" s="26">
        <v>0.0</v>
      </c>
      <c r="P3686" s="30"/>
      <c r="Q3686" s="35">
        <v>156.0</v>
      </c>
      <c r="R3686" s="32">
        <v>44285.0</v>
      </c>
      <c r="S3686" s="32">
        <v>44027.0</v>
      </c>
      <c r="T3686" s="29"/>
      <c r="U3686" s="33"/>
      <c r="V3686" s="1"/>
    </row>
    <row r="3687" ht="24.0" customHeight="1">
      <c r="A3687" s="1"/>
      <c r="B3687" s="24" t="str">
        <f>HYPERLINK("https://www.compass.com/listing/920-metcalf-avenue-unit-20a-bronx-ny-10473/406297847145566209/view?agent_id=610d3f3370540700019b0833","920 Metcalf Avenue, Unit 20A")</f>
        <v>920 Metcalf Avenue, Unit 20A</v>
      </c>
      <c r="C3687" s="25" t="s">
        <v>365</v>
      </c>
      <c r="D3687" s="26" t="s">
        <v>23</v>
      </c>
      <c r="E3687" s="27" t="str">
        <f>HYPERLINK("https://www.compass.com/building/920-metcalf-ave-bronx-ny-10473/293533532721029893/","920 Metcalf Ave")</f>
        <v>920 Metcalf Ave</v>
      </c>
      <c r="F3687" s="25" t="s">
        <v>121</v>
      </c>
      <c r="G3687" s="28">
        <v>325000.0</v>
      </c>
      <c r="H3687" s="29"/>
      <c r="I3687" s="28">
        <v>934.0</v>
      </c>
      <c r="J3687" s="28">
        <v>0.0</v>
      </c>
      <c r="K3687" s="25" t="s">
        <v>25</v>
      </c>
      <c r="L3687" s="26">
        <v>5.0</v>
      </c>
      <c r="M3687" s="26">
        <v>2.0</v>
      </c>
      <c r="N3687" s="26">
        <v>1.0</v>
      </c>
      <c r="O3687" s="26">
        <v>0.0</v>
      </c>
      <c r="P3687" s="30"/>
      <c r="Q3687" s="31"/>
      <c r="R3687" s="32">
        <v>44170.0</v>
      </c>
      <c r="S3687" s="33"/>
      <c r="T3687" s="29"/>
      <c r="U3687" s="33"/>
      <c r="V3687" s="1"/>
    </row>
    <row r="3688" ht="24.0" customHeight="1">
      <c r="A3688" s="1"/>
      <c r="B3688" s="24" t="str">
        <f>HYPERLINK("https://www.compass.com/listing/611-west-239th-street-unit-3c-bronx-ny-10471/1644145164696681545/view?agent_id=610d3f3370540700019b0833","611 West 239th Street, Unit 3C")</f>
        <v>611 West 239th Street, Unit 3C</v>
      </c>
      <c r="C3688" s="25" t="s">
        <v>364</v>
      </c>
      <c r="D3688" s="26" t="s">
        <v>23</v>
      </c>
      <c r="E3688" s="27" t="str">
        <f>HYPERLINK("https://www.compass.com/building/611-w-239th-st-bronx-ny-10471/293533187043259941/","611 W 239th St")</f>
        <v>611 W 239th St</v>
      </c>
      <c r="F3688" s="25" t="s">
        <v>76</v>
      </c>
      <c r="G3688" s="28">
        <v>269000.0</v>
      </c>
      <c r="H3688" s="29"/>
      <c r="I3688" s="28">
        <v>787.0</v>
      </c>
      <c r="J3688" s="29"/>
      <c r="K3688" s="25" t="s">
        <v>25</v>
      </c>
      <c r="L3688" s="26">
        <v>5.0</v>
      </c>
      <c r="M3688" s="26">
        <v>2.0</v>
      </c>
      <c r="N3688" s="26">
        <v>1.0</v>
      </c>
      <c r="O3688" s="26">
        <v>0.0</v>
      </c>
      <c r="P3688" s="30"/>
      <c r="Q3688" s="35">
        <v>105.0</v>
      </c>
      <c r="R3688" s="32">
        <v>45636.0</v>
      </c>
      <c r="S3688" s="32">
        <v>41953.0</v>
      </c>
      <c r="T3688" s="29"/>
      <c r="U3688" s="33"/>
      <c r="V3688" s="1"/>
    </row>
    <row r="3689" ht="24.0" customHeight="1">
      <c r="A3689" s="1"/>
      <c r="B3689" s="24" t="str">
        <f>HYPERLINK("https://www.compass.com/listing/4525-henry-hudson-parkway-west-unit-108-bronx-ny-10471/1730701699229691113/view?agent_id=610d3f3370540700019b0833","4525 Henry Hudson Parkway West, Unit 108")</f>
        <v>4525 Henry Hudson Parkway West, Unit 108</v>
      </c>
      <c r="C3689" s="25" t="s">
        <v>370</v>
      </c>
      <c r="D3689" s="26" t="s">
        <v>23</v>
      </c>
      <c r="E3689" s="27" t="str">
        <f>HYPERLINK("https://www.compass.com/building/4525-henry-hudson-pkwy-w-bronx-ny-10471/293534534111119189/","4525 Henry Hudson Pkwy W")</f>
        <v>4525 Henry Hudson Pkwy W</v>
      </c>
      <c r="F3689" s="25" t="s">
        <v>76</v>
      </c>
      <c r="G3689" s="28">
        <v>282000.0</v>
      </c>
      <c r="H3689" s="28">
        <v>235.0</v>
      </c>
      <c r="I3689" s="28">
        <v>1059.0</v>
      </c>
      <c r="J3689" s="29"/>
      <c r="K3689" s="25" t="s">
        <v>25</v>
      </c>
      <c r="L3689" s="26">
        <v>4.0</v>
      </c>
      <c r="M3689" s="26">
        <v>2.0</v>
      </c>
      <c r="N3689" s="26">
        <v>1.0</v>
      </c>
      <c r="O3689" s="30"/>
      <c r="P3689" s="34">
        <v>1200.0</v>
      </c>
      <c r="Q3689" s="35">
        <v>178.0</v>
      </c>
      <c r="R3689" s="32">
        <v>45611.0</v>
      </c>
      <c r="S3689" s="32">
        <v>41674.0</v>
      </c>
      <c r="T3689" s="29"/>
      <c r="U3689" s="33"/>
      <c r="V3689" s="1"/>
    </row>
    <row r="3690" ht="24.0" customHeight="1">
      <c r="A3690" s="1"/>
      <c r="B3690" s="24" t="str">
        <f>HYPERLINK("https://www.compass.com/listing/21-57-33rd-street-unit-4h-queens-ny-11105/1292140463610984593/view?agent_id=610d3f3370540700019b0833","21-57 33rd Street, Unit 4H")</f>
        <v>21-57 33rd Street, Unit 4H</v>
      </c>
      <c r="C3690" s="25" t="s">
        <v>370</v>
      </c>
      <c r="D3690" s="26" t="s">
        <v>23</v>
      </c>
      <c r="E3690" s="27" t="str">
        <f>HYPERLINK("https://www.compass.com/building/21-57-33rd-st-queens-ny-11105/294839739114887637/","21-57 33rd St")</f>
        <v>21-57 33rd St</v>
      </c>
      <c r="F3690" s="25" t="s">
        <v>68</v>
      </c>
      <c r="G3690" s="28">
        <v>369000.0</v>
      </c>
      <c r="H3690" s="29"/>
      <c r="I3690" s="28">
        <v>0.0</v>
      </c>
      <c r="J3690" s="28">
        <v>0.0</v>
      </c>
      <c r="K3690" s="25" t="s">
        <v>25</v>
      </c>
      <c r="L3690" s="26">
        <v>4.0</v>
      </c>
      <c r="M3690" s="26">
        <v>2.0</v>
      </c>
      <c r="N3690" s="26">
        <v>1.0</v>
      </c>
      <c r="O3690" s="30"/>
      <c r="P3690" s="30"/>
      <c r="Q3690" s="35">
        <v>67.0</v>
      </c>
      <c r="R3690" s="32">
        <v>45636.0</v>
      </c>
      <c r="S3690" s="32">
        <v>42947.0</v>
      </c>
      <c r="T3690" s="29"/>
      <c r="U3690" s="33"/>
      <c r="V3690" s="1"/>
    </row>
    <row r="3691" ht="24.0" customHeight="1">
      <c r="A3691" s="1"/>
      <c r="B3691" s="24" t="str">
        <f>HYPERLINK("https://www.compass.com/listing/21-27-33rd-street-unit-5g-queens-ny-11105/531021116723721825/view?agent_id=610d3f3370540700019b0833","21-27 33rd Street, Unit 5G")</f>
        <v>21-27 33rd Street, Unit 5G</v>
      </c>
      <c r="C3691" s="25" t="s">
        <v>364</v>
      </c>
      <c r="D3691" s="26" t="s">
        <v>23</v>
      </c>
      <c r="E3691" s="27" t="str">
        <f>HYPERLINK("https://www.compass.com/building/acropolis-gardens-queens-ny/294838969124527685/","Acropolis Gardens")</f>
        <v>Acropolis Gardens</v>
      </c>
      <c r="F3691" s="25" t="s">
        <v>68</v>
      </c>
      <c r="G3691" s="28">
        <v>299000.0</v>
      </c>
      <c r="H3691" s="29"/>
      <c r="I3691" s="28">
        <v>938.0</v>
      </c>
      <c r="J3691" s="28">
        <v>0.0</v>
      </c>
      <c r="K3691" s="25" t="s">
        <v>25</v>
      </c>
      <c r="L3691" s="26">
        <v>4.0</v>
      </c>
      <c r="M3691" s="26">
        <v>2.0</v>
      </c>
      <c r="N3691" s="26">
        <v>1.0</v>
      </c>
      <c r="O3691" s="26">
        <v>0.0</v>
      </c>
      <c r="P3691" s="30"/>
      <c r="Q3691" s="35">
        <v>549.0</v>
      </c>
      <c r="R3691" s="32">
        <v>44643.0</v>
      </c>
      <c r="S3691" s="32">
        <v>43984.0</v>
      </c>
      <c r="T3691" s="29"/>
      <c r="U3691" s="33"/>
      <c r="V3691" s="1"/>
    </row>
    <row r="3692" ht="24.0" customHeight="1">
      <c r="A3692" s="1"/>
      <c r="B3692" s="24" t="str">
        <f>HYPERLINK("https://www.compass.com/listing/21-16-35th-street-unit-1f-queens-ny-11105/1563223126461213049/view?agent_id=610d3f3370540700019b0833","21-16 35th Street, Unit 1F")</f>
        <v>21-16 35th Street, Unit 1F</v>
      </c>
      <c r="C3692" s="25" t="s">
        <v>364</v>
      </c>
      <c r="D3692" s="26" t="s">
        <v>23</v>
      </c>
      <c r="E3692" s="27" t="str">
        <f>HYPERLINK("https://www.compass.com/building/21-16-35th-st-queens-ny-11105/294838810294617349/","21-16 35th St")</f>
        <v>21-16 35th St</v>
      </c>
      <c r="F3692" s="25" t="s">
        <v>68</v>
      </c>
      <c r="G3692" s="28">
        <v>350000.0</v>
      </c>
      <c r="H3692" s="29"/>
      <c r="I3692" s="28">
        <v>1200.0</v>
      </c>
      <c r="J3692" s="28">
        <v>0.0</v>
      </c>
      <c r="K3692" s="25" t="s">
        <v>209</v>
      </c>
      <c r="L3692" s="26">
        <v>4.0</v>
      </c>
      <c r="M3692" s="26">
        <v>2.0</v>
      </c>
      <c r="N3692" s="26">
        <v>1.0</v>
      </c>
      <c r="O3692" s="30"/>
      <c r="P3692" s="30"/>
      <c r="Q3692" s="35">
        <v>153.0</v>
      </c>
      <c r="R3692" s="32">
        <v>45562.0</v>
      </c>
      <c r="S3692" s="32">
        <v>45408.0</v>
      </c>
      <c r="T3692" s="29"/>
      <c r="U3692" s="33"/>
      <c r="V3692" s="1"/>
    </row>
    <row r="3693" ht="24.0" customHeight="1">
      <c r="A3693" s="1"/>
      <c r="B3693" s="24" t="str">
        <f>HYPERLINK("https://www.compass.com/listing/21-57-33rd-street-unit-4h-queens-ny-11105/1292140463610984585/view?agent_id=610d3f3370540700019b0833","21-57 33rd Street, Unit 4H")</f>
        <v>21-57 33rd Street, Unit 4H</v>
      </c>
      <c r="C3693" s="25" t="s">
        <v>370</v>
      </c>
      <c r="D3693" s="26" t="s">
        <v>23</v>
      </c>
      <c r="E3693" s="27" t="str">
        <f>HYPERLINK("https://www.compass.com/building/21-57-33rd-st-queens-ny-11105/294839739114887637/","21-57 33rd St")</f>
        <v>21-57 33rd St</v>
      </c>
      <c r="F3693" s="25" t="s">
        <v>68</v>
      </c>
      <c r="G3693" s="28">
        <v>389000.0</v>
      </c>
      <c r="H3693" s="29"/>
      <c r="I3693" s="28">
        <v>0.0</v>
      </c>
      <c r="J3693" s="28">
        <v>0.0</v>
      </c>
      <c r="K3693" s="25" t="s">
        <v>25</v>
      </c>
      <c r="L3693" s="26">
        <v>4.0</v>
      </c>
      <c r="M3693" s="26">
        <v>2.0</v>
      </c>
      <c r="N3693" s="26">
        <v>1.0</v>
      </c>
      <c r="O3693" s="30"/>
      <c r="P3693" s="30"/>
      <c r="Q3693" s="35">
        <v>173.0</v>
      </c>
      <c r="R3693" s="32">
        <v>45597.0</v>
      </c>
      <c r="S3693" s="32">
        <v>43256.0</v>
      </c>
      <c r="T3693" s="29"/>
      <c r="U3693" s="33"/>
      <c r="V3693" s="1"/>
    </row>
    <row r="3694" ht="24.0" customHeight="1">
      <c r="A3694" s="1"/>
      <c r="B3694" s="24" t="str">
        <f>HYPERLINK("https://www.compass.com/listing/5355-henry-hudson-parkway-west-unit-5e-bronx-ny-10471/4851685400906835153/view?agent_id=610d3f3370540700019b0833","5355 Henry Hudson Parkway West, Unit 5E")</f>
        <v>5355 Henry Hudson Parkway West, Unit 5E</v>
      </c>
      <c r="C3694" s="25" t="s">
        <v>370</v>
      </c>
      <c r="D3694" s="26" t="s">
        <v>23</v>
      </c>
      <c r="E3694" s="27" t="str">
        <f>HYPERLINK("https://www.compass.com/building/5355-henry-hudson-pkwy-w-bronx-ny-10471/293530605734343173/","5355 Henry Hudson Pkwy W")</f>
        <v>5355 Henry Hudson Pkwy W</v>
      </c>
      <c r="F3694" s="25" t="s">
        <v>76</v>
      </c>
      <c r="G3694" s="28">
        <v>365000.0</v>
      </c>
      <c r="H3694" s="29"/>
      <c r="I3694" s="28">
        <v>1073.0</v>
      </c>
      <c r="J3694" s="29"/>
      <c r="K3694" s="25" t="s">
        <v>25</v>
      </c>
      <c r="L3694" s="26">
        <v>5.0</v>
      </c>
      <c r="M3694" s="26">
        <v>2.0</v>
      </c>
      <c r="N3694" s="26">
        <v>0.0</v>
      </c>
      <c r="O3694" s="26">
        <v>0.0</v>
      </c>
      <c r="P3694" s="30"/>
      <c r="Q3694" s="35">
        <v>241.0</v>
      </c>
      <c r="R3694" s="32">
        <v>44581.0</v>
      </c>
      <c r="S3694" s="32">
        <v>42081.0</v>
      </c>
      <c r="T3694" s="29"/>
      <c r="U3694" s="33"/>
      <c r="V3694" s="1"/>
    </row>
    <row r="3695" ht="24.0" customHeight="1">
      <c r="A3695" s="1"/>
      <c r="B3695" s="24" t="str">
        <f>HYPERLINK("https://www.compass.com/listing/21-38-35th-street-unit-1c-queens-ny-11105/1688586919091941577/view?agent_id=610d3f3370540700019b0833","21-38 35th Street, Unit 1C")</f>
        <v>21-38 35th Street, Unit 1C</v>
      </c>
      <c r="C3695" s="25" t="s">
        <v>364</v>
      </c>
      <c r="D3695" s="26" t="s">
        <v>23</v>
      </c>
      <c r="E3695" s="27" t="str">
        <f>HYPERLINK("https://www.compass.com/building/21-38-35th-st-queens-ny-11105/294836509525714197/","21-38 35th St")</f>
        <v>21-38 35th St</v>
      </c>
      <c r="F3695" s="25" t="s">
        <v>68</v>
      </c>
      <c r="G3695" s="28">
        <v>334000.0</v>
      </c>
      <c r="H3695" s="29"/>
      <c r="I3695" s="28">
        <v>1245.0</v>
      </c>
      <c r="J3695" s="28">
        <v>0.0</v>
      </c>
      <c r="K3695" s="25" t="s">
        <v>25</v>
      </c>
      <c r="L3695" s="26">
        <v>3.0</v>
      </c>
      <c r="M3695" s="26">
        <v>2.0</v>
      </c>
      <c r="N3695" s="26">
        <v>1.0</v>
      </c>
      <c r="O3695" s="26">
        <v>0.0</v>
      </c>
      <c r="P3695" s="30"/>
      <c r="Q3695" s="35">
        <v>48.0</v>
      </c>
      <c r="R3695" s="32">
        <v>45629.0</v>
      </c>
      <c r="S3695" s="32">
        <v>45581.0</v>
      </c>
      <c r="T3695" s="29"/>
      <c r="U3695" s="33"/>
      <c r="V3695" s="1"/>
    </row>
    <row r="3696" ht="24.0" customHeight="1">
      <c r="A3696" s="1"/>
      <c r="B3696" s="24" t="str">
        <f>HYPERLINK("https://www.compass.com/listing/21-77-33rd-street-unit-4g-queens-ny-11105/1591347734045656761/view?agent_id=610d3f3370540700019b0833","21-77 33rd Street, Unit 4G")</f>
        <v>21-77 33rd Street, Unit 4G</v>
      </c>
      <c r="C3696" s="25" t="s">
        <v>370</v>
      </c>
      <c r="D3696" s="26" t="s">
        <v>23</v>
      </c>
      <c r="E3696" s="27" t="str">
        <f>HYPERLINK("https://www.compass.com/building/acropolis-gardens-queens-ny/307454975902489141/","Acropolis Gardens")</f>
        <v>Acropolis Gardens</v>
      </c>
      <c r="F3696" s="25" t="s">
        <v>68</v>
      </c>
      <c r="G3696" s="28">
        <v>335000.0</v>
      </c>
      <c r="H3696" s="29"/>
      <c r="I3696" s="28">
        <v>1414.0</v>
      </c>
      <c r="J3696" s="28">
        <v>0.0</v>
      </c>
      <c r="K3696" s="25" t="s">
        <v>25</v>
      </c>
      <c r="L3696" s="26">
        <v>4.0</v>
      </c>
      <c r="M3696" s="26">
        <v>2.0</v>
      </c>
      <c r="N3696" s="26">
        <v>1.0</v>
      </c>
      <c r="O3696" s="30"/>
      <c r="P3696" s="30"/>
      <c r="Q3696" s="35">
        <v>103.0</v>
      </c>
      <c r="R3696" s="32">
        <v>45669.0</v>
      </c>
      <c r="S3696" s="32">
        <v>45447.0</v>
      </c>
      <c r="T3696" s="29"/>
      <c r="U3696" s="33"/>
      <c r="V3696" s="1"/>
    </row>
    <row r="3697" ht="24.0" customHeight="1">
      <c r="A3697" s="1"/>
      <c r="B3697" s="24" t="str">
        <f>HYPERLINK("https://www.compass.com/listing/21-78-35th-street-unit-3g-queens-ny-11105/994289192826352281/view?agent_id=610d3f3370540700019b0833","21-78 35th Street, Unit 3G")</f>
        <v>21-78 35th Street, Unit 3G</v>
      </c>
      <c r="C3697" s="25" t="s">
        <v>365</v>
      </c>
      <c r="D3697" s="26" t="s">
        <v>23</v>
      </c>
      <c r="E3697" s="27" t="str">
        <f>HYPERLINK("https://www.compass.com/building/21-78-35th-st-queens-ny-11105/307444804841279669/","21-78 35th St")</f>
        <v>21-78 35th St</v>
      </c>
      <c r="F3697" s="25" t="s">
        <v>68</v>
      </c>
      <c r="G3697" s="28">
        <v>399000.0</v>
      </c>
      <c r="H3697" s="29"/>
      <c r="I3697" s="28">
        <v>960.0</v>
      </c>
      <c r="J3697" s="28">
        <v>0.0</v>
      </c>
      <c r="K3697" s="25" t="s">
        <v>25</v>
      </c>
      <c r="L3697" s="26">
        <v>4.0</v>
      </c>
      <c r="M3697" s="26">
        <v>2.0</v>
      </c>
      <c r="N3697" s="26">
        <v>1.0</v>
      </c>
      <c r="O3697" s="30"/>
      <c r="P3697" s="30"/>
      <c r="Q3697" s="35">
        <v>147.0</v>
      </c>
      <c r="R3697" s="32">
        <v>44771.0</v>
      </c>
      <c r="S3697" s="32">
        <v>44623.0</v>
      </c>
      <c r="T3697" s="29"/>
      <c r="U3697" s="33"/>
      <c r="V3697" s="1"/>
    </row>
    <row r="3698" ht="24.0" customHeight="1">
      <c r="A3698" s="1"/>
      <c r="B3698" s="24" t="str">
        <f>HYPERLINK("https://www.compass.com/listing/740-east-32nd-street-unit-a1-brooklyn-ny-11210/79556323896826081/view?agent_id=610d3f3370540700019b0833","740 East 32nd Street, Unit A1")</f>
        <v>740 East 32nd Street, Unit A1</v>
      </c>
      <c r="C3698" s="25" t="s">
        <v>364</v>
      </c>
      <c r="D3698" s="26" t="s">
        <v>23</v>
      </c>
      <c r="E3698" s="27" t="str">
        <f>HYPERLINK("https://www.compass.com/building/740-e-32nd-st-brooklyn-ny-11210/293529201884076357/","740 E 32nd St")</f>
        <v>740 E 32nd St</v>
      </c>
      <c r="F3698" s="25" t="s">
        <v>112</v>
      </c>
      <c r="G3698" s="28">
        <v>199000.0</v>
      </c>
      <c r="H3698" s="28">
        <v>221.0</v>
      </c>
      <c r="I3698" s="28">
        <v>709.0</v>
      </c>
      <c r="J3698" s="29"/>
      <c r="K3698" s="25" t="s">
        <v>25</v>
      </c>
      <c r="L3698" s="26">
        <v>5.0</v>
      </c>
      <c r="M3698" s="26">
        <v>2.0</v>
      </c>
      <c r="N3698" s="26">
        <v>0.0</v>
      </c>
      <c r="O3698" s="26">
        <v>0.0</v>
      </c>
      <c r="P3698" s="26">
        <v>900.0</v>
      </c>
      <c r="Q3698" s="35">
        <v>302.0</v>
      </c>
      <c r="R3698" s="32">
        <v>44581.0</v>
      </c>
      <c r="S3698" s="32">
        <v>41185.0</v>
      </c>
      <c r="T3698" s="29"/>
      <c r="U3698" s="33"/>
      <c r="V3698" s="1"/>
    </row>
    <row r="3699" ht="24.0" customHeight="1">
      <c r="A3699" s="1"/>
      <c r="B3699" s="24" t="str">
        <f>HYPERLINK("https://www.compass.com/listing/21-48-35th-street-unit-5c-queens-ny-11105/205732299910786769/view?agent_id=610d3f3370540700019b0833","21-48 35th Street, Unit 5C")</f>
        <v>21-48 35th Street, Unit 5C</v>
      </c>
      <c r="C3699" s="25" t="s">
        <v>370</v>
      </c>
      <c r="D3699" s="26" t="s">
        <v>23</v>
      </c>
      <c r="E3699" s="27" t="str">
        <f>HYPERLINK("https://www.compass.com/building/21-48-35th-st-queens-ny-11105/307453066219197637/","21-48 35th St")</f>
        <v>21-48 35th St</v>
      </c>
      <c r="F3699" s="25" t="s">
        <v>68</v>
      </c>
      <c r="G3699" s="28">
        <v>350000.0</v>
      </c>
      <c r="H3699" s="29"/>
      <c r="I3699" s="28">
        <v>957.0</v>
      </c>
      <c r="J3699" s="28">
        <v>0.0</v>
      </c>
      <c r="K3699" s="25" t="s">
        <v>25</v>
      </c>
      <c r="L3699" s="26">
        <v>6.0</v>
      </c>
      <c r="M3699" s="26">
        <v>2.0</v>
      </c>
      <c r="N3699" s="26">
        <v>1.0</v>
      </c>
      <c r="O3699" s="26">
        <v>0.0</v>
      </c>
      <c r="P3699" s="30"/>
      <c r="Q3699" s="35">
        <v>331.0</v>
      </c>
      <c r="R3699" s="32">
        <v>43870.0</v>
      </c>
      <c r="S3699" s="32">
        <v>43538.0</v>
      </c>
      <c r="T3699" s="29"/>
      <c r="U3699" s="33"/>
      <c r="V3699" s="1"/>
    </row>
    <row r="3700" ht="24.0" customHeight="1">
      <c r="A3700" s="1"/>
      <c r="B3700" s="24" t="str">
        <f>HYPERLINK("https://www.compass.com/listing/21-06-35th-street-unit-3e-queens-ny-11105/1221722216869448721/view?agent_id=610d3f3370540700019b0833","21-06 35th Street, Unit 3E")</f>
        <v>21-06 35th Street, Unit 3E</v>
      </c>
      <c r="C3700" s="25" t="s">
        <v>370</v>
      </c>
      <c r="D3700" s="26" t="s">
        <v>23</v>
      </c>
      <c r="E3700" s="27" t="str">
        <f>HYPERLINK("https://www.compass.com/building/21-06-35th-st-queens-ny-11105/307455043884067509/","21-06 35th St")</f>
        <v>21-06 35th St</v>
      </c>
      <c r="F3700" s="25" t="s">
        <v>68</v>
      </c>
      <c r="G3700" s="28">
        <v>425000.0</v>
      </c>
      <c r="H3700" s="29"/>
      <c r="I3700" s="28">
        <v>1063.0</v>
      </c>
      <c r="J3700" s="28">
        <v>12756.0</v>
      </c>
      <c r="K3700" s="25" t="s">
        <v>25</v>
      </c>
      <c r="L3700" s="26">
        <v>5.0</v>
      </c>
      <c r="M3700" s="26">
        <v>2.0</v>
      </c>
      <c r="N3700" s="26">
        <v>1.0</v>
      </c>
      <c r="O3700" s="30"/>
      <c r="P3700" s="30"/>
      <c r="Q3700" s="35">
        <v>79.0</v>
      </c>
      <c r="R3700" s="32">
        <v>45017.0</v>
      </c>
      <c r="S3700" s="32">
        <v>44937.0</v>
      </c>
      <c r="T3700" s="29"/>
      <c r="U3700" s="33"/>
      <c r="V3700" s="1"/>
    </row>
    <row r="3701" ht="24.0" customHeight="1">
      <c r="A3701" s="1"/>
      <c r="B3701" s="24" t="str">
        <f>HYPERLINK("https://www.compass.com/listing/3-hanover-square-unit-17a-manhattan-ny-10004/921951707285632033/view?agent_id=610d3f3370540700019b0833","3 Hanover Square, Unit 17A")</f>
        <v>3 Hanover Square, Unit 17A</v>
      </c>
      <c r="C3701" s="25" t="s">
        <v>370</v>
      </c>
      <c r="D3701" s="26" t="s">
        <v>23</v>
      </c>
      <c r="E3701" s="27" t="str">
        <f>HYPERLINK("https://www.compass.com/building/3-hanover-square-manhattan-ny-10004/281895552113714261/","3 Hanover Square")</f>
        <v>3 Hanover Square</v>
      </c>
      <c r="F3701" s="25" t="s">
        <v>80</v>
      </c>
      <c r="G3701" s="28">
        <v>895000.0</v>
      </c>
      <c r="H3701" s="28">
        <v>814.0</v>
      </c>
      <c r="I3701" s="28">
        <v>1965.0</v>
      </c>
      <c r="J3701" s="29"/>
      <c r="K3701" s="25" t="s">
        <v>25</v>
      </c>
      <c r="L3701" s="26">
        <v>4.0</v>
      </c>
      <c r="M3701" s="26">
        <v>2.0</v>
      </c>
      <c r="N3701" s="26">
        <v>0.0</v>
      </c>
      <c r="O3701" s="26">
        <v>0.0</v>
      </c>
      <c r="P3701" s="34">
        <v>1100.0</v>
      </c>
      <c r="Q3701" s="35">
        <v>19.0</v>
      </c>
      <c r="R3701" s="32">
        <v>45636.0</v>
      </c>
      <c r="S3701" s="32">
        <v>42074.0</v>
      </c>
      <c r="T3701" s="29"/>
      <c r="U3701" s="33"/>
      <c r="V3701" s="1"/>
    </row>
    <row r="3702" ht="24.0" customHeight="1">
      <c r="A3702" s="1"/>
      <c r="B3702" s="24" t="str">
        <f>HYPERLINK("https://www.compass.com/listing/20-west-street-unit-39bcd-manhattan-ny-10004/4852330098239487441/view?agent_id=610d3f3370540700019b0833","20 West Street, Unit 39BCD")</f>
        <v>20 West Street, Unit 39BCD</v>
      </c>
      <c r="C3702" s="25" t="s">
        <v>370</v>
      </c>
      <c r="D3702" s="26" t="s">
        <v>23</v>
      </c>
      <c r="E3702" s="27" t="str">
        <f>HYPERLINK("https://www.compass.com/building/downtown-athletic-club-building-manhattan-ny/281895518366345781/","Downtown Athletic Club Building")</f>
        <v>Downtown Athletic Club Building</v>
      </c>
      <c r="F3702" s="25" t="s">
        <v>80</v>
      </c>
      <c r="G3702" s="28">
        <v>2195000.0</v>
      </c>
      <c r="H3702" s="28">
        <v>1507.0</v>
      </c>
      <c r="I3702" s="28">
        <v>2466.0</v>
      </c>
      <c r="J3702" s="28">
        <v>4464.0</v>
      </c>
      <c r="K3702" s="25" t="s">
        <v>28</v>
      </c>
      <c r="L3702" s="26">
        <v>6.0</v>
      </c>
      <c r="M3702" s="26">
        <v>2.0</v>
      </c>
      <c r="N3702" s="26">
        <v>0.0</v>
      </c>
      <c r="O3702" s="26">
        <v>0.0</v>
      </c>
      <c r="P3702" s="34">
        <v>1457.0</v>
      </c>
      <c r="Q3702" s="35">
        <v>64.0</v>
      </c>
      <c r="R3702" s="32">
        <v>45636.0</v>
      </c>
      <c r="S3702" s="32">
        <v>41510.0</v>
      </c>
      <c r="T3702" s="29"/>
      <c r="U3702" s="33"/>
      <c r="V3702" s="1"/>
    </row>
    <row r="3703" ht="24.0" customHeight="1">
      <c r="A3703" s="1"/>
      <c r="B3703" s="24" t="str">
        <f>HYPERLINK("https://www.compass.com/listing/651-new-york-avenue-unit-601-brooklyn-ny-11203/70784727488964433/view?agent_id=610d3f3370540700019b0833","651 New York Avenue, Unit 601")</f>
        <v>651 New York Avenue, Unit 601</v>
      </c>
      <c r="C3703" s="25" t="s">
        <v>364</v>
      </c>
      <c r="D3703" s="26" t="s">
        <v>23</v>
      </c>
      <c r="E3703" s="27" t="str">
        <f>HYPERLINK("https://www.compass.com/building/hello-new-york-brooklyn-ny/293416668523243877/","Hello New York")</f>
        <v>Hello New York</v>
      </c>
      <c r="F3703" s="25" t="s">
        <v>61</v>
      </c>
      <c r="G3703" s="28">
        <v>699000.0</v>
      </c>
      <c r="H3703" s="29"/>
      <c r="I3703" s="28">
        <v>388.0</v>
      </c>
      <c r="J3703" s="28">
        <v>468.0</v>
      </c>
      <c r="K3703" s="25" t="s">
        <v>28</v>
      </c>
      <c r="L3703" s="26">
        <v>4.0</v>
      </c>
      <c r="M3703" s="26">
        <v>2.0</v>
      </c>
      <c r="N3703" s="26">
        <v>1.0</v>
      </c>
      <c r="O3703" s="26">
        <v>0.0</v>
      </c>
      <c r="P3703" s="30"/>
      <c r="Q3703" s="35">
        <v>182.0</v>
      </c>
      <c r="R3703" s="32">
        <v>45636.0</v>
      </c>
      <c r="S3703" s="32">
        <v>43349.0</v>
      </c>
      <c r="T3703" s="29"/>
      <c r="U3703" s="33"/>
      <c r="V3703" s="1"/>
    </row>
    <row r="3704" ht="24.0" customHeight="1">
      <c r="A3704" s="1"/>
      <c r="B3704" s="24" t="str">
        <f>HYPERLINK("https://www.compass.com/listing/2550-olinville-avenue-unit-9g-bronx-ny-10467/1439707495190654609/view?agent_id=610d3f3370540700019b0833","2550 Olinville Avenue, Unit 9G")</f>
        <v>2550 Olinville Avenue, Unit 9G</v>
      </c>
      <c r="C3704" s="25" t="s">
        <v>370</v>
      </c>
      <c r="D3704" s="26" t="s">
        <v>23</v>
      </c>
      <c r="E3704" s="27" t="str">
        <f t="shared" ref="E3704:E3705" si="138">HYPERLINK("https://www.compass.com/building/2550-olinville-ave-bronx-ny-10467/293529256737209237/","2550 Olinville Ave")</f>
        <v>2550 Olinville Ave</v>
      </c>
      <c r="F3704" s="25" t="s">
        <v>261</v>
      </c>
      <c r="G3704" s="28">
        <v>275000.0</v>
      </c>
      <c r="H3704" s="28">
        <v>275.0</v>
      </c>
      <c r="I3704" s="28">
        <v>934.0</v>
      </c>
      <c r="J3704" s="29"/>
      <c r="K3704" s="25" t="s">
        <v>25</v>
      </c>
      <c r="L3704" s="26">
        <v>4.0</v>
      </c>
      <c r="M3704" s="26">
        <v>2.0</v>
      </c>
      <c r="N3704" s="26">
        <v>1.0</v>
      </c>
      <c r="O3704" s="30"/>
      <c r="P3704" s="34">
        <v>1000.0</v>
      </c>
      <c r="Q3704" s="35">
        <v>86.0</v>
      </c>
      <c r="R3704" s="32">
        <v>45612.0</v>
      </c>
      <c r="S3704" s="32">
        <v>45238.0</v>
      </c>
      <c r="T3704" s="29"/>
      <c r="U3704" s="33"/>
      <c r="V3704" s="1"/>
    </row>
    <row r="3705" ht="24.0" customHeight="1">
      <c r="A3705" s="1"/>
      <c r="B3705" s="24" t="str">
        <f>HYPERLINK("https://www.compass.com/listing/2550-olinville-avenue-unit-9g-bronx-ny-10467/1503139257172556409/view?agent_id=610d3f3370540700019b0833","2550 Olinville Avenue, Unit 9G")</f>
        <v>2550 Olinville Avenue, Unit 9G</v>
      </c>
      <c r="C3705" s="25" t="s">
        <v>370</v>
      </c>
      <c r="D3705" s="26" t="s">
        <v>23</v>
      </c>
      <c r="E3705" s="27" t="str">
        <f t="shared" si="138"/>
        <v>2550 Olinville Ave</v>
      </c>
      <c r="F3705" s="25" t="s">
        <v>261</v>
      </c>
      <c r="G3705" s="28">
        <v>275000.0</v>
      </c>
      <c r="H3705" s="28">
        <v>275.0</v>
      </c>
      <c r="I3705" s="28">
        <v>934.0</v>
      </c>
      <c r="J3705" s="29"/>
      <c r="K3705" s="25" t="s">
        <v>25</v>
      </c>
      <c r="L3705" s="26">
        <v>4.0</v>
      </c>
      <c r="M3705" s="26">
        <v>2.0</v>
      </c>
      <c r="N3705" s="26">
        <v>1.0</v>
      </c>
      <c r="O3705" s="30"/>
      <c r="P3705" s="34">
        <v>1000.0</v>
      </c>
      <c r="Q3705" s="35">
        <v>68.0</v>
      </c>
      <c r="R3705" s="32">
        <v>45633.0</v>
      </c>
      <c r="S3705" s="32">
        <v>45325.0</v>
      </c>
      <c r="T3705" s="29"/>
      <c r="U3705" s="33"/>
      <c r="V3705" s="1"/>
    </row>
    <row r="3706" ht="24.0" customHeight="1">
      <c r="A3706" s="1"/>
      <c r="B3706" s="24" t="str">
        <f>HYPERLINK("https://www.compass.com/listing/3-hanover-square-unit-17a-manhattan-ny-10004/921753619811845473/view?agent_id=610d3f3370540700019b0833","3 Hanover Square, Unit 17A")</f>
        <v>3 Hanover Square, Unit 17A</v>
      </c>
      <c r="C3706" s="25" t="s">
        <v>370</v>
      </c>
      <c r="D3706" s="26" t="s">
        <v>23</v>
      </c>
      <c r="E3706" s="27" t="str">
        <f>HYPERLINK("https://www.compass.com/building/3-hanover-square-manhattan-ny-10004/281895552113714261/","3 Hanover Square")</f>
        <v>3 Hanover Square</v>
      </c>
      <c r="F3706" s="25" t="s">
        <v>80</v>
      </c>
      <c r="G3706" s="28">
        <v>899000.0</v>
      </c>
      <c r="H3706" s="28">
        <v>817.0</v>
      </c>
      <c r="I3706" s="28">
        <v>1909.0</v>
      </c>
      <c r="J3706" s="29"/>
      <c r="K3706" s="25" t="s">
        <v>25</v>
      </c>
      <c r="L3706" s="26">
        <v>4.0</v>
      </c>
      <c r="M3706" s="26">
        <v>2.0</v>
      </c>
      <c r="N3706" s="26">
        <v>0.0</v>
      </c>
      <c r="O3706" s="26">
        <v>0.0</v>
      </c>
      <c r="P3706" s="34">
        <v>1100.0</v>
      </c>
      <c r="Q3706" s="35">
        <v>171.0</v>
      </c>
      <c r="R3706" s="32">
        <v>45636.0</v>
      </c>
      <c r="S3706" s="32">
        <v>41733.0</v>
      </c>
      <c r="T3706" s="29"/>
      <c r="U3706" s="33"/>
      <c r="V3706" s="1"/>
    </row>
    <row r="3707" ht="24.0" customHeight="1">
      <c r="A3707" s="1"/>
      <c r="B3707" s="24" t="str">
        <f>HYPERLINK("https://www.compass.com/listing/11-24-31st-avenue-unit-3a-queens-ny-11106/1835575846449921529/view?agent_id=610d3f3370540700019b0833","11-24 31st Avenue, Unit 3A")</f>
        <v>11-24 31st Avenue, Unit 3A</v>
      </c>
      <c r="C3707" s="25" t="s">
        <v>365</v>
      </c>
      <c r="D3707" s="26" t="s">
        <v>23</v>
      </c>
      <c r="E3707" s="27" t="str">
        <f>HYPERLINK("https://www.compass.com/building/east-river-tower-queens-ny/293533932085910549/","East River Tower")</f>
        <v>East River Tower</v>
      </c>
      <c r="F3707" s="25" t="s">
        <v>68</v>
      </c>
      <c r="G3707" s="28">
        <v>999000.0</v>
      </c>
      <c r="H3707" s="28">
        <v>1070.0</v>
      </c>
      <c r="I3707" s="28">
        <v>1803.0</v>
      </c>
      <c r="J3707" s="28">
        <v>9031.0</v>
      </c>
      <c r="K3707" s="25" t="s">
        <v>28</v>
      </c>
      <c r="L3707" s="26">
        <v>4.0</v>
      </c>
      <c r="M3707" s="26">
        <v>2.0</v>
      </c>
      <c r="N3707" s="26">
        <v>1.0</v>
      </c>
      <c r="O3707" s="30"/>
      <c r="P3707" s="26">
        <v>934.0</v>
      </c>
      <c r="Q3707" s="35">
        <v>72.0</v>
      </c>
      <c r="R3707" s="32">
        <v>45861.0</v>
      </c>
      <c r="S3707" s="32">
        <v>45789.0</v>
      </c>
      <c r="T3707" s="29"/>
      <c r="U3707" s="33"/>
      <c r="V3707" s="1"/>
    </row>
    <row r="3708" ht="24.0" customHeight="1">
      <c r="A3708" s="1"/>
      <c r="B3708" s="24" t="str">
        <f>HYPERLINK("https://www.compass.com/listing/21-77-33rd-street-unit-4g-queens-ny-11105/821072793619461137/view?agent_id=610d3f3370540700019b0833","21-77 33rd Street, Unit 4G")</f>
        <v>21-77 33rd Street, Unit 4G</v>
      </c>
      <c r="C3708" s="25" t="s">
        <v>370</v>
      </c>
      <c r="D3708" s="26" t="s">
        <v>23</v>
      </c>
      <c r="E3708" s="27" t="str">
        <f>HYPERLINK("https://www.compass.com/building/acropolis-gardens-queens-ny/307454975902489141/","Acropolis Gardens")</f>
        <v>Acropolis Gardens</v>
      </c>
      <c r="F3708" s="25" t="s">
        <v>68</v>
      </c>
      <c r="G3708" s="28">
        <v>329000.0</v>
      </c>
      <c r="H3708" s="28">
        <v>548.0</v>
      </c>
      <c r="I3708" s="28">
        <v>1032.0</v>
      </c>
      <c r="J3708" s="28">
        <v>0.0</v>
      </c>
      <c r="K3708" s="25" t="s">
        <v>25</v>
      </c>
      <c r="L3708" s="26">
        <v>4.0</v>
      </c>
      <c r="M3708" s="26">
        <v>2.0</v>
      </c>
      <c r="N3708" s="26">
        <v>1.0</v>
      </c>
      <c r="O3708" s="26">
        <v>0.0</v>
      </c>
      <c r="P3708" s="26">
        <v>600.0</v>
      </c>
      <c r="Q3708" s="35">
        <v>180.0</v>
      </c>
      <c r="R3708" s="32">
        <v>44565.0</v>
      </c>
      <c r="S3708" s="32">
        <v>44385.0</v>
      </c>
      <c r="T3708" s="29"/>
      <c r="U3708" s="33"/>
      <c r="V3708" s="1"/>
    </row>
    <row r="3709" ht="24.0" customHeight="1">
      <c r="A3709" s="1"/>
      <c r="B3709" s="24" t="str">
        <f>HYPERLINK("https://www.compass.com/listing/26-beaver-street-unit-15-pom-manhattan-ny-10004/826838721573816977/view?agent_id=610d3f3370540700019b0833","26 Beaver Street, Unit 15/POM")</f>
        <v>26 Beaver Street, Unit 15/POM</v>
      </c>
      <c r="C3709" s="25" t="s">
        <v>364</v>
      </c>
      <c r="D3709" s="26" t="s">
        <v>23</v>
      </c>
      <c r="E3709" s="27" t="str">
        <f>HYPERLINK("https://www.compass.com/building/beaver-tower-manhattan-ny/281895548632443461/","Beaver Tower")</f>
        <v>Beaver Tower</v>
      </c>
      <c r="F3709" s="25" t="s">
        <v>80</v>
      </c>
      <c r="G3709" s="28">
        <v>2095000.0</v>
      </c>
      <c r="H3709" s="28">
        <v>952.0</v>
      </c>
      <c r="I3709" s="28">
        <v>3069.0</v>
      </c>
      <c r="J3709" s="29"/>
      <c r="K3709" s="25" t="s">
        <v>25</v>
      </c>
      <c r="L3709" s="26">
        <v>5.0</v>
      </c>
      <c r="M3709" s="26">
        <v>2.0</v>
      </c>
      <c r="N3709" s="26">
        <v>0.0</v>
      </c>
      <c r="O3709" s="26">
        <v>0.0</v>
      </c>
      <c r="P3709" s="34">
        <v>2200.0</v>
      </c>
      <c r="Q3709" s="35">
        <v>338.0</v>
      </c>
      <c r="R3709" s="32">
        <v>44581.0</v>
      </c>
      <c r="S3709" s="32">
        <v>41346.0</v>
      </c>
      <c r="T3709" s="29"/>
      <c r="U3709" s="33"/>
      <c r="V3709" s="1"/>
    </row>
    <row r="3710" ht="24.0" customHeight="1">
      <c r="A3710" s="1"/>
      <c r="B3710" s="24" t="str">
        <f>HYPERLINK("https://www.compass.com/listing/651-new-york-avenue-unit-401-brooklyn-ny-11203/599337467646568801/view?agent_id=610d3f3370540700019b0833","651 New York Avenue, Unit 401")</f>
        <v>651 New York Avenue, Unit 401</v>
      </c>
      <c r="C3710" s="25" t="s">
        <v>365</v>
      </c>
      <c r="D3710" s="26" t="s">
        <v>23</v>
      </c>
      <c r="E3710" s="27" t="str">
        <f t="shared" ref="E3710:E3711" si="139">HYPERLINK("https://www.compass.com/building/hello-new-york-brooklyn-ny/293416668523243877/","Hello New York")</f>
        <v>Hello New York</v>
      </c>
      <c r="F3710" s="25" t="s">
        <v>61</v>
      </c>
      <c r="G3710" s="28">
        <v>610000.0</v>
      </c>
      <c r="H3710" s="28">
        <v>809.0</v>
      </c>
      <c r="I3710" s="28">
        <v>414.0</v>
      </c>
      <c r="J3710" s="28">
        <v>396.0</v>
      </c>
      <c r="K3710" s="25" t="s">
        <v>28</v>
      </c>
      <c r="L3710" s="26">
        <v>4.0</v>
      </c>
      <c r="M3710" s="26">
        <v>2.0</v>
      </c>
      <c r="N3710" s="26">
        <v>1.0</v>
      </c>
      <c r="O3710" s="30"/>
      <c r="P3710" s="26">
        <v>754.0</v>
      </c>
      <c r="Q3710" s="31"/>
      <c r="R3710" s="32">
        <v>44103.0</v>
      </c>
      <c r="S3710" s="33"/>
      <c r="T3710" s="29"/>
      <c r="U3710" s="33"/>
      <c r="V3710" s="1"/>
    </row>
    <row r="3711" ht="24.0" customHeight="1">
      <c r="A3711" s="1"/>
      <c r="B3711" s="24" t="str">
        <f>HYPERLINK("https://www.compass.com/listing/651-new-york-avenue-unit-201-brooklyn-ny-11203/612902126777366529/view?agent_id=610d3f3370540700019b0833","651 New York Avenue, Unit 201")</f>
        <v>651 New York Avenue, Unit 201</v>
      </c>
      <c r="C3711" s="25" t="s">
        <v>365</v>
      </c>
      <c r="D3711" s="26" t="s">
        <v>23</v>
      </c>
      <c r="E3711" s="27" t="str">
        <f t="shared" si="139"/>
        <v>Hello New York</v>
      </c>
      <c r="F3711" s="25" t="s">
        <v>61</v>
      </c>
      <c r="G3711" s="28">
        <v>600000.0</v>
      </c>
      <c r="H3711" s="28">
        <v>796.0</v>
      </c>
      <c r="I3711" s="28">
        <v>407.0</v>
      </c>
      <c r="J3711" s="28">
        <v>384.0</v>
      </c>
      <c r="K3711" s="25" t="s">
        <v>28</v>
      </c>
      <c r="L3711" s="26">
        <v>4.0</v>
      </c>
      <c r="M3711" s="26">
        <v>2.0</v>
      </c>
      <c r="N3711" s="26">
        <v>1.0</v>
      </c>
      <c r="O3711" s="30"/>
      <c r="P3711" s="26">
        <v>754.0</v>
      </c>
      <c r="Q3711" s="31"/>
      <c r="R3711" s="32">
        <v>44104.0</v>
      </c>
      <c r="S3711" s="33"/>
      <c r="T3711" s="29"/>
      <c r="U3711" s="33"/>
      <c r="V3711" s="1"/>
    </row>
    <row r="3712" ht="24.0" customHeight="1">
      <c r="A3712" s="1"/>
      <c r="B3712" s="24" t="str">
        <f>HYPERLINK("https://www.compass.com/listing/1018-faile-street-unit-a-bronx-ny-10459/1605867631925830385/view?agent_id=610d3f3370540700019b0833","1018 Faile Street, Unit A")</f>
        <v>1018 Faile Street, Unit A</v>
      </c>
      <c r="C3712" s="25" t="s">
        <v>370</v>
      </c>
      <c r="D3712" s="26" t="s">
        <v>23</v>
      </c>
      <c r="E3712" s="27" t="str">
        <f>HYPERLINK("https://www.compass.com/building/1018-faile-st-bronx-ny-10459/307434080794623653/","1018 Faile St")</f>
        <v>1018 Faile St</v>
      </c>
      <c r="F3712" s="25" t="s">
        <v>134</v>
      </c>
      <c r="G3712" s="28">
        <v>350000.0</v>
      </c>
      <c r="H3712" s="28">
        <v>459.0</v>
      </c>
      <c r="I3712" s="28">
        <v>555.0</v>
      </c>
      <c r="J3712" s="28">
        <v>676.0</v>
      </c>
      <c r="K3712" s="25" t="s">
        <v>28</v>
      </c>
      <c r="L3712" s="26">
        <v>5.0</v>
      </c>
      <c r="M3712" s="26">
        <v>2.0</v>
      </c>
      <c r="N3712" s="30"/>
      <c r="O3712" s="30"/>
      <c r="P3712" s="26">
        <v>763.0</v>
      </c>
      <c r="Q3712" s="35">
        <v>20.0</v>
      </c>
      <c r="R3712" s="32">
        <v>45779.0</v>
      </c>
      <c r="S3712" s="32">
        <v>45482.0</v>
      </c>
      <c r="T3712" s="29"/>
      <c r="U3712" s="33"/>
      <c r="V3712" s="1"/>
    </row>
    <row r="3713" ht="24.0" customHeight="1">
      <c r="A3713" s="1"/>
      <c r="B3713" s="24" t="str">
        <f>HYPERLINK("https://www.compass.com/listing/26-beaver-street-unit-15-pom-manhattan-ny-10004/921944507997860601/view?agent_id=610d3f3370540700019b0833","26 Beaver Street, Unit 15/POM")</f>
        <v>26 Beaver Street, Unit 15/POM</v>
      </c>
      <c r="C3713" s="25" t="s">
        <v>364</v>
      </c>
      <c r="D3713" s="26" t="s">
        <v>23</v>
      </c>
      <c r="E3713" s="27" t="str">
        <f>HYPERLINK("https://www.compass.com/building/beaver-tower-manhattan-ny/281895548632443461/","Beaver Tower")</f>
        <v>Beaver Tower</v>
      </c>
      <c r="F3713" s="25" t="s">
        <v>80</v>
      </c>
      <c r="G3713" s="28">
        <v>2095000.0</v>
      </c>
      <c r="H3713" s="28">
        <v>952.0</v>
      </c>
      <c r="I3713" s="28">
        <v>3069.0</v>
      </c>
      <c r="J3713" s="29"/>
      <c r="K3713" s="25" t="s">
        <v>25</v>
      </c>
      <c r="L3713" s="26">
        <v>5.0</v>
      </c>
      <c r="M3713" s="26">
        <v>2.0</v>
      </c>
      <c r="N3713" s="26">
        <v>0.0</v>
      </c>
      <c r="O3713" s="26">
        <v>1.0</v>
      </c>
      <c r="P3713" s="34">
        <v>2200.0</v>
      </c>
      <c r="Q3713" s="35">
        <v>0.0</v>
      </c>
      <c r="R3713" s="32">
        <v>44581.0</v>
      </c>
      <c r="S3713" s="32">
        <v>43182.0</v>
      </c>
      <c r="T3713" s="29"/>
      <c r="U3713" s="33"/>
      <c r="V3713" s="1"/>
    </row>
    <row r="3714" ht="24.0" customHeight="1">
      <c r="A3714" s="1"/>
      <c r="B3714" s="24" t="str">
        <f>HYPERLINK("https://www.compass.com/listing/3065-sedgwick-avenue-unit-5c-bronx-ny-10468/1502930843477237665/view?agent_id=610d3f3370540700019b0833","3065 Sedgwick Avenue, Unit 5C")</f>
        <v>3065 Sedgwick Avenue, Unit 5C</v>
      </c>
      <c r="C3714" s="25" t="s">
        <v>370</v>
      </c>
      <c r="D3714" s="26" t="s">
        <v>23</v>
      </c>
      <c r="E3714" s="27" t="str">
        <f>HYPERLINK("https://www.compass.com/building/3065-sedgwick-ave-bronx-ny-10468/307441277507258981/","3065 Sedgwick Ave")</f>
        <v>3065 Sedgwick Ave</v>
      </c>
      <c r="F3714" s="25" t="s">
        <v>116</v>
      </c>
      <c r="G3714" s="28">
        <v>240000.0</v>
      </c>
      <c r="H3714" s="29"/>
      <c r="I3714" s="28">
        <v>913.0</v>
      </c>
      <c r="J3714" s="28">
        <v>7200.0</v>
      </c>
      <c r="K3714" s="25" t="s">
        <v>25</v>
      </c>
      <c r="L3714" s="26">
        <v>5.0</v>
      </c>
      <c r="M3714" s="26">
        <v>2.0</v>
      </c>
      <c r="N3714" s="26">
        <v>1.0</v>
      </c>
      <c r="O3714" s="30"/>
      <c r="P3714" s="30"/>
      <c r="Q3714" s="35">
        <v>102.0</v>
      </c>
      <c r="R3714" s="32">
        <v>45428.0</v>
      </c>
      <c r="S3714" s="32">
        <v>45325.0</v>
      </c>
      <c r="T3714" s="29"/>
      <c r="U3714" s="33"/>
      <c r="V3714" s="1"/>
    </row>
    <row r="3715" ht="24.0" customHeight="1">
      <c r="A3715" s="1"/>
      <c r="B3715" s="24" t="str">
        <f>HYPERLINK("https://www.compass.com/listing/13-11-jackson-avenue-unit-pha-queens-ny-11101/886837314465499769/view?agent_id=610d3f3370540700019b0833","13-11 Jackson Avenue, Unit PHA")</f>
        <v>13-11 Jackson Avenue, Unit PHA</v>
      </c>
      <c r="C3715" s="25" t="s">
        <v>364</v>
      </c>
      <c r="D3715" s="26" t="s">
        <v>23</v>
      </c>
      <c r="E3715" s="27" t="str">
        <f>HYPERLINK("https://www.compass.com/building/echelon-queens-ny/294843599602513989/","Echelon")</f>
        <v>Echelon</v>
      </c>
      <c r="F3715" s="25" t="s">
        <v>215</v>
      </c>
      <c r="G3715" s="28">
        <v>905000.0</v>
      </c>
      <c r="H3715" s="29"/>
      <c r="I3715" s="28">
        <v>908.0</v>
      </c>
      <c r="J3715" s="28">
        <v>2184.0</v>
      </c>
      <c r="K3715" s="25" t="s">
        <v>28</v>
      </c>
      <c r="L3715" s="26">
        <v>4.0</v>
      </c>
      <c r="M3715" s="26">
        <v>2.0</v>
      </c>
      <c r="N3715" s="26">
        <v>0.0</v>
      </c>
      <c r="O3715" s="26">
        <v>0.0</v>
      </c>
      <c r="P3715" s="30"/>
      <c r="Q3715" s="35">
        <v>1750.0</v>
      </c>
      <c r="R3715" s="32">
        <v>44581.0</v>
      </c>
      <c r="S3715" s="32">
        <v>41186.0</v>
      </c>
      <c r="T3715" s="29"/>
      <c r="U3715" s="33"/>
      <c r="V3715" s="1"/>
    </row>
    <row r="3716" ht="24.0" customHeight="1">
      <c r="A3716" s="1"/>
      <c r="B3716" s="24" t="str">
        <f>HYPERLINK("https://www.compass.com/listing/6801-shore-road-unit-3s-brooklyn-ny-11220/920807399719830497/view?agent_id=610d3f3370540700019b0833","6801 Shore Road, Unit 3S")</f>
        <v>6801 Shore Road, Unit 3S</v>
      </c>
      <c r="C3716" s="25" t="s">
        <v>364</v>
      </c>
      <c r="D3716" s="26" t="s">
        <v>23</v>
      </c>
      <c r="E3716" s="27" t="str">
        <f>HYPERLINK("https://www.compass.com/building/6801-shore-rd-brooklyn-ny-11220/293533215203826261/","6801 Shore Rd")</f>
        <v>6801 Shore Rd</v>
      </c>
      <c r="F3716" s="25" t="s">
        <v>55</v>
      </c>
      <c r="G3716" s="28">
        <v>529000.0</v>
      </c>
      <c r="H3716" s="29"/>
      <c r="I3716" s="28">
        <v>859.0</v>
      </c>
      <c r="J3716" s="29"/>
      <c r="K3716" s="25" t="s">
        <v>25</v>
      </c>
      <c r="L3716" s="26">
        <v>4.0</v>
      </c>
      <c r="M3716" s="26">
        <v>2.0</v>
      </c>
      <c r="N3716" s="26">
        <v>0.0</v>
      </c>
      <c r="O3716" s="26">
        <v>0.0</v>
      </c>
      <c r="P3716" s="30"/>
      <c r="Q3716" s="35">
        <v>25.0</v>
      </c>
      <c r="R3716" s="32">
        <v>45636.0</v>
      </c>
      <c r="S3716" s="32">
        <v>42692.0</v>
      </c>
      <c r="T3716" s="29"/>
      <c r="U3716" s="33"/>
      <c r="V3716" s="1"/>
    </row>
    <row r="3717" ht="24.0" customHeight="1">
      <c r="A3717" s="1"/>
      <c r="B3717" s="24" t="str">
        <f>HYPERLINK("https://www.compass.com/listing/25-40-31st-avenue-unit-6m-queens-ny-11106/1669797417647919177/view?agent_id=610d3f3370540700019b0833","25-40 31st Avenue, Unit 6M")</f>
        <v>25-40 31st Avenue, Unit 6M</v>
      </c>
      <c r="C3717" s="25" t="s">
        <v>364</v>
      </c>
      <c r="D3717" s="26" t="s">
        <v>23</v>
      </c>
      <c r="E3717" s="27" t="str">
        <f>HYPERLINK("https://www.compass.com/building/25-40-31st-ave-queens-ny-11106/293535343628646997/","25-40 31st Ave")</f>
        <v>25-40 31st Ave</v>
      </c>
      <c r="F3717" s="25" t="s">
        <v>68</v>
      </c>
      <c r="G3717" s="28">
        <v>799000.0</v>
      </c>
      <c r="H3717" s="29"/>
      <c r="I3717" s="28">
        <v>1273.0</v>
      </c>
      <c r="J3717" s="28">
        <v>0.0</v>
      </c>
      <c r="K3717" s="25" t="s">
        <v>25</v>
      </c>
      <c r="L3717" s="26">
        <v>5.0</v>
      </c>
      <c r="M3717" s="26">
        <v>2.0</v>
      </c>
      <c r="N3717" s="26">
        <v>1.0</v>
      </c>
      <c r="O3717" s="26">
        <v>0.0</v>
      </c>
      <c r="P3717" s="30"/>
      <c r="Q3717" s="35">
        <v>254.0</v>
      </c>
      <c r="R3717" s="32">
        <v>45817.0</v>
      </c>
      <c r="S3717" s="32">
        <v>45555.0</v>
      </c>
      <c r="T3717" s="29"/>
      <c r="U3717" s="33"/>
      <c r="V3717" s="1"/>
    </row>
    <row r="3718" ht="24.0" customHeight="1">
      <c r="A3718" s="1"/>
      <c r="B3718" s="24" t="str">
        <f>HYPERLINK("https://www.compass.com/listing/224-04-manor-road-unit-lowr-queens-ny-11427/1829735753140850137/view?agent_id=610d3f3370540700019b0833","224-04 Manor Road, Unit LOWR")</f>
        <v>224-04 Manor Road, Unit LOWR</v>
      </c>
      <c r="C3718" s="25" t="s">
        <v>364</v>
      </c>
      <c r="D3718" s="26" t="s">
        <v>23</v>
      </c>
      <c r="E3718" s="27" t="str">
        <f>HYPERLINK("https://www.compass.com/building/224-04-manor-rd-queens-ny-11427/455665490673816629/","224-04 Manor Rd")</f>
        <v>224-04 Manor Rd</v>
      </c>
      <c r="F3718" s="25" t="s">
        <v>69</v>
      </c>
      <c r="G3718" s="28">
        <v>335000.0</v>
      </c>
      <c r="H3718" s="28">
        <v>447.0</v>
      </c>
      <c r="I3718" s="28">
        <v>941.0</v>
      </c>
      <c r="J3718" s="29"/>
      <c r="K3718" s="25" t="s">
        <v>25</v>
      </c>
      <c r="L3718" s="26">
        <v>5.0</v>
      </c>
      <c r="M3718" s="26">
        <v>2.0</v>
      </c>
      <c r="N3718" s="26">
        <v>1.0</v>
      </c>
      <c r="O3718" s="30"/>
      <c r="P3718" s="26">
        <v>750.0</v>
      </c>
      <c r="Q3718" s="35">
        <v>55.0</v>
      </c>
      <c r="R3718" s="32">
        <v>45832.0</v>
      </c>
      <c r="S3718" s="32">
        <v>45776.0</v>
      </c>
      <c r="T3718" s="29"/>
      <c r="U3718" s="33"/>
      <c r="V3718" s="1"/>
    </row>
    <row r="3719" ht="24.0" customHeight="1">
      <c r="A3719" s="1"/>
      <c r="B3719" s="24" t="str">
        <f>HYPERLINK("https://www.compass.com/listing/26-26-jackson-avenue-unit-ph1002-queens-ny-11101/29512781111758049/view?agent_id=610d3f3370540700019b0833","26-26 Jackson Avenue, Unit PH1002")</f>
        <v>26-26 Jackson Avenue, Unit PH1002</v>
      </c>
      <c r="C3719" s="25" t="s">
        <v>364</v>
      </c>
      <c r="D3719" s="26" t="s">
        <v>23</v>
      </c>
      <c r="E3719" s="27" t="str">
        <f>HYPERLINK("https://www.compass.com/building/vere-queens-ny/293529723814847333/","Vere")</f>
        <v>Vere</v>
      </c>
      <c r="F3719" s="25" t="s">
        <v>215</v>
      </c>
      <c r="G3719" s="28">
        <v>1898000.0</v>
      </c>
      <c r="H3719" s="28">
        <v>1636.0</v>
      </c>
      <c r="I3719" s="28">
        <v>1255.0</v>
      </c>
      <c r="J3719" s="28">
        <v>420.0</v>
      </c>
      <c r="K3719" s="25" t="s">
        <v>28</v>
      </c>
      <c r="L3719" s="26">
        <v>3.0</v>
      </c>
      <c r="M3719" s="26">
        <v>2.0</v>
      </c>
      <c r="N3719" s="30"/>
      <c r="O3719" s="30"/>
      <c r="P3719" s="34">
        <v>1160.0</v>
      </c>
      <c r="Q3719" s="31"/>
      <c r="R3719" s="32">
        <v>43546.0</v>
      </c>
      <c r="S3719" s="33"/>
      <c r="T3719" s="29"/>
      <c r="U3719" s="33"/>
      <c r="V3719" s="1"/>
    </row>
    <row r="3720" ht="24.0" customHeight="1">
      <c r="A3720" s="1"/>
      <c r="B3720" s="24" t="str">
        <f>HYPERLINK("https://www.compass.com/listing/1480-thieriot-avenue-unit-4c-bronx-ny-10460/1249865581373386777/view?agent_id=610d3f3370540700019b0833","1480 Thieriot Avenue, Unit 4C")</f>
        <v>1480 Thieriot Avenue, Unit 4C</v>
      </c>
      <c r="C3720" s="25" t="s">
        <v>370</v>
      </c>
      <c r="D3720" s="26" t="s">
        <v>23</v>
      </c>
      <c r="E3720" s="27" t="str">
        <f>HYPERLINK("https://www.compass.com/building/1480-thieriot-ave-bronx-ny-10460/307442462926563989/","1480 Thieriot Ave")</f>
        <v>1480 Thieriot Ave</v>
      </c>
      <c r="F3720" s="25" t="s">
        <v>228</v>
      </c>
      <c r="G3720" s="28">
        <v>174500.0</v>
      </c>
      <c r="H3720" s="28">
        <v>179.0</v>
      </c>
      <c r="I3720" s="28">
        <v>859.0</v>
      </c>
      <c r="J3720" s="28">
        <v>0.0</v>
      </c>
      <c r="K3720" s="25" t="s">
        <v>25</v>
      </c>
      <c r="L3720" s="26">
        <v>5.0</v>
      </c>
      <c r="M3720" s="26">
        <v>2.0</v>
      </c>
      <c r="N3720" s="26">
        <v>1.0</v>
      </c>
      <c r="O3720" s="26">
        <v>0.0</v>
      </c>
      <c r="P3720" s="26">
        <v>975.0</v>
      </c>
      <c r="Q3720" s="35">
        <v>132.0</v>
      </c>
      <c r="R3720" s="32">
        <v>45171.0</v>
      </c>
      <c r="S3720" s="32">
        <v>44976.0</v>
      </c>
      <c r="T3720" s="29"/>
      <c r="U3720" s="33"/>
      <c r="V3720" s="1"/>
    </row>
    <row r="3721" ht="24.0" customHeight="1">
      <c r="A3721" s="1"/>
      <c r="B3721" s="24" t="str">
        <f>HYPERLINK("https://www.compass.com/listing/198-fountain-avenue-brooklyn-ny-11208/1431561749734145321/view?agent_id=610d3f3370540700019b0833","198 Fountain Avenue")</f>
        <v>198 Fountain Avenue</v>
      </c>
      <c r="C3721" s="25" t="s">
        <v>370</v>
      </c>
      <c r="D3721" s="26" t="s">
        <v>23</v>
      </c>
      <c r="E3721" s="27" t="str">
        <f>HYPERLINK("https://www.compass.com/building/198-fountain-ave-brooklyn-ny-11208/293533550798487509/","198 Fountain Ave")</f>
        <v>198 Fountain Ave</v>
      </c>
      <c r="F3721" s="25" t="s">
        <v>85</v>
      </c>
      <c r="G3721" s="28">
        <v>449944.0</v>
      </c>
      <c r="H3721" s="28">
        <v>506.0</v>
      </c>
      <c r="I3721" s="28">
        <v>132.0</v>
      </c>
      <c r="J3721" s="28">
        <v>1586.0</v>
      </c>
      <c r="K3721" s="25" t="s">
        <v>97</v>
      </c>
      <c r="L3721" s="26">
        <v>5.0</v>
      </c>
      <c r="M3721" s="26">
        <v>2.0</v>
      </c>
      <c r="N3721" s="26">
        <v>1.0</v>
      </c>
      <c r="O3721" s="30"/>
      <c r="P3721" s="26">
        <v>889.0</v>
      </c>
      <c r="Q3721" s="35">
        <v>366.0</v>
      </c>
      <c r="R3721" s="32">
        <v>45597.0</v>
      </c>
      <c r="S3721" s="32">
        <v>45227.0</v>
      </c>
      <c r="T3721" s="29"/>
      <c r="U3721" s="33"/>
      <c r="V3721" s="1"/>
    </row>
    <row r="3722" ht="24.0" customHeight="1">
      <c r="A3722" s="1"/>
      <c r="B3722" s="24" t="str">
        <f>HYPERLINK("https://www.compass.com/listing/45-08-40th-street-unit-d31-queens-ny-11104/647759392060645401/view?agent_id=610d3f3370540700019b0833","45-08 40th Street, Unit D31")</f>
        <v>45-08 40th Street, Unit D31</v>
      </c>
      <c r="C3722" s="25" t="s">
        <v>370</v>
      </c>
      <c r="D3722" s="26" t="s">
        <v>23</v>
      </c>
      <c r="E3722" s="27" t="str">
        <f>HYPERLINK("https://www.compass.com/building/45-08-40th-st-queens-ny-11104/293533484041916437/","45-08 40th St")</f>
        <v>45-08 40th St</v>
      </c>
      <c r="F3722" s="25" t="s">
        <v>88</v>
      </c>
      <c r="G3722" s="28">
        <v>475000.0</v>
      </c>
      <c r="H3722" s="29"/>
      <c r="I3722" s="28">
        <v>632.0</v>
      </c>
      <c r="J3722" s="28">
        <v>0.0</v>
      </c>
      <c r="K3722" s="25" t="s">
        <v>25</v>
      </c>
      <c r="L3722" s="26">
        <v>3.0</v>
      </c>
      <c r="M3722" s="26">
        <v>2.0</v>
      </c>
      <c r="N3722" s="26">
        <v>1.0</v>
      </c>
      <c r="O3722" s="30"/>
      <c r="P3722" s="30"/>
      <c r="Q3722" s="35">
        <v>109.0</v>
      </c>
      <c r="R3722" s="32">
        <v>44256.0</v>
      </c>
      <c r="S3722" s="32">
        <v>44146.0</v>
      </c>
      <c r="T3722" s="29"/>
      <c r="U3722" s="33"/>
      <c r="V3722" s="1"/>
    </row>
    <row r="3723" ht="24.0" customHeight="1">
      <c r="A3723" s="1"/>
      <c r="B3723" s="24" t="str">
        <f>HYPERLINK("https://www.compass.com/listing/31-74-33rd-street-unit-f-queens-ny-11106/42722455801871857/view?agent_id=610d3f3370540700019b0833","31-74 33rd Street, Unit F")</f>
        <v>31-74 33rd Street, Unit F</v>
      </c>
      <c r="C3723" s="25" t="s">
        <v>364</v>
      </c>
      <c r="D3723" s="26" t="s">
        <v>23</v>
      </c>
      <c r="E3723" s="27" t="str">
        <f>HYPERLINK("https://www.compass.com/building/31-74-33rd-st-queens-ny-11106/293532130523335941/","31-74 33rd St")</f>
        <v>31-74 33rd St</v>
      </c>
      <c r="F3723" s="25" t="s">
        <v>68</v>
      </c>
      <c r="G3723" s="28">
        <v>2500.0</v>
      </c>
      <c r="H3723" s="29"/>
      <c r="I3723" s="28">
        <v>0.0</v>
      </c>
      <c r="J3723" s="29"/>
      <c r="K3723" s="25" t="s">
        <v>28</v>
      </c>
      <c r="L3723" s="26">
        <v>4.0</v>
      </c>
      <c r="M3723" s="26">
        <v>2.0</v>
      </c>
      <c r="N3723" s="26">
        <v>0.0</v>
      </c>
      <c r="O3723" s="26">
        <v>0.0</v>
      </c>
      <c r="P3723" s="30"/>
      <c r="Q3723" s="35">
        <v>10.0</v>
      </c>
      <c r="R3723" s="32">
        <v>44581.0</v>
      </c>
      <c r="S3723" s="32">
        <v>43310.0</v>
      </c>
      <c r="T3723" s="29"/>
      <c r="U3723" s="33"/>
      <c r="V3723" s="1"/>
    </row>
    <row r="3724" ht="24.0" customHeight="1">
      <c r="A3724" s="1"/>
      <c r="B3724" s="24" t="str">
        <f>HYPERLINK("https://www.compass.com/listing/2506-davidson-avenue-unit-6c-bronx-ny-10468/892728962495944281/view?agent_id=610d3f3370540700019b0833","2506 Davidson Avenue, Unit 6C")</f>
        <v>2506 Davidson Avenue, Unit 6C</v>
      </c>
      <c r="C3724" s="25" t="s">
        <v>364</v>
      </c>
      <c r="D3724" s="26" t="s">
        <v>23</v>
      </c>
      <c r="E3724" s="27" t="str">
        <f>HYPERLINK("https://www.compass.com/building/2506-davidson-ave-bronx-ny-10468/293534791515532917/","2506 Davidson Ave")</f>
        <v>2506 Davidson Ave</v>
      </c>
      <c r="F3724" s="25" t="s">
        <v>238</v>
      </c>
      <c r="G3724" s="28">
        <v>319000.0</v>
      </c>
      <c r="H3724" s="28">
        <v>290.0</v>
      </c>
      <c r="I3724" s="28">
        <v>727.0</v>
      </c>
      <c r="J3724" s="28">
        <v>0.0</v>
      </c>
      <c r="K3724" s="25" t="s">
        <v>25</v>
      </c>
      <c r="L3724" s="26">
        <v>4.0</v>
      </c>
      <c r="M3724" s="26">
        <v>2.0</v>
      </c>
      <c r="N3724" s="26">
        <v>1.0</v>
      </c>
      <c r="O3724" s="26">
        <v>0.0</v>
      </c>
      <c r="P3724" s="34">
        <v>1100.0</v>
      </c>
      <c r="Q3724" s="35">
        <v>42.0</v>
      </c>
      <c r="R3724" s="32">
        <v>44550.0</v>
      </c>
      <c r="S3724" s="32">
        <v>44488.0</v>
      </c>
      <c r="T3724" s="29"/>
      <c r="U3724" s="33"/>
      <c r="V3724" s="1"/>
    </row>
    <row r="3725" ht="24.0" customHeight="1">
      <c r="A3725" s="1"/>
      <c r="B3725" s="24" t="str">
        <f>HYPERLINK("https://www.compass.com/listing/35-40-30th-street-unit-1k-queens-ny-11106/29526718330967137/view?agent_id=610d3f3370540700019b0833","35-40 30th Street, Unit 1K")</f>
        <v>35-40 30th Street, Unit 1K</v>
      </c>
      <c r="C3725" s="25" t="s">
        <v>364</v>
      </c>
      <c r="D3725" s="26" t="s">
        <v>23</v>
      </c>
      <c r="E3725" s="27" t="str">
        <f>HYPERLINK("https://www.compass.com/building/santorini-queens-ny/293530103021898453/","Santorini")</f>
        <v>Santorini</v>
      </c>
      <c r="F3725" s="25" t="s">
        <v>68</v>
      </c>
      <c r="G3725" s="28">
        <v>829000.0</v>
      </c>
      <c r="H3725" s="28">
        <v>980.0</v>
      </c>
      <c r="I3725" s="28">
        <v>351.0</v>
      </c>
      <c r="J3725" s="28">
        <v>648.0</v>
      </c>
      <c r="K3725" s="25" t="s">
        <v>28</v>
      </c>
      <c r="L3725" s="26">
        <v>4.0</v>
      </c>
      <c r="M3725" s="26">
        <v>2.0</v>
      </c>
      <c r="N3725" s="26">
        <v>1.0</v>
      </c>
      <c r="O3725" s="26">
        <v>0.0</v>
      </c>
      <c r="P3725" s="26">
        <v>846.0</v>
      </c>
      <c r="Q3725" s="35">
        <v>48.0</v>
      </c>
      <c r="R3725" s="32">
        <v>45636.0</v>
      </c>
      <c r="S3725" s="32">
        <v>42177.0</v>
      </c>
      <c r="T3725" s="29"/>
      <c r="U3725" s="33"/>
      <c r="V3725" s="1"/>
    </row>
    <row r="3726" ht="24.0" customHeight="1">
      <c r="A3726" s="1"/>
      <c r="B3726" s="24" t="str">
        <f>HYPERLINK("https://www.compass.com/listing/43-10-48th-avenue-unit-5b-queens-ny-11377/214305969033768401/view?agent_id=610d3f3370540700019b0833","43-10 48th Avenue, Unit 5B")</f>
        <v>43-10 48th Avenue, Unit 5B</v>
      </c>
      <c r="C3726" s="25" t="s">
        <v>364</v>
      </c>
      <c r="D3726" s="26" t="s">
        <v>23</v>
      </c>
      <c r="E3726" s="27" t="str">
        <f>HYPERLINK("https://www.compass.com/building/43-10-48th-ave-queens-ny-11377/307455527688654101/","43-10 48th Ave")</f>
        <v>43-10 48th Ave</v>
      </c>
      <c r="F3726" s="25" t="s">
        <v>88</v>
      </c>
      <c r="G3726" s="28">
        <v>450000.0</v>
      </c>
      <c r="H3726" s="29"/>
      <c r="I3726" s="28">
        <v>1003.0</v>
      </c>
      <c r="J3726" s="28">
        <v>0.0</v>
      </c>
      <c r="K3726" s="25" t="s">
        <v>25</v>
      </c>
      <c r="L3726" s="26">
        <v>4.0</v>
      </c>
      <c r="M3726" s="26">
        <v>2.0</v>
      </c>
      <c r="N3726" s="26">
        <v>1.0</v>
      </c>
      <c r="O3726" s="26">
        <v>0.0</v>
      </c>
      <c r="P3726" s="30"/>
      <c r="Q3726" s="35">
        <v>89.0</v>
      </c>
      <c r="R3726" s="32">
        <v>43902.0</v>
      </c>
      <c r="S3726" s="32">
        <v>43560.0</v>
      </c>
      <c r="T3726" s="29"/>
      <c r="U3726" s="33"/>
      <c r="V3726" s="1"/>
    </row>
    <row r="3727" ht="24.0" customHeight="1">
      <c r="A3727" s="1"/>
      <c r="B3727" s="24" t="str">
        <f>HYPERLINK("https://www.compass.com/listing/21-41-34th-avenue-unit-8b-queens-ny-11106/608396914026828969/view?agent_id=610d3f3370540700019b0833","21-41 34th Avenue, Unit 8B")</f>
        <v>21-41 34th Avenue, Unit 8B</v>
      </c>
      <c r="C3727" s="25" t="s">
        <v>364</v>
      </c>
      <c r="D3727" s="26" t="s">
        <v>23</v>
      </c>
      <c r="E3727" s="27" t="str">
        <f t="shared" ref="E3727:E3730" si="140">HYPERLINK("https://www.compass.com/building/queensview-queens-ny/307443572420524501/","Queensview ")</f>
        <v>Queensview </v>
      </c>
      <c r="F3727" s="25" t="s">
        <v>68</v>
      </c>
      <c r="G3727" s="28">
        <v>469999.0</v>
      </c>
      <c r="H3727" s="29"/>
      <c r="I3727" s="28">
        <v>704.0</v>
      </c>
      <c r="J3727" s="28">
        <v>0.0</v>
      </c>
      <c r="K3727" s="25" t="s">
        <v>25</v>
      </c>
      <c r="L3727" s="26">
        <v>5.0</v>
      </c>
      <c r="M3727" s="26">
        <v>2.0</v>
      </c>
      <c r="N3727" s="26">
        <v>1.0</v>
      </c>
      <c r="O3727" s="26">
        <v>0.0</v>
      </c>
      <c r="P3727" s="30"/>
      <c r="Q3727" s="35">
        <v>160.0</v>
      </c>
      <c r="R3727" s="32">
        <v>44091.0</v>
      </c>
      <c r="S3727" s="32">
        <v>43836.0</v>
      </c>
      <c r="T3727" s="29"/>
      <c r="U3727" s="33"/>
      <c r="V3727" s="1"/>
    </row>
    <row r="3728" ht="24.0" customHeight="1">
      <c r="A3728" s="1"/>
      <c r="B3728" s="24" t="str">
        <f>HYPERLINK("https://www.compass.com/listing/21-41-34th-avenue-unit-8b-queens-ny-11106/396316106465361601/view?agent_id=610d3f3370540700019b0833","21-41 34th Avenue, Unit 8B")</f>
        <v>21-41 34th Avenue, Unit 8B</v>
      </c>
      <c r="C3728" s="25" t="s">
        <v>370</v>
      </c>
      <c r="D3728" s="26" t="s">
        <v>23</v>
      </c>
      <c r="E3728" s="27" t="str">
        <f t="shared" si="140"/>
        <v>Queensview </v>
      </c>
      <c r="F3728" s="25" t="s">
        <v>68</v>
      </c>
      <c r="G3728" s="28">
        <v>469999.0</v>
      </c>
      <c r="H3728" s="28">
        <v>537.0</v>
      </c>
      <c r="I3728" s="28">
        <v>960.0</v>
      </c>
      <c r="J3728" s="28">
        <v>0.0</v>
      </c>
      <c r="K3728" s="25" t="s">
        <v>25</v>
      </c>
      <c r="L3728" s="26">
        <v>5.0</v>
      </c>
      <c r="M3728" s="26">
        <v>2.0</v>
      </c>
      <c r="N3728" s="26">
        <v>1.0</v>
      </c>
      <c r="O3728" s="26">
        <v>0.0</v>
      </c>
      <c r="P3728" s="26">
        <v>875.0</v>
      </c>
      <c r="Q3728" s="35">
        <v>240.0</v>
      </c>
      <c r="R3728" s="32">
        <v>44133.0</v>
      </c>
      <c r="S3728" s="32">
        <v>43798.0</v>
      </c>
      <c r="T3728" s="29"/>
      <c r="U3728" s="33"/>
      <c r="V3728" s="1"/>
    </row>
    <row r="3729" ht="24.0" customHeight="1">
      <c r="A3729" s="1"/>
      <c r="B3729" s="24" t="str">
        <f>HYPERLINK("https://www.compass.com/listing/21-41-34th-avenue-unit-c4-queens-ny-11106/887637719218141345/view?agent_id=610d3f3370540700019b0833","21-41 34th Avenue, Unit C4")</f>
        <v>21-41 34th Avenue, Unit C4</v>
      </c>
      <c r="C3729" s="25" t="s">
        <v>364</v>
      </c>
      <c r="D3729" s="26" t="s">
        <v>23</v>
      </c>
      <c r="E3729" s="27" t="str">
        <f t="shared" si="140"/>
        <v>Queensview </v>
      </c>
      <c r="F3729" s="25" t="s">
        <v>68</v>
      </c>
      <c r="G3729" s="28">
        <v>459000.0</v>
      </c>
      <c r="H3729" s="28">
        <v>510.0</v>
      </c>
      <c r="I3729" s="28">
        <v>960.0</v>
      </c>
      <c r="J3729" s="28">
        <v>0.0</v>
      </c>
      <c r="K3729" s="25" t="s">
        <v>25</v>
      </c>
      <c r="L3729" s="26">
        <v>5.0</v>
      </c>
      <c r="M3729" s="26">
        <v>2.0</v>
      </c>
      <c r="N3729" s="26">
        <v>1.0</v>
      </c>
      <c r="O3729" s="30"/>
      <c r="P3729" s="26">
        <v>900.0</v>
      </c>
      <c r="Q3729" s="35">
        <v>134.0</v>
      </c>
      <c r="R3729" s="32">
        <v>44613.0</v>
      </c>
      <c r="S3729" s="32">
        <v>44476.0</v>
      </c>
      <c r="T3729" s="29"/>
      <c r="U3729" s="33"/>
      <c r="V3729" s="1"/>
    </row>
    <row r="3730" ht="24.0" customHeight="1">
      <c r="A3730" s="1"/>
      <c r="B3730" s="24" t="str">
        <f>HYPERLINK("https://www.compass.com/listing/21-41-34th-avenue-unit-5d-queens-ny-11106/987744614887977185/view?agent_id=610d3f3370540700019b0833","21-41 34th Avenue, Unit 5D")</f>
        <v>21-41 34th Avenue, Unit 5D</v>
      </c>
      <c r="C3730" s="25" t="s">
        <v>365</v>
      </c>
      <c r="D3730" s="26" t="s">
        <v>23</v>
      </c>
      <c r="E3730" s="27" t="str">
        <f t="shared" si="140"/>
        <v>Queensview </v>
      </c>
      <c r="F3730" s="25" t="s">
        <v>68</v>
      </c>
      <c r="G3730" s="28">
        <v>469000.0</v>
      </c>
      <c r="H3730" s="29"/>
      <c r="I3730" s="28">
        <v>919.0</v>
      </c>
      <c r="J3730" s="28">
        <v>0.0</v>
      </c>
      <c r="K3730" s="25" t="s">
        <v>25</v>
      </c>
      <c r="L3730" s="26">
        <v>5.0</v>
      </c>
      <c r="M3730" s="26">
        <v>2.0</v>
      </c>
      <c r="N3730" s="26">
        <v>1.0</v>
      </c>
      <c r="O3730" s="30"/>
      <c r="P3730" s="30"/>
      <c r="Q3730" s="35">
        <v>16.0</v>
      </c>
      <c r="R3730" s="32">
        <v>44770.0</v>
      </c>
      <c r="S3730" s="32">
        <v>44614.0</v>
      </c>
      <c r="T3730" s="29"/>
      <c r="U3730" s="33"/>
      <c r="V3730" s="1"/>
    </row>
    <row r="3731" ht="24.0" customHeight="1">
      <c r="A3731" s="1"/>
      <c r="B3731" s="24" t="str">
        <f>HYPERLINK("https://www.compass.com/listing/290-west-232nd-street-unit-3a-bronx-ny-10463/1739908884963540625/view?agent_id=610d3f3370540700019b0833","290 West 232nd Street, Unit 3A")</f>
        <v>290 West 232nd Street, Unit 3A</v>
      </c>
      <c r="C3731" s="25" t="s">
        <v>370</v>
      </c>
      <c r="D3731" s="26" t="s">
        <v>23</v>
      </c>
      <c r="E3731" s="27" t="str">
        <f>HYPERLINK("https://www.compass.com/building/290-w-232nd-st-bronx-ny-10463/293529236134776901/","290 W 232nd St")</f>
        <v>290 W 232nd St</v>
      </c>
      <c r="F3731" s="25" t="s">
        <v>268</v>
      </c>
      <c r="G3731" s="28">
        <v>340000.0</v>
      </c>
      <c r="H3731" s="29"/>
      <c r="I3731" s="28">
        <v>864.0</v>
      </c>
      <c r="J3731" s="28">
        <v>0.0</v>
      </c>
      <c r="K3731" s="25" t="s">
        <v>25</v>
      </c>
      <c r="L3731" s="26">
        <v>4.0</v>
      </c>
      <c r="M3731" s="26">
        <v>2.0</v>
      </c>
      <c r="N3731" s="26">
        <v>1.0</v>
      </c>
      <c r="O3731" s="26">
        <v>0.0</v>
      </c>
      <c r="P3731" s="30"/>
      <c r="Q3731" s="31"/>
      <c r="R3731" s="32">
        <v>45716.0</v>
      </c>
      <c r="S3731" s="33"/>
      <c r="T3731" s="29"/>
      <c r="U3731" s="33"/>
      <c r="V3731" s="1"/>
    </row>
    <row r="3732" ht="24.0" customHeight="1">
      <c r="A3732" s="1"/>
      <c r="B3732" s="24" t="str">
        <f>HYPERLINK("https://www.compass.com/listing/33-43-14th-street-unit-2d-queens-ny-11106/337602321638908369/view?agent_id=610d3f3370540700019b0833","33-43 14th Street, Unit 2D")</f>
        <v>33-43 14th Street, Unit 2D</v>
      </c>
      <c r="C3732" s="25" t="s">
        <v>364</v>
      </c>
      <c r="D3732" s="26" t="s">
        <v>23</v>
      </c>
      <c r="E3732" s="27" t="str">
        <f>HYPERLINK("https://www.compass.com/building/north-queensview-queens-ny/293534737299934069/","North QueensView")</f>
        <v>North QueensView</v>
      </c>
      <c r="F3732" s="25" t="s">
        <v>68</v>
      </c>
      <c r="G3732" s="28">
        <v>469000.0</v>
      </c>
      <c r="H3732" s="29"/>
      <c r="I3732" s="28">
        <v>729.0</v>
      </c>
      <c r="J3732" s="28">
        <v>0.0</v>
      </c>
      <c r="K3732" s="25" t="s">
        <v>25</v>
      </c>
      <c r="L3732" s="26">
        <v>5.0</v>
      </c>
      <c r="M3732" s="26">
        <v>2.0</v>
      </c>
      <c r="N3732" s="26">
        <v>1.0</v>
      </c>
      <c r="O3732" s="26">
        <v>0.0</v>
      </c>
      <c r="P3732" s="30"/>
      <c r="Q3732" s="35">
        <v>56.0</v>
      </c>
      <c r="R3732" s="32">
        <v>43781.0</v>
      </c>
      <c r="S3732" s="32">
        <v>43725.0</v>
      </c>
      <c r="T3732" s="29"/>
      <c r="U3732" s="33"/>
      <c r="V3732" s="1"/>
    </row>
    <row r="3733" ht="24.0" customHeight="1">
      <c r="A3733" s="1"/>
      <c r="B3733" s="24" t="str">
        <f>HYPERLINK("https://www.compass.com/listing/33-55-14th-street-unit-15b-queens-ny-11106/1292341171489180161/view?agent_id=610d3f3370540700019b0833","33-55 14th St, Unit 15B")</f>
        <v>33-55 14th St, Unit 15B</v>
      </c>
      <c r="C3733" s="25" t="s">
        <v>370</v>
      </c>
      <c r="D3733" s="26" t="s">
        <v>23</v>
      </c>
      <c r="E3733" s="27" t="str">
        <f>HYPERLINK("https://www.compass.com/building/33-55-14th-st-queens-ny-11106/294841954361536725/","33-55 14th St")</f>
        <v>33-55 14th St</v>
      </c>
      <c r="F3733" s="25" t="s">
        <v>68</v>
      </c>
      <c r="G3733" s="28">
        <v>489000.0</v>
      </c>
      <c r="H3733" s="28">
        <v>565.0</v>
      </c>
      <c r="I3733" s="28">
        <v>0.0</v>
      </c>
      <c r="J3733" s="28">
        <v>0.0</v>
      </c>
      <c r="K3733" s="25" t="s">
        <v>25</v>
      </c>
      <c r="L3733" s="26">
        <v>5.0</v>
      </c>
      <c r="M3733" s="26">
        <v>2.0</v>
      </c>
      <c r="N3733" s="26">
        <v>1.0</v>
      </c>
      <c r="O3733" s="30"/>
      <c r="P3733" s="26">
        <v>865.0</v>
      </c>
      <c r="Q3733" s="35">
        <v>170.0</v>
      </c>
      <c r="R3733" s="32">
        <v>45597.0</v>
      </c>
      <c r="S3733" s="32">
        <v>43157.0</v>
      </c>
      <c r="T3733" s="29"/>
      <c r="U3733" s="33"/>
      <c r="V3733" s="1"/>
    </row>
    <row r="3734" ht="24.0" customHeight="1">
      <c r="A3734" s="1"/>
      <c r="B3734" s="24" t="str">
        <f>HYPERLINK("https://www.compass.com/listing/21-41-34th-avenue-unit-4a-queens-ny-11106/1292165645507969297/view?agent_id=610d3f3370540700019b0833","21-41 34th Ave, Unit 4A")</f>
        <v>21-41 34th Ave, Unit 4A</v>
      </c>
      <c r="C3734" s="25" t="s">
        <v>370</v>
      </c>
      <c r="D3734" s="26" t="s">
        <v>23</v>
      </c>
      <c r="E3734" s="27" t="str">
        <f>HYPERLINK("https://www.compass.com/building/queensview-queens-ny/307443572420524501/","Queensview ")</f>
        <v>Queensview </v>
      </c>
      <c r="F3734" s="25" t="s">
        <v>68</v>
      </c>
      <c r="G3734" s="28">
        <v>489000.0</v>
      </c>
      <c r="H3734" s="29"/>
      <c r="I3734" s="28">
        <v>0.0</v>
      </c>
      <c r="J3734" s="28">
        <v>0.0</v>
      </c>
      <c r="K3734" s="25" t="s">
        <v>25</v>
      </c>
      <c r="L3734" s="26">
        <v>4.0</v>
      </c>
      <c r="M3734" s="26">
        <v>2.0</v>
      </c>
      <c r="N3734" s="26">
        <v>1.0</v>
      </c>
      <c r="O3734" s="30"/>
      <c r="P3734" s="30"/>
      <c r="Q3734" s="31"/>
      <c r="R3734" s="32">
        <v>45027.0</v>
      </c>
      <c r="S3734" s="33"/>
      <c r="T3734" s="29"/>
      <c r="U3734" s="33"/>
      <c r="V3734" s="1"/>
    </row>
    <row r="3735" ht="24.0" customHeight="1">
      <c r="A3735" s="1"/>
      <c r="B3735" s="24" t="str">
        <f>HYPERLINK("https://www.compass.com/listing/21-15-34th-avenue-unit-15a-queens-ny-11106/548526140066203825/view?agent_id=610d3f3370540700019b0833","21-15 34th Ave, Unit 15A")</f>
        <v>21-15 34th Ave, Unit 15A</v>
      </c>
      <c r="C3735" s="25" t="s">
        <v>364</v>
      </c>
      <c r="D3735" s="26" t="s">
        <v>23</v>
      </c>
      <c r="E3735" s="27" t="str">
        <f>HYPERLINK("https://www.compass.com/building/queensview-queens-ny/307447090955105157/","Queensview")</f>
        <v>Queensview</v>
      </c>
      <c r="F3735" s="25" t="s">
        <v>68</v>
      </c>
      <c r="G3735" s="28">
        <v>499000.0</v>
      </c>
      <c r="H3735" s="29"/>
      <c r="I3735" s="28">
        <v>904.0</v>
      </c>
      <c r="J3735" s="28">
        <v>0.0</v>
      </c>
      <c r="K3735" s="25" t="s">
        <v>25</v>
      </c>
      <c r="L3735" s="26">
        <v>5.0</v>
      </c>
      <c r="M3735" s="26">
        <v>2.0</v>
      </c>
      <c r="N3735" s="26">
        <v>1.0</v>
      </c>
      <c r="O3735" s="30"/>
      <c r="P3735" s="30"/>
      <c r="Q3735" s="35">
        <v>10.0</v>
      </c>
      <c r="R3735" s="32">
        <v>44022.0</v>
      </c>
      <c r="S3735" s="32">
        <v>44012.0</v>
      </c>
      <c r="T3735" s="29"/>
      <c r="U3735" s="33"/>
      <c r="V3735" s="1"/>
    </row>
    <row r="3736" ht="24.0" customHeight="1">
      <c r="A3736" s="1"/>
      <c r="B3736" s="24" t="str">
        <f>HYPERLINK("https://www.compass.com/listing/21-41-34th-avenue-unit-4c-queens-ny-11106/746414517936151281/view?agent_id=610d3f3370540700019b0833","21-41 34th Ave, Unit 4C")</f>
        <v>21-41 34th Ave, Unit 4C</v>
      </c>
      <c r="C3736" s="25" t="s">
        <v>364</v>
      </c>
      <c r="D3736" s="26" t="s">
        <v>23</v>
      </c>
      <c r="E3736" s="27" t="str">
        <f>HYPERLINK("https://www.compass.com/building/queensview-queens-ny/307443572420524501/","Queensview ")</f>
        <v>Queensview </v>
      </c>
      <c r="F3736" s="25" t="s">
        <v>68</v>
      </c>
      <c r="G3736" s="28">
        <v>479000.0</v>
      </c>
      <c r="H3736" s="28">
        <v>547.0</v>
      </c>
      <c r="I3736" s="28">
        <v>1029.0</v>
      </c>
      <c r="J3736" s="28">
        <v>0.0</v>
      </c>
      <c r="K3736" s="25" t="s">
        <v>25</v>
      </c>
      <c r="L3736" s="26">
        <v>5.0</v>
      </c>
      <c r="M3736" s="26">
        <v>2.0</v>
      </c>
      <c r="N3736" s="26">
        <v>1.0</v>
      </c>
      <c r="O3736" s="26">
        <v>0.0</v>
      </c>
      <c r="P3736" s="26">
        <v>875.0</v>
      </c>
      <c r="Q3736" s="35">
        <v>194.0</v>
      </c>
      <c r="R3736" s="32">
        <v>44476.0</v>
      </c>
      <c r="S3736" s="32">
        <v>44281.0</v>
      </c>
      <c r="T3736" s="29"/>
      <c r="U3736" s="33"/>
      <c r="V3736" s="1"/>
    </row>
    <row r="3737" ht="24.0" customHeight="1">
      <c r="A3737" s="1"/>
      <c r="B3737" s="24" t="str">
        <f>HYPERLINK("https://www.compass.com/listing/611-west-239th-street-unit-3c-bronx-ny-10463/919054899257666409/view?agent_id=610d3f3370540700019b0833","611 W 239th St, Unit 3C")</f>
        <v>611 W 239th St, Unit 3C</v>
      </c>
      <c r="C3737" s="25" t="s">
        <v>364</v>
      </c>
      <c r="D3737" s="26" t="s">
        <v>23</v>
      </c>
      <c r="E3737" s="26" t="s">
        <v>395</v>
      </c>
      <c r="F3737" s="25" t="s">
        <v>76</v>
      </c>
      <c r="G3737" s="28">
        <v>269000.0</v>
      </c>
      <c r="H3737" s="28">
        <v>245.0</v>
      </c>
      <c r="I3737" s="28">
        <v>787.0</v>
      </c>
      <c r="J3737" s="29"/>
      <c r="K3737" s="25" t="s">
        <v>25</v>
      </c>
      <c r="L3737" s="26">
        <v>4.0</v>
      </c>
      <c r="M3737" s="26">
        <v>2.0</v>
      </c>
      <c r="N3737" s="26">
        <v>1.0</v>
      </c>
      <c r="O3737" s="30"/>
      <c r="P3737" s="34">
        <v>1100.0</v>
      </c>
      <c r="Q3737" s="35">
        <v>138.0</v>
      </c>
      <c r="R3737" s="32">
        <v>44581.0</v>
      </c>
      <c r="S3737" s="32">
        <v>41920.0</v>
      </c>
      <c r="T3737" s="29"/>
      <c r="U3737" s="33"/>
      <c r="V3737" s="1"/>
    </row>
    <row r="3738" ht="24.0" customHeight="1">
      <c r="A3738" s="1"/>
      <c r="B3738" s="24" t="str">
        <f>HYPERLINK("https://www.compass.com/listing/33-43-14th-street-unit-2d-queens-ny-11106/1728690554011740369/view?agent_id=610d3f3370540700019b0833","33-43 14th St, Unit 2D")</f>
        <v>33-43 14th St, Unit 2D</v>
      </c>
      <c r="C3738" s="25" t="s">
        <v>370</v>
      </c>
      <c r="D3738" s="26" t="s">
        <v>23</v>
      </c>
      <c r="E3738" s="27" t="str">
        <f>HYPERLINK("https://www.compass.com/building/north-queensview-queens-ny/293534737299934069/","North QueensView")</f>
        <v>North QueensView</v>
      </c>
      <c r="F3738" s="25" t="s">
        <v>68</v>
      </c>
      <c r="G3738" s="28">
        <v>479000.0</v>
      </c>
      <c r="H3738" s="29"/>
      <c r="I3738" s="28">
        <v>0.0</v>
      </c>
      <c r="J3738" s="28">
        <v>0.0</v>
      </c>
      <c r="K3738" s="25" t="s">
        <v>25</v>
      </c>
      <c r="L3738" s="26">
        <v>5.0</v>
      </c>
      <c r="M3738" s="26">
        <v>2.0</v>
      </c>
      <c r="N3738" s="26">
        <v>1.0</v>
      </c>
      <c r="O3738" s="30"/>
      <c r="P3738" s="30"/>
      <c r="Q3738" s="35">
        <v>33.0</v>
      </c>
      <c r="R3738" s="32">
        <v>45636.0</v>
      </c>
      <c r="S3738" s="32">
        <v>43320.0</v>
      </c>
      <c r="T3738" s="29"/>
      <c r="U3738" s="33"/>
      <c r="V3738" s="1"/>
    </row>
    <row r="3739" ht="24.0" customHeight="1">
      <c r="A3739" s="1"/>
      <c r="B3739" s="24" t="str">
        <f>HYPERLINK("https://www.compass.com/listing/33-65-14th-street-unit-3c-queens-ny-11106/1730519840826715625/view?agent_id=610d3f3370540700019b0833","33-65 14th St, Unit 3C")</f>
        <v>33-65 14th St, Unit 3C</v>
      </c>
      <c r="C3739" s="25" t="s">
        <v>370</v>
      </c>
      <c r="D3739" s="26" t="s">
        <v>23</v>
      </c>
      <c r="E3739" s="27" t="str">
        <f t="shared" ref="E3739:E3740" si="141">HYPERLINK("https://www.compass.com/building/33-65-14th-st-queens-ny-11106/294845868922140549/","33-65 14th St")</f>
        <v>33-65 14th St</v>
      </c>
      <c r="F3739" s="25" t="s">
        <v>68</v>
      </c>
      <c r="G3739" s="28">
        <v>299000.0</v>
      </c>
      <c r="H3739" s="28">
        <v>342.0</v>
      </c>
      <c r="I3739" s="28">
        <v>0.0</v>
      </c>
      <c r="J3739" s="28">
        <v>0.0</v>
      </c>
      <c r="K3739" s="25" t="s">
        <v>25</v>
      </c>
      <c r="L3739" s="26">
        <v>5.0</v>
      </c>
      <c r="M3739" s="26">
        <v>2.0</v>
      </c>
      <c r="N3739" s="26">
        <v>1.0</v>
      </c>
      <c r="O3739" s="30"/>
      <c r="P3739" s="26">
        <v>875.0</v>
      </c>
      <c r="Q3739" s="35">
        <v>163.0</v>
      </c>
      <c r="R3739" s="32">
        <v>45597.0</v>
      </c>
      <c r="S3739" s="32">
        <v>41079.0</v>
      </c>
      <c r="T3739" s="29"/>
      <c r="U3739" s="33"/>
      <c r="V3739" s="1"/>
    </row>
    <row r="3740" ht="24.0" customHeight="1">
      <c r="A3740" s="1"/>
      <c r="B3740" s="24" t="str">
        <f>HYPERLINK("https://www.compass.com/listing/33-65-14th-street-unit-2d-queens-ny-11106/160616325910102673/view?agent_id=610d3f3370540700019b0833","33-65 14th St, Unit 2D")</f>
        <v>33-65 14th St, Unit 2D</v>
      </c>
      <c r="C3740" s="25" t="s">
        <v>364</v>
      </c>
      <c r="D3740" s="26" t="s">
        <v>23</v>
      </c>
      <c r="E3740" s="27" t="str">
        <f t="shared" si="141"/>
        <v>33-65 14th St</v>
      </c>
      <c r="F3740" s="25" t="s">
        <v>68</v>
      </c>
      <c r="G3740" s="28">
        <v>499000.0</v>
      </c>
      <c r="H3740" s="29"/>
      <c r="I3740" s="28">
        <v>731.0</v>
      </c>
      <c r="J3740" s="28">
        <v>0.0</v>
      </c>
      <c r="K3740" s="25" t="s">
        <v>25</v>
      </c>
      <c r="L3740" s="26">
        <v>4.0</v>
      </c>
      <c r="M3740" s="26">
        <v>2.0</v>
      </c>
      <c r="N3740" s="26">
        <v>1.0</v>
      </c>
      <c r="O3740" s="26">
        <v>0.0</v>
      </c>
      <c r="P3740" s="30"/>
      <c r="Q3740" s="35">
        <v>8.0</v>
      </c>
      <c r="R3740" s="32">
        <v>43481.0</v>
      </c>
      <c r="S3740" s="32">
        <v>43473.0</v>
      </c>
      <c r="T3740" s="29"/>
      <c r="U3740" s="33"/>
      <c r="V3740" s="1"/>
    </row>
    <row r="3741" ht="24.0" customHeight="1">
      <c r="A3741" s="1"/>
      <c r="B3741" s="24" t="str">
        <f>HYPERLINK("https://www.compass.com/listing/33-43-14th-street-unit-2d-queens-ny-11106/70966625611864353/view?agent_id=610d3f3370540700019b0833","33-43 14th St, Unit 2D")</f>
        <v>33-43 14th St, Unit 2D</v>
      </c>
      <c r="C3741" s="25" t="s">
        <v>370</v>
      </c>
      <c r="D3741" s="26" t="s">
        <v>23</v>
      </c>
      <c r="E3741" s="27" t="str">
        <f>HYPERLINK("https://www.compass.com/building/north-queensview-queens-ny/293534737299934069/","North QueensView")</f>
        <v>North QueensView</v>
      </c>
      <c r="F3741" s="25" t="s">
        <v>68</v>
      </c>
      <c r="G3741" s="28">
        <v>479000.0</v>
      </c>
      <c r="H3741" s="28">
        <v>554.0</v>
      </c>
      <c r="I3741" s="28">
        <v>0.0</v>
      </c>
      <c r="J3741" s="28">
        <v>0.0</v>
      </c>
      <c r="K3741" s="25" t="s">
        <v>25</v>
      </c>
      <c r="L3741" s="26">
        <v>5.0</v>
      </c>
      <c r="M3741" s="26">
        <v>2.0</v>
      </c>
      <c r="N3741" s="26">
        <v>1.0</v>
      </c>
      <c r="O3741" s="30"/>
      <c r="P3741" s="26">
        <v>865.0</v>
      </c>
      <c r="Q3741" s="35">
        <v>175.0</v>
      </c>
      <c r="R3741" s="32">
        <v>45636.0</v>
      </c>
      <c r="S3741" s="32">
        <v>43168.0</v>
      </c>
      <c r="T3741" s="29"/>
      <c r="U3741" s="33"/>
      <c r="V3741" s="1"/>
    </row>
    <row r="3742" ht="24.0" customHeight="1">
      <c r="A3742" s="1"/>
      <c r="B3742" s="24" t="str">
        <f>HYPERLINK("https://www.compass.com/listing/21-41-34th-avenue-unit-4a-queens-ny-11106/1729959940618141193/view?agent_id=610d3f3370540700019b0833","21-41 34th Ave, Unit 4A")</f>
        <v>21-41 34th Ave, Unit 4A</v>
      </c>
      <c r="C3742" s="25" t="s">
        <v>370</v>
      </c>
      <c r="D3742" s="26" t="s">
        <v>23</v>
      </c>
      <c r="E3742" s="27" t="str">
        <f>HYPERLINK("https://www.compass.com/building/queensview-queens-ny/307443572420524501/","Queensview ")</f>
        <v>Queensview </v>
      </c>
      <c r="F3742" s="25" t="s">
        <v>68</v>
      </c>
      <c r="G3742" s="28">
        <v>489000.0</v>
      </c>
      <c r="H3742" s="29"/>
      <c r="I3742" s="28">
        <v>0.0</v>
      </c>
      <c r="J3742" s="28">
        <v>0.0</v>
      </c>
      <c r="K3742" s="25" t="s">
        <v>25</v>
      </c>
      <c r="L3742" s="26">
        <v>4.0</v>
      </c>
      <c r="M3742" s="26">
        <v>2.0</v>
      </c>
      <c r="N3742" s="26">
        <v>1.0</v>
      </c>
      <c r="O3742" s="30"/>
      <c r="P3742" s="30"/>
      <c r="Q3742" s="31"/>
      <c r="R3742" s="32">
        <v>45597.0</v>
      </c>
      <c r="S3742" s="33"/>
      <c r="T3742" s="29"/>
      <c r="U3742" s="33"/>
      <c r="V3742" s="1"/>
    </row>
    <row r="3743" ht="24.0" customHeight="1">
      <c r="A3743" s="1"/>
      <c r="B3743" s="24" t="str">
        <f>HYPERLINK("https://www.compass.com/listing/33-64-21st-street-unit-2d-queens-ny-11106/296979788510181425/view?agent_id=610d3f3370540700019b0833","33-64 21st St, Unit 2D")</f>
        <v>33-64 21st St, Unit 2D</v>
      </c>
      <c r="C3743" s="25" t="s">
        <v>364</v>
      </c>
      <c r="D3743" s="26" t="s">
        <v>23</v>
      </c>
      <c r="E3743" s="27" t="str">
        <f>HYPERLINK("https://www.compass.com/building/north-queensview-houses-queens-ny/307440247696477045/","North Queensview Houses")</f>
        <v>North Queensview Houses</v>
      </c>
      <c r="F3743" s="25" t="s">
        <v>68</v>
      </c>
      <c r="G3743" s="28">
        <v>475000.0</v>
      </c>
      <c r="H3743" s="29"/>
      <c r="I3743" s="28">
        <v>0.0</v>
      </c>
      <c r="J3743" s="28">
        <v>0.0</v>
      </c>
      <c r="K3743" s="25" t="s">
        <v>25</v>
      </c>
      <c r="L3743" s="26">
        <v>4.0</v>
      </c>
      <c r="M3743" s="26">
        <v>2.0</v>
      </c>
      <c r="N3743" s="26">
        <v>1.0</v>
      </c>
      <c r="O3743" s="30"/>
      <c r="P3743" s="30"/>
      <c r="Q3743" s="31"/>
      <c r="R3743" s="32">
        <v>43661.0</v>
      </c>
      <c r="S3743" s="33"/>
      <c r="T3743" s="29"/>
      <c r="U3743" s="33"/>
      <c r="V3743" s="1"/>
    </row>
    <row r="3744" ht="24.0" customHeight="1">
      <c r="A3744" s="1"/>
      <c r="B3744" s="24" t="str">
        <f>HYPERLINK("https://www.compass.com/listing/21-10-33rd-road-unit-8a-queens-ny-11106/1642972405135434289/view?agent_id=610d3f3370540700019b0833","21-10 33rd Rd, Unit 8A")</f>
        <v>21-10 33rd Rd, Unit 8A</v>
      </c>
      <c r="C3744" s="25" t="s">
        <v>370</v>
      </c>
      <c r="D3744" s="26" t="s">
        <v>23</v>
      </c>
      <c r="E3744" s="27" t="str">
        <f>HYPERLINK("https://www.compass.com/building/queensview-queens-ny/307460047697087925/","Queensview")</f>
        <v>Queensview</v>
      </c>
      <c r="F3744" s="25" t="s">
        <v>68</v>
      </c>
      <c r="G3744" s="28">
        <v>539999.0</v>
      </c>
      <c r="H3744" s="28">
        <v>600.0</v>
      </c>
      <c r="I3744" s="28">
        <v>0.0</v>
      </c>
      <c r="J3744" s="28">
        <v>0.0</v>
      </c>
      <c r="K3744" s="25" t="s">
        <v>25</v>
      </c>
      <c r="L3744" s="26">
        <v>4.0</v>
      </c>
      <c r="M3744" s="26">
        <v>2.0</v>
      </c>
      <c r="N3744" s="26">
        <v>1.0</v>
      </c>
      <c r="O3744" s="30"/>
      <c r="P3744" s="26">
        <v>900.0</v>
      </c>
      <c r="Q3744" s="35">
        <v>0.0</v>
      </c>
      <c r="R3744" s="32">
        <v>45626.0</v>
      </c>
      <c r="S3744" s="32">
        <v>45518.0</v>
      </c>
      <c r="T3744" s="29"/>
      <c r="U3744" s="33"/>
      <c r="V3744" s="1"/>
    </row>
    <row r="3745" ht="24.0" customHeight="1">
      <c r="A3745" s="1"/>
      <c r="B3745" s="24" t="str">
        <f>HYPERLINK("https://www.compass.com/listing/601-kappock-street-unit-2e-bronx-ny-10463/1096308112496015801/view?agent_id=610d3f3370540700019b0833","601 Kappock St, Unit 2E")</f>
        <v>601 Kappock St, Unit 2E</v>
      </c>
      <c r="C3745" s="25" t="s">
        <v>364</v>
      </c>
      <c r="D3745" s="26" t="s">
        <v>23</v>
      </c>
      <c r="E3745" s="27" t="str">
        <f>HYPERLINK("https://www.compass.com/building/the-presidente-bronx-ny/293530709409189685/","The Presidente")</f>
        <v>The Presidente</v>
      </c>
      <c r="F3745" s="25" t="s">
        <v>89</v>
      </c>
      <c r="G3745" s="28">
        <v>283000.0</v>
      </c>
      <c r="H3745" s="29"/>
      <c r="I3745" s="28">
        <v>1019.0</v>
      </c>
      <c r="J3745" s="28">
        <v>0.0</v>
      </c>
      <c r="K3745" s="25" t="s">
        <v>25</v>
      </c>
      <c r="L3745" s="26">
        <v>3.0</v>
      </c>
      <c r="M3745" s="26">
        <v>2.0</v>
      </c>
      <c r="N3745" s="26">
        <v>1.0</v>
      </c>
      <c r="O3745" s="26">
        <v>0.0</v>
      </c>
      <c r="P3745" s="30"/>
      <c r="Q3745" s="35">
        <v>179.0</v>
      </c>
      <c r="R3745" s="32">
        <v>44954.0</v>
      </c>
      <c r="S3745" s="32">
        <v>44764.0</v>
      </c>
      <c r="T3745" s="29"/>
      <c r="U3745" s="33"/>
      <c r="V3745" s="1"/>
    </row>
    <row r="3746" ht="24.0" customHeight="1">
      <c r="A3746" s="1"/>
      <c r="B3746" s="24" t="str">
        <f>HYPERLINK("https://www.compass.com/listing/35-44-75th-street-unit-2d-queens-ny-11372/712281907722161929/view?agent_id=610d3f3370540700019b0833","35-44 75th St, Unit 2D")</f>
        <v>35-44 75th St, Unit 2D</v>
      </c>
      <c r="C3746" s="25" t="s">
        <v>365</v>
      </c>
      <c r="D3746" s="26" t="s">
        <v>23</v>
      </c>
      <c r="E3746" s="27" t="str">
        <f>HYPERLINK("https://www.compass.com/building/35-44-75th-st-queens-ny-11372/294843122215201141/","35-44 75th St")</f>
        <v>35-44 75th St</v>
      </c>
      <c r="F3746" s="25" t="s">
        <v>33</v>
      </c>
      <c r="G3746" s="28">
        <v>455000.0</v>
      </c>
      <c r="H3746" s="29"/>
      <c r="I3746" s="28">
        <v>882.0</v>
      </c>
      <c r="J3746" s="28">
        <v>0.0</v>
      </c>
      <c r="K3746" s="25" t="s">
        <v>25</v>
      </c>
      <c r="L3746" s="26">
        <v>4.0</v>
      </c>
      <c r="M3746" s="26">
        <v>2.0</v>
      </c>
      <c r="N3746" s="26">
        <v>1.0</v>
      </c>
      <c r="O3746" s="26">
        <v>0.0</v>
      </c>
      <c r="P3746" s="30"/>
      <c r="Q3746" s="35">
        <v>250.0</v>
      </c>
      <c r="R3746" s="32">
        <v>44488.0</v>
      </c>
      <c r="S3746" s="32">
        <v>44237.0</v>
      </c>
      <c r="T3746" s="29"/>
      <c r="U3746" s="33"/>
      <c r="V3746" s="1"/>
    </row>
    <row r="3747" ht="24.0" customHeight="1">
      <c r="A3747" s="1"/>
      <c r="B3747" s="24" t="str">
        <f>HYPERLINK("https://www.compass.com/listing/33-43-14th-street-unit-7c-queens-ny-11106/1292129446256571585/view?agent_id=610d3f3370540700019b0833","33-43 14th St, Unit 7C")</f>
        <v>33-43 14th St, Unit 7C</v>
      </c>
      <c r="C3747" s="25" t="s">
        <v>364</v>
      </c>
      <c r="D3747" s="26" t="s">
        <v>23</v>
      </c>
      <c r="E3747" s="27" t="str">
        <f>HYPERLINK("https://www.compass.com/building/north-queensview-queens-ny/293534737299934069/","North QueensView")</f>
        <v>North QueensView</v>
      </c>
      <c r="F3747" s="25" t="s">
        <v>68</v>
      </c>
      <c r="G3747" s="28">
        <v>525000.0</v>
      </c>
      <c r="H3747" s="28">
        <v>600.0</v>
      </c>
      <c r="I3747" s="28">
        <v>686.0</v>
      </c>
      <c r="J3747" s="29"/>
      <c r="K3747" s="25" t="s">
        <v>25</v>
      </c>
      <c r="L3747" s="26">
        <v>5.0</v>
      </c>
      <c r="M3747" s="26">
        <v>2.0</v>
      </c>
      <c r="N3747" s="26">
        <v>1.0</v>
      </c>
      <c r="O3747" s="30"/>
      <c r="P3747" s="26">
        <v>875.0</v>
      </c>
      <c r="Q3747" s="35">
        <v>4.0</v>
      </c>
      <c r="R3747" s="32">
        <v>43686.0</v>
      </c>
      <c r="S3747" s="32">
        <v>43315.0</v>
      </c>
      <c r="T3747" s="29"/>
      <c r="U3747" s="33"/>
      <c r="V3747" s="1"/>
    </row>
    <row r="3748" ht="24.0" customHeight="1">
      <c r="A3748" s="1"/>
      <c r="B3748" s="24" t="str">
        <f>HYPERLINK("https://www.compass.com/listing/34-51-82nd-street-unit-51-queens-ny-11372/1405383421298254385/view?agent_id=610d3f3370540700019b0833","34-51 82nd St, Unit 51")</f>
        <v>34-51 82nd St, Unit 51</v>
      </c>
      <c r="C3748" s="25" t="s">
        <v>370</v>
      </c>
      <c r="D3748" s="26" t="s">
        <v>23</v>
      </c>
      <c r="E3748" s="27" t="str">
        <f>HYPERLINK("https://www.compass.com/building/34-51-82nd-st-queens-ny-11372/293534828576416533/","34-51 82nd St")</f>
        <v>34-51 82nd St</v>
      </c>
      <c r="F3748" s="25" t="s">
        <v>33</v>
      </c>
      <c r="G3748" s="28">
        <v>399998.0</v>
      </c>
      <c r="H3748" s="29"/>
      <c r="I3748" s="28">
        <v>0.0</v>
      </c>
      <c r="J3748" s="28">
        <v>0.0</v>
      </c>
      <c r="K3748" s="25" t="s">
        <v>25</v>
      </c>
      <c r="L3748" s="26">
        <v>5.0</v>
      </c>
      <c r="M3748" s="26">
        <v>2.0</v>
      </c>
      <c r="N3748" s="26">
        <v>1.0</v>
      </c>
      <c r="O3748" s="30"/>
      <c r="P3748" s="30"/>
      <c r="Q3748" s="35">
        <v>183.0</v>
      </c>
      <c r="R3748" s="32">
        <v>45597.0</v>
      </c>
      <c r="S3748" s="32">
        <v>45199.0</v>
      </c>
      <c r="T3748" s="29"/>
      <c r="U3748" s="33"/>
      <c r="V3748" s="1"/>
    </row>
    <row r="3749" ht="24.0" customHeight="1">
      <c r="A3749" s="1"/>
      <c r="B3749" s="24" t="str">
        <f>HYPERLINK("https://www.compass.com/listing/34-41-78th-street-unit-2a-queens-ny-11372/1551419584433191113/view?agent_id=610d3f3370540700019b0833","34-41 78th St, Unit 2A")</f>
        <v>34-41 78th St, Unit 2A</v>
      </c>
      <c r="C3749" s="25" t="s">
        <v>365</v>
      </c>
      <c r="D3749" s="26" t="s">
        <v>23</v>
      </c>
      <c r="E3749" s="27" t="str">
        <f>HYPERLINK("https://www.compass.com/building/34-41-78th-st-queens-ny-11372/293528184429766773/","34-41 78th St")</f>
        <v>34-41 78th St</v>
      </c>
      <c r="F3749" s="25" t="s">
        <v>33</v>
      </c>
      <c r="G3749" s="28">
        <v>499000.0</v>
      </c>
      <c r="H3749" s="29"/>
      <c r="I3749" s="28">
        <v>1233.0</v>
      </c>
      <c r="J3749" s="28">
        <v>0.0</v>
      </c>
      <c r="K3749" s="25" t="s">
        <v>25</v>
      </c>
      <c r="L3749" s="26">
        <v>4.0</v>
      </c>
      <c r="M3749" s="26">
        <v>2.0</v>
      </c>
      <c r="N3749" s="26">
        <v>1.0</v>
      </c>
      <c r="O3749" s="30"/>
      <c r="P3749" s="30"/>
      <c r="Q3749" s="35">
        <v>172.0</v>
      </c>
      <c r="R3749" s="32">
        <v>45608.0</v>
      </c>
      <c r="S3749" s="32">
        <v>45392.0</v>
      </c>
      <c r="T3749" s="29"/>
      <c r="U3749" s="33"/>
      <c r="V3749" s="1"/>
    </row>
    <row r="3750" ht="24.0" customHeight="1">
      <c r="A3750" s="1"/>
      <c r="B3750" s="24" t="str">
        <f>HYPERLINK("https://www.compass.com/listing/4012-7th-avenue-unit-2-brooklyn-ny-11232/654374843895801049/view?agent_id=610d3f3370540700019b0833","4012 7th Ave, Unit 2")</f>
        <v>4012 7th Ave, Unit 2</v>
      </c>
      <c r="C3750" s="25" t="s">
        <v>364</v>
      </c>
      <c r="D3750" s="26" t="s">
        <v>23</v>
      </c>
      <c r="E3750" s="27" t="str">
        <f>HYPERLINK("https://www.compass.com/building/4012-7th-ave-brooklyn-ny-11232/307454432421642293/","4012 7th Ave")</f>
        <v>4012 7th Ave</v>
      </c>
      <c r="F3750" s="25" t="s">
        <v>128</v>
      </c>
      <c r="G3750" s="28">
        <v>600000.0</v>
      </c>
      <c r="H3750" s="28">
        <v>750.0</v>
      </c>
      <c r="I3750" s="28">
        <v>775.0</v>
      </c>
      <c r="J3750" s="28">
        <v>0.0</v>
      </c>
      <c r="K3750" s="25" t="s">
        <v>25</v>
      </c>
      <c r="L3750" s="26">
        <v>6.0</v>
      </c>
      <c r="M3750" s="26">
        <v>2.0</v>
      </c>
      <c r="N3750" s="26">
        <v>1.0</v>
      </c>
      <c r="O3750" s="26">
        <v>0.0</v>
      </c>
      <c r="P3750" s="26">
        <v>800.0</v>
      </c>
      <c r="Q3750" s="35">
        <v>46.0</v>
      </c>
      <c r="R3750" s="32">
        <v>44397.0</v>
      </c>
      <c r="S3750" s="32">
        <v>44346.0</v>
      </c>
      <c r="T3750" s="29"/>
      <c r="U3750" s="33"/>
      <c r="V3750" s="1"/>
    </row>
    <row r="3751" ht="24.0" customHeight="1">
      <c r="A3751" s="1"/>
      <c r="B3751" s="24" t="str">
        <f>HYPERLINK("https://www.compass.com/listing/400-cozine-avenue-unit-7j-brooklyn-ny-11207/244187966749124321/view?agent_id=610d3f3370540700019b0833","400 Cozine Ave, Unit 7J")</f>
        <v>400 Cozine Ave, Unit 7J</v>
      </c>
      <c r="C3751" s="25" t="s">
        <v>364</v>
      </c>
      <c r="D3751" s="26" t="s">
        <v>23</v>
      </c>
      <c r="E3751" s="27" t="str">
        <f>HYPERLINK("https://www.compass.com/building/400-cozine-ave-brooklyn-ny-11207/293531921688859445/","400 Cozine Ave")</f>
        <v>400 Cozine Ave</v>
      </c>
      <c r="F3751" s="25" t="s">
        <v>85</v>
      </c>
      <c r="G3751" s="28">
        <v>266150.0</v>
      </c>
      <c r="H3751" s="28">
        <v>290.0</v>
      </c>
      <c r="I3751" s="28">
        <v>662.0</v>
      </c>
      <c r="J3751" s="28">
        <v>1344.0</v>
      </c>
      <c r="K3751" s="25" t="s">
        <v>28</v>
      </c>
      <c r="L3751" s="26">
        <v>5.0</v>
      </c>
      <c r="M3751" s="26">
        <v>2.0</v>
      </c>
      <c r="N3751" s="26">
        <v>0.0</v>
      </c>
      <c r="O3751" s="26">
        <v>0.0</v>
      </c>
      <c r="P3751" s="26">
        <v>919.0</v>
      </c>
      <c r="Q3751" s="35">
        <v>1560.0</v>
      </c>
      <c r="R3751" s="32">
        <v>44581.0</v>
      </c>
      <c r="S3751" s="32">
        <v>41375.0</v>
      </c>
      <c r="T3751" s="29"/>
      <c r="U3751" s="33"/>
      <c r="V3751" s="1"/>
    </row>
    <row r="3752" ht="24.0" customHeight="1">
      <c r="A3752" s="1"/>
      <c r="B3752" s="24" t="str">
        <f>HYPERLINK("https://www.compass.com/listing/33-21-82nd-street-unit-42-queens-ny-11372/396327136830309297/view?agent_id=610d3f3370540700019b0833","33-21 82nd St, Unit 42")</f>
        <v>33-21 82nd St, Unit 42</v>
      </c>
      <c r="C3752" s="25" t="s">
        <v>370</v>
      </c>
      <c r="D3752" s="26" t="s">
        <v>23</v>
      </c>
      <c r="E3752" s="27" t="str">
        <f>HYPERLINK("https://www.compass.com/building/laurel-court-queens-ny/293417631082448517/","Laurel Court")</f>
        <v>Laurel Court</v>
      </c>
      <c r="F3752" s="25" t="s">
        <v>33</v>
      </c>
      <c r="G3752" s="28">
        <v>489888.0</v>
      </c>
      <c r="H3752" s="28">
        <v>516.0</v>
      </c>
      <c r="I3752" s="28">
        <v>596.0</v>
      </c>
      <c r="J3752" s="28">
        <v>0.0</v>
      </c>
      <c r="K3752" s="25" t="s">
        <v>25</v>
      </c>
      <c r="L3752" s="26">
        <v>6.0</v>
      </c>
      <c r="M3752" s="26">
        <v>2.0</v>
      </c>
      <c r="N3752" s="26">
        <v>1.0</v>
      </c>
      <c r="O3752" s="26">
        <v>0.0</v>
      </c>
      <c r="P3752" s="26">
        <v>950.0</v>
      </c>
      <c r="Q3752" s="35">
        <v>197.0</v>
      </c>
      <c r="R3752" s="32">
        <v>44090.0</v>
      </c>
      <c r="S3752" s="32">
        <v>43798.0</v>
      </c>
      <c r="T3752" s="29"/>
      <c r="U3752" s="33"/>
      <c r="V3752" s="1"/>
    </row>
    <row r="3753" ht="24.0" customHeight="1">
      <c r="A3753" s="1"/>
      <c r="B3753" s="24" t="str">
        <f>HYPERLINK("https://www.compass.com/listing/37-30-80th-street-unit-4a-queens-ny-11372/1299511337007161321/view?agent_id=610d3f3370540700019b0833","37-30 80th St, Unit 4A")</f>
        <v>37-30 80th St, Unit 4A</v>
      </c>
      <c r="C3753" s="25" t="s">
        <v>370</v>
      </c>
      <c r="D3753" s="26" t="s">
        <v>23</v>
      </c>
      <c r="E3753" s="26" t="s">
        <v>396</v>
      </c>
      <c r="F3753" s="25" t="s">
        <v>33</v>
      </c>
      <c r="G3753" s="28">
        <v>479000.0</v>
      </c>
      <c r="H3753" s="28">
        <v>532.0</v>
      </c>
      <c r="I3753" s="28">
        <v>888.0</v>
      </c>
      <c r="J3753" s="29"/>
      <c r="K3753" s="25" t="s">
        <v>25</v>
      </c>
      <c r="L3753" s="26">
        <v>4.0</v>
      </c>
      <c r="M3753" s="26">
        <v>2.0</v>
      </c>
      <c r="N3753" s="26">
        <v>1.0</v>
      </c>
      <c r="O3753" s="30"/>
      <c r="P3753" s="26">
        <v>900.0</v>
      </c>
      <c r="Q3753" s="35">
        <v>76.0</v>
      </c>
      <c r="R3753" s="32">
        <v>44707.0</v>
      </c>
      <c r="S3753" s="32">
        <v>44631.0</v>
      </c>
      <c r="T3753" s="29"/>
      <c r="U3753" s="33"/>
      <c r="V3753" s="1"/>
    </row>
    <row r="3754" ht="24.0" customHeight="1">
      <c r="A3754" s="1"/>
      <c r="B3754" s="24" t="str">
        <f>HYPERLINK("https://www.compass.com/listing/37-75-64th-street-unit-53-queens-ny-11377/982017533204940617/view?agent_id=610d3f3370540700019b0833","37-75 64th St, Unit 53")</f>
        <v>37-75 64th St, Unit 53</v>
      </c>
      <c r="C3754" s="25" t="s">
        <v>364</v>
      </c>
      <c r="D3754" s="26" t="s">
        <v>23</v>
      </c>
      <c r="E3754" s="27" t="str">
        <f>HYPERLINK("https://www.compass.com/building/37-75-64th-st-queens-ny-11377/293535127680619781/","37-75 64th St")</f>
        <v>37-75 64th St</v>
      </c>
      <c r="F3754" s="25" t="s">
        <v>137</v>
      </c>
      <c r="G3754" s="28">
        <v>387000.0</v>
      </c>
      <c r="H3754" s="29"/>
      <c r="I3754" s="28">
        <v>597.0</v>
      </c>
      <c r="J3754" s="28">
        <v>0.0</v>
      </c>
      <c r="K3754" s="25" t="s">
        <v>25</v>
      </c>
      <c r="L3754" s="26">
        <v>4.0</v>
      </c>
      <c r="M3754" s="26">
        <v>2.0</v>
      </c>
      <c r="N3754" s="26">
        <v>1.0</v>
      </c>
      <c r="O3754" s="26">
        <v>0.0</v>
      </c>
      <c r="P3754" s="30"/>
      <c r="Q3754" s="35">
        <v>168.0</v>
      </c>
      <c r="R3754" s="32">
        <v>44783.0</v>
      </c>
      <c r="S3754" s="32">
        <v>44607.0</v>
      </c>
      <c r="T3754" s="29"/>
      <c r="U3754" s="33"/>
      <c r="V3754" s="1"/>
    </row>
    <row r="3755" ht="24.0" customHeight="1">
      <c r="A3755" s="1"/>
      <c r="B3755" s="24" t="str">
        <f>HYPERLINK("https://www.compass.com/listing/9201-shore-road-unit-b305-brooklyn-ny-11209/765978477272048913/view?agent_id=610d3f3370540700019b0833","9201 Shore Rd, Unit B305")</f>
        <v>9201 Shore Rd, Unit B305</v>
      </c>
      <c r="C3755" s="25" t="s">
        <v>365</v>
      </c>
      <c r="D3755" s="26" t="s">
        <v>23</v>
      </c>
      <c r="E3755" s="27" t="str">
        <f t="shared" ref="E3755:E3756" si="142">HYPERLINK("https://www.compass.com/building/9201-shore-rd-brooklyn-ny-11209/293535584398436629/","9201 Shore Rd")</f>
        <v>9201 Shore Rd</v>
      </c>
      <c r="F3755" s="25" t="s">
        <v>55</v>
      </c>
      <c r="G3755" s="28">
        <v>649000.0</v>
      </c>
      <c r="H3755" s="28">
        <v>552.0</v>
      </c>
      <c r="I3755" s="28">
        <v>1000.0</v>
      </c>
      <c r="J3755" s="28">
        <v>0.0</v>
      </c>
      <c r="K3755" s="25" t="s">
        <v>25</v>
      </c>
      <c r="L3755" s="26">
        <v>4.0</v>
      </c>
      <c r="M3755" s="26">
        <v>2.0</v>
      </c>
      <c r="N3755" s="26">
        <v>1.0</v>
      </c>
      <c r="O3755" s="30"/>
      <c r="P3755" s="34">
        <v>1175.0</v>
      </c>
      <c r="Q3755" s="35">
        <v>129.0</v>
      </c>
      <c r="R3755" s="32">
        <v>44438.0</v>
      </c>
      <c r="S3755" s="32">
        <v>44308.0</v>
      </c>
      <c r="T3755" s="29"/>
      <c r="U3755" s="33"/>
      <c r="V3755" s="1"/>
    </row>
    <row r="3756" ht="24.0" customHeight="1">
      <c r="A3756" s="1"/>
      <c r="B3756" s="24" t="str">
        <f>HYPERLINK("https://www.compass.com/listing/9201-shore-road-unit-b305-brooklyn-ny-11209/876948156066086553/view?agent_id=610d3f3370540700019b0833","9201 Shore Rd, Unit B305")</f>
        <v>9201 Shore Rd, Unit B305</v>
      </c>
      <c r="C3756" s="25" t="s">
        <v>365</v>
      </c>
      <c r="D3756" s="26" t="s">
        <v>23</v>
      </c>
      <c r="E3756" s="27" t="str">
        <f t="shared" si="142"/>
        <v>9201 Shore Rd</v>
      </c>
      <c r="F3756" s="25" t="s">
        <v>55</v>
      </c>
      <c r="G3756" s="28">
        <v>649000.0</v>
      </c>
      <c r="H3756" s="28">
        <v>552.0</v>
      </c>
      <c r="I3756" s="28">
        <v>1000.0</v>
      </c>
      <c r="J3756" s="28">
        <v>0.0</v>
      </c>
      <c r="K3756" s="25" t="s">
        <v>25</v>
      </c>
      <c r="L3756" s="26">
        <v>4.0</v>
      </c>
      <c r="M3756" s="26">
        <v>2.0</v>
      </c>
      <c r="N3756" s="26">
        <v>1.0</v>
      </c>
      <c r="O3756" s="26">
        <v>0.0</v>
      </c>
      <c r="P3756" s="34">
        <v>1175.0</v>
      </c>
      <c r="Q3756" s="35">
        <v>161.0</v>
      </c>
      <c r="R3756" s="32">
        <v>44623.0</v>
      </c>
      <c r="S3756" s="32">
        <v>44461.0</v>
      </c>
      <c r="T3756" s="29"/>
      <c r="U3756" s="33"/>
      <c r="V3756" s="1"/>
    </row>
    <row r="3757" ht="24.0" customHeight="1">
      <c r="A3757" s="1"/>
      <c r="B3757" s="24" t="str">
        <f>HYPERLINK("https://www.compass.com/listing/35-20-82nd-street-unit-32a-queens-ny-11372/1300370942566279417/view?agent_id=610d3f3370540700019b0833","35-20 82nd St, Unit 32A")</f>
        <v>35-20 82nd St, Unit 32A</v>
      </c>
      <c r="C3757" s="25" t="s">
        <v>364</v>
      </c>
      <c r="D3757" s="26" t="s">
        <v>23</v>
      </c>
      <c r="E3757" s="27" t="str">
        <f>HYPERLINK("https://www.compass.com/building/35-20-82nd-st-queens-ny-11372/293526254244619493/","35-20 82nd St")</f>
        <v>35-20 82nd St</v>
      </c>
      <c r="F3757" s="25" t="s">
        <v>33</v>
      </c>
      <c r="G3757" s="28">
        <v>399000.0</v>
      </c>
      <c r="H3757" s="29"/>
      <c r="I3757" s="28">
        <v>651.0</v>
      </c>
      <c r="J3757" s="28">
        <v>0.0</v>
      </c>
      <c r="K3757" s="25" t="s">
        <v>25</v>
      </c>
      <c r="L3757" s="26">
        <v>4.0</v>
      </c>
      <c r="M3757" s="26">
        <v>2.0</v>
      </c>
      <c r="N3757" s="26">
        <v>1.0</v>
      </c>
      <c r="O3757" s="26">
        <v>0.0</v>
      </c>
      <c r="P3757" s="30"/>
      <c r="Q3757" s="35">
        <v>68.0</v>
      </c>
      <c r="R3757" s="32">
        <v>45222.0</v>
      </c>
      <c r="S3757" s="32">
        <v>45046.0</v>
      </c>
      <c r="T3757" s="29"/>
      <c r="U3757" s="33"/>
      <c r="V3757" s="1"/>
    </row>
    <row r="3758" ht="24.0" customHeight="1">
      <c r="A3758" s="1"/>
      <c r="B3758" s="24" t="str">
        <f>HYPERLINK("https://www.compass.com/listing/400-cozine-avenue-unit-6c-brooklyn-ny-11207/70925358827846449/view?agent_id=610d3f3370540700019b0833","400 Cozine Ave, Unit 6C")</f>
        <v>400 Cozine Ave, Unit 6C</v>
      </c>
      <c r="C3758" s="25" t="s">
        <v>364</v>
      </c>
      <c r="D3758" s="26" t="s">
        <v>23</v>
      </c>
      <c r="E3758" s="27" t="str">
        <f>HYPERLINK("https://www.compass.com/building/400-cozine-ave-brooklyn-ny-11207/293531921688859445/","400 Cozine Ave")</f>
        <v>400 Cozine Ave</v>
      </c>
      <c r="F3758" s="25" t="s">
        <v>85</v>
      </c>
      <c r="G3758" s="28">
        <v>269275.0</v>
      </c>
      <c r="H3758" s="28">
        <v>293.0</v>
      </c>
      <c r="I3758" s="28">
        <v>644.0</v>
      </c>
      <c r="J3758" s="28">
        <v>1356.0</v>
      </c>
      <c r="K3758" s="25" t="s">
        <v>28</v>
      </c>
      <c r="L3758" s="26">
        <v>5.0</v>
      </c>
      <c r="M3758" s="26">
        <v>2.0</v>
      </c>
      <c r="N3758" s="26">
        <v>0.0</v>
      </c>
      <c r="O3758" s="26">
        <v>0.0</v>
      </c>
      <c r="P3758" s="26">
        <v>920.0</v>
      </c>
      <c r="Q3758" s="35">
        <v>1578.0</v>
      </c>
      <c r="R3758" s="32">
        <v>44581.0</v>
      </c>
      <c r="S3758" s="32">
        <v>41357.0</v>
      </c>
      <c r="T3758" s="29"/>
      <c r="U3758" s="33"/>
      <c r="V3758" s="1"/>
    </row>
    <row r="3759" ht="24.0" customHeight="1">
      <c r="A3759" s="1"/>
      <c r="B3759" s="24" t="str">
        <f>HYPERLINK("https://www.compass.com/listing/35-16-82nd-street-unit-34-queens-ny-11372/1079000275770767449/view?agent_id=610d3f3370540700019b0833","35-16 82nd St, Unit 34")</f>
        <v>35-16 82nd St, Unit 34</v>
      </c>
      <c r="C3759" s="25" t="s">
        <v>364</v>
      </c>
      <c r="D3759" s="26" t="s">
        <v>23</v>
      </c>
      <c r="E3759" s="27" t="str">
        <f>HYPERLINK("https://www.compass.com/building/plymouth-court-queens-ny/293527703393498757/","Plymouth Court")</f>
        <v>Plymouth Court</v>
      </c>
      <c r="F3759" s="25" t="s">
        <v>33</v>
      </c>
      <c r="G3759" s="28">
        <v>380000.0</v>
      </c>
      <c r="H3759" s="28">
        <v>475.0</v>
      </c>
      <c r="I3759" s="28">
        <v>651.0</v>
      </c>
      <c r="J3759" s="28">
        <v>0.0</v>
      </c>
      <c r="K3759" s="25" t="s">
        <v>25</v>
      </c>
      <c r="L3759" s="26">
        <v>4.0</v>
      </c>
      <c r="M3759" s="26">
        <v>2.0</v>
      </c>
      <c r="N3759" s="26">
        <v>1.0</v>
      </c>
      <c r="O3759" s="30"/>
      <c r="P3759" s="26">
        <v>800.0</v>
      </c>
      <c r="Q3759" s="35">
        <v>176.0</v>
      </c>
      <c r="R3759" s="32">
        <v>44977.0</v>
      </c>
      <c r="S3759" s="32">
        <v>44747.0</v>
      </c>
      <c r="T3759" s="29"/>
      <c r="U3759" s="33"/>
      <c r="V3759" s="1"/>
    </row>
    <row r="3760" ht="24.0" customHeight="1">
      <c r="A3760" s="1"/>
      <c r="B3760" s="24" t="str">
        <f>HYPERLINK("https://www.compass.com/listing/30-47-hobart-street-unit-3m-queens-ny-11377/1316822824793903609/view?agent_id=610d3f3370540700019b0833","30-47 Hobart St, Unit 3M")</f>
        <v>30-47 Hobart St, Unit 3M</v>
      </c>
      <c r="C3760" s="25" t="s">
        <v>364</v>
      </c>
      <c r="D3760" s="26" t="s">
        <v>23</v>
      </c>
      <c r="E3760" s="27" t="str">
        <f>HYPERLINK("https://www.compass.com/building/30-47-hobart-st-queens-ny-11377/307454101960813205/","30-47 Hobart St")</f>
        <v>30-47 Hobart St</v>
      </c>
      <c r="F3760" s="25" t="s">
        <v>137</v>
      </c>
      <c r="G3760" s="28">
        <v>489000.0</v>
      </c>
      <c r="H3760" s="28">
        <v>575.0</v>
      </c>
      <c r="I3760" s="28">
        <v>791.0</v>
      </c>
      <c r="J3760" s="28">
        <v>0.0</v>
      </c>
      <c r="K3760" s="25" t="s">
        <v>25</v>
      </c>
      <c r="L3760" s="26">
        <v>5.0</v>
      </c>
      <c r="M3760" s="26">
        <v>2.0</v>
      </c>
      <c r="N3760" s="26">
        <v>1.0</v>
      </c>
      <c r="O3760" s="30"/>
      <c r="P3760" s="26">
        <v>850.0</v>
      </c>
      <c r="Q3760" s="35">
        <v>86.0</v>
      </c>
      <c r="R3760" s="32">
        <v>45155.0</v>
      </c>
      <c r="S3760" s="32">
        <v>45068.0</v>
      </c>
      <c r="T3760" s="29"/>
      <c r="U3760" s="33"/>
      <c r="V3760" s="1"/>
    </row>
    <row r="3761" ht="24.0" customHeight="1">
      <c r="A3761" s="1"/>
      <c r="B3761" s="24" t="str">
        <f>HYPERLINK("https://www.compass.com/listing/86-59-springfield-boulevard-unit-lowr-queens-ny-11427/1730800398349890001/view?agent_id=610d3f3370540700019b0833","86-59 Springfield Blvd, Unit LOWR")</f>
        <v>86-59 Springfield Blvd, Unit LOWR</v>
      </c>
      <c r="C3761" s="25" t="s">
        <v>370</v>
      </c>
      <c r="D3761" s="26" t="s">
        <v>23</v>
      </c>
      <c r="E3761" s="27" t="str">
        <f>HYPERLINK("https://www.compass.com/building/86-59-springfield-blvd-queens-ny-11427/381296112330353029/","86-59 Springfield Blvd")</f>
        <v>86-59 Springfield Blvd</v>
      </c>
      <c r="F3761" s="25" t="s">
        <v>69</v>
      </c>
      <c r="G3761" s="28">
        <v>142000.0</v>
      </c>
      <c r="H3761" s="29"/>
      <c r="I3761" s="28">
        <v>0.0</v>
      </c>
      <c r="J3761" s="28">
        <v>0.0</v>
      </c>
      <c r="K3761" s="25" t="s">
        <v>25</v>
      </c>
      <c r="L3761" s="26">
        <v>5.0</v>
      </c>
      <c r="M3761" s="26">
        <v>2.0</v>
      </c>
      <c r="N3761" s="26">
        <v>1.0</v>
      </c>
      <c r="O3761" s="30"/>
      <c r="P3761" s="30"/>
      <c r="Q3761" s="35">
        <v>549.0</v>
      </c>
      <c r="R3761" s="32">
        <v>45597.0</v>
      </c>
      <c r="S3761" s="32">
        <v>40988.0</v>
      </c>
      <c r="T3761" s="29"/>
      <c r="U3761" s="33"/>
      <c r="V3761" s="1"/>
    </row>
    <row r="3762" ht="24.0" customHeight="1">
      <c r="A3762" s="1"/>
      <c r="B3762" s="24" t="str">
        <f>HYPERLINK("https://www.compass.com/listing/79-10-19th-road-unit-2-queens-ny-11370/1730803173444109777/view?agent_id=610d3f3370540700019b0833","79-10 19th Rd, Unit 2")</f>
        <v>79-10 19th Rd, Unit 2</v>
      </c>
      <c r="C3762" s="25" t="s">
        <v>370</v>
      </c>
      <c r="D3762" s="26" t="s">
        <v>23</v>
      </c>
      <c r="E3762" s="27" t="str">
        <f>HYPERLINK("https://www.compass.com/building/79-10-19th-rd-queens-ny-11370/381304083110665589/","79-10 19th Rd")</f>
        <v>79-10 19th Rd</v>
      </c>
      <c r="F3762" s="25" t="s">
        <v>68</v>
      </c>
      <c r="G3762" s="28">
        <v>330000.0</v>
      </c>
      <c r="H3762" s="28">
        <v>393.0</v>
      </c>
      <c r="I3762" s="28">
        <v>794.0</v>
      </c>
      <c r="J3762" s="28">
        <v>2888.0</v>
      </c>
      <c r="K3762" s="25" t="s">
        <v>28</v>
      </c>
      <c r="L3762" s="26">
        <v>4.0</v>
      </c>
      <c r="M3762" s="26">
        <v>2.0</v>
      </c>
      <c r="N3762" s="26">
        <v>1.0</v>
      </c>
      <c r="O3762" s="30"/>
      <c r="P3762" s="26">
        <v>840.0</v>
      </c>
      <c r="Q3762" s="35">
        <v>516.0</v>
      </c>
      <c r="R3762" s="32">
        <v>45597.0</v>
      </c>
      <c r="S3762" s="32">
        <v>41376.0</v>
      </c>
      <c r="T3762" s="29"/>
      <c r="U3762" s="33"/>
      <c r="V3762" s="1"/>
    </row>
    <row r="3763" ht="24.0" customHeight="1">
      <c r="A3763" s="1"/>
      <c r="B3763" s="24" t="str">
        <f>HYPERLINK("https://www.compass.com/listing/22-46-79th-street-unit-3f-queens-ny-11370/1727165737122801697/view?agent_id=610d3f3370540700019b0833","22-46 79th St, Unit 3F")</f>
        <v>22-46 79th St, Unit 3F</v>
      </c>
      <c r="C3763" s="25" t="s">
        <v>370</v>
      </c>
      <c r="D3763" s="26" t="s">
        <v>23</v>
      </c>
      <c r="E3763" s="27" t="str">
        <f>HYPERLINK("https://www.compass.com/building/22-46-79th-st-queens-ny-11370/307456759681591205/","22-46 79th St")</f>
        <v>22-46 79th St</v>
      </c>
      <c r="F3763" s="25" t="s">
        <v>68</v>
      </c>
      <c r="G3763" s="28">
        <v>439000.0</v>
      </c>
      <c r="H3763" s="28">
        <v>588.0</v>
      </c>
      <c r="I3763" s="28">
        <v>677.0</v>
      </c>
      <c r="J3763" s="28">
        <v>3001.0</v>
      </c>
      <c r="K3763" s="25" t="s">
        <v>28</v>
      </c>
      <c r="L3763" s="26">
        <v>4.0</v>
      </c>
      <c r="M3763" s="26">
        <v>2.0</v>
      </c>
      <c r="N3763" s="26">
        <v>1.0</v>
      </c>
      <c r="O3763" s="30"/>
      <c r="P3763" s="26">
        <v>747.0</v>
      </c>
      <c r="Q3763" s="35">
        <v>176.0</v>
      </c>
      <c r="R3763" s="32">
        <v>45634.0</v>
      </c>
      <c r="S3763" s="32">
        <v>42390.0</v>
      </c>
      <c r="T3763" s="29"/>
      <c r="U3763" s="33"/>
      <c r="V3763" s="1"/>
    </row>
    <row r="3764" ht="24.0" customHeight="1">
      <c r="A3764" s="1"/>
      <c r="B3764" s="24" t="str">
        <f>HYPERLINK("https://www.compass.com/listing/225-06-hillside-avenue-unit-duplex-queens-ny-11427/1730516103509065545/view?agent_id=610d3f3370540700019b0833","225-06 Hillside Ave, Unit DUPLEX")</f>
        <v>225-06 Hillside Ave, Unit DUPLEX</v>
      </c>
      <c r="C3764" s="25" t="s">
        <v>370</v>
      </c>
      <c r="D3764" s="26" t="s">
        <v>23</v>
      </c>
      <c r="E3764" s="27" t="str">
        <f>HYPERLINK("https://www.compass.com/building/225-06-hillside-ave-queens-ny-11427/307431434415167637/","225-06 Hillside Ave")</f>
        <v>225-06 Hillside Ave</v>
      </c>
      <c r="F3764" s="25" t="s">
        <v>98</v>
      </c>
      <c r="G3764" s="28">
        <v>210000.0</v>
      </c>
      <c r="H3764" s="29"/>
      <c r="I3764" s="28">
        <v>0.0</v>
      </c>
      <c r="J3764" s="28">
        <v>0.0</v>
      </c>
      <c r="K3764" s="25" t="s">
        <v>25</v>
      </c>
      <c r="L3764" s="26">
        <v>5.0</v>
      </c>
      <c r="M3764" s="26">
        <v>2.0</v>
      </c>
      <c r="N3764" s="26">
        <v>1.0</v>
      </c>
      <c r="O3764" s="30"/>
      <c r="P3764" s="30"/>
      <c r="Q3764" s="35">
        <v>183.0</v>
      </c>
      <c r="R3764" s="32">
        <v>45597.0</v>
      </c>
      <c r="S3764" s="32">
        <v>41735.0</v>
      </c>
      <c r="T3764" s="29"/>
      <c r="U3764" s="33"/>
      <c r="V3764" s="1"/>
    </row>
    <row r="3765" ht="24.0" customHeight="1">
      <c r="A3765" s="1"/>
      <c r="B3765" s="24" t="str">
        <f>HYPERLINK("https://www.compass.com/listing/220-18-stronghurst-avenue-unit-lowr-queens-ny-11427/231091257634495105/view?agent_id=610d3f3370540700019b0833","220-18 Stronghurst Ave, Unit LOWR")</f>
        <v>220-18 Stronghurst Ave, Unit LOWR</v>
      </c>
      <c r="C3765" s="25" t="s">
        <v>370</v>
      </c>
      <c r="D3765" s="26" t="s">
        <v>23</v>
      </c>
      <c r="E3765" s="27" t="str">
        <f>HYPERLINK("https://www.compass.com/building/220-18-stronghurst-ave-queens-ny-11427/307447862866222357/","220-18 Stronghurst Ave")</f>
        <v>220-18 Stronghurst Ave</v>
      </c>
      <c r="F3765" s="25" t="s">
        <v>69</v>
      </c>
      <c r="G3765" s="28">
        <v>248000.0</v>
      </c>
      <c r="H3765" s="29"/>
      <c r="I3765" s="28">
        <v>0.0</v>
      </c>
      <c r="J3765" s="28">
        <v>0.0</v>
      </c>
      <c r="K3765" s="25" t="s">
        <v>25</v>
      </c>
      <c r="L3765" s="26">
        <v>5.0</v>
      </c>
      <c r="M3765" s="26">
        <v>2.0</v>
      </c>
      <c r="N3765" s="26">
        <v>1.0</v>
      </c>
      <c r="O3765" s="30"/>
      <c r="P3765" s="30"/>
      <c r="Q3765" s="35">
        <v>122.0</v>
      </c>
      <c r="R3765" s="32">
        <v>45637.0</v>
      </c>
      <c r="S3765" s="32">
        <v>43570.0</v>
      </c>
      <c r="T3765" s="29"/>
      <c r="U3765" s="33"/>
      <c r="V3765" s="1"/>
    </row>
    <row r="3766" ht="24.0" customHeight="1">
      <c r="A3766" s="1"/>
      <c r="B3766" s="24" t="str">
        <f>HYPERLINK("https://www.compass.com/listing/35-20-82nd-street-unit-32-queens-ny-11372/891290699794547313/view?agent_id=610d3f3370540700019b0833","35-20 82nd St, Unit 32")</f>
        <v>35-20 82nd St, Unit 32</v>
      </c>
      <c r="C3766" s="25" t="s">
        <v>364</v>
      </c>
      <c r="D3766" s="26" t="s">
        <v>23</v>
      </c>
      <c r="E3766" s="27" t="str">
        <f>HYPERLINK("https://www.compass.com/building/35-20-82nd-st-queens-ny-11372/293526254244619493/","35-20 82nd St")</f>
        <v>35-20 82nd St</v>
      </c>
      <c r="F3766" s="25" t="s">
        <v>33</v>
      </c>
      <c r="G3766" s="28">
        <v>425000.0</v>
      </c>
      <c r="H3766" s="29"/>
      <c r="I3766" s="28">
        <v>651.0</v>
      </c>
      <c r="J3766" s="28">
        <v>0.0</v>
      </c>
      <c r="K3766" s="25" t="s">
        <v>25</v>
      </c>
      <c r="L3766" s="26">
        <v>4.0</v>
      </c>
      <c r="M3766" s="26">
        <v>2.0</v>
      </c>
      <c r="N3766" s="26">
        <v>1.0</v>
      </c>
      <c r="O3766" s="26">
        <v>0.0</v>
      </c>
      <c r="P3766" s="30"/>
      <c r="Q3766" s="35">
        <v>250.0</v>
      </c>
      <c r="R3766" s="32">
        <v>45044.0</v>
      </c>
      <c r="S3766" s="32">
        <v>44481.0</v>
      </c>
      <c r="T3766" s="29"/>
      <c r="U3766" s="33"/>
      <c r="V3766" s="1"/>
    </row>
    <row r="3767" ht="24.0" customHeight="1">
      <c r="A3767" s="1"/>
      <c r="B3767" s="24" t="str">
        <f>HYPERLINK("https://www.compass.com/listing/226-06-88th-avenue-unit-u-queens-ny-11427/1223262512699287393/view?agent_id=610d3f3370540700019b0833","226-06 88th Ave, Unit U")</f>
        <v>226-06 88th Ave, Unit U</v>
      </c>
      <c r="C3767" s="25" t="s">
        <v>370</v>
      </c>
      <c r="D3767" s="26" t="s">
        <v>23</v>
      </c>
      <c r="E3767" s="27" t="str">
        <f>HYPERLINK("https://www.compass.com/building/226-06-88th-ave-queens-ny-11427/567752373022027661/","226-06 88th Ave")</f>
        <v>226-06 88th Ave</v>
      </c>
      <c r="F3767" s="25" t="s">
        <v>69</v>
      </c>
      <c r="G3767" s="28">
        <v>229000.0</v>
      </c>
      <c r="H3767" s="29"/>
      <c r="I3767" s="28">
        <v>743.0</v>
      </c>
      <c r="J3767" s="28">
        <v>8921.0</v>
      </c>
      <c r="K3767" s="25" t="s">
        <v>25</v>
      </c>
      <c r="L3767" s="26">
        <v>5.0</v>
      </c>
      <c r="M3767" s="26">
        <v>2.0</v>
      </c>
      <c r="N3767" s="26">
        <v>1.0</v>
      </c>
      <c r="O3767" s="26">
        <v>0.0</v>
      </c>
      <c r="P3767" s="30"/>
      <c r="Q3767" s="35">
        <v>395.0</v>
      </c>
      <c r="R3767" s="32">
        <v>45334.0</v>
      </c>
      <c r="S3767" s="32">
        <v>44939.0</v>
      </c>
      <c r="T3767" s="29"/>
      <c r="U3767" s="33"/>
      <c r="V3767" s="1"/>
    </row>
    <row r="3768" ht="24.0" customHeight="1">
      <c r="A3768" s="1"/>
      <c r="B3768" s="24" t="str">
        <f>HYPERLINK("https://www.compass.com/listing/227-10-stronghurst-avenue-unit-uppr-queens-ny-11427/1292335400240247849/view?agent_id=610d3f3370540700019b0833","227-10 Stronghurst Ave, Unit UPPR")</f>
        <v>227-10 Stronghurst Ave, Unit UPPR</v>
      </c>
      <c r="C3768" s="25" t="s">
        <v>370</v>
      </c>
      <c r="D3768" s="26" t="s">
        <v>23</v>
      </c>
      <c r="E3768" s="27" t="str">
        <f>HYPERLINK("https://www.compass.com/building/227-10-stronghurst-ave-queens-ny-11427/445088177038964709/","227-10 Stronghurst Ave")</f>
        <v>227-10 Stronghurst Ave</v>
      </c>
      <c r="F3768" s="25" t="s">
        <v>69</v>
      </c>
      <c r="G3768" s="28">
        <v>259500.0</v>
      </c>
      <c r="H3768" s="29"/>
      <c r="I3768" s="28">
        <v>0.0</v>
      </c>
      <c r="J3768" s="28">
        <v>0.0</v>
      </c>
      <c r="K3768" s="25" t="s">
        <v>25</v>
      </c>
      <c r="L3768" s="26">
        <v>5.0</v>
      </c>
      <c r="M3768" s="26">
        <v>2.0</v>
      </c>
      <c r="N3768" s="26">
        <v>1.0</v>
      </c>
      <c r="O3768" s="30"/>
      <c r="P3768" s="30"/>
      <c r="Q3768" s="35">
        <v>121.0</v>
      </c>
      <c r="R3768" s="32">
        <v>45597.0</v>
      </c>
      <c r="S3768" s="32">
        <v>43878.0</v>
      </c>
      <c r="T3768" s="29"/>
      <c r="U3768" s="33"/>
      <c r="V3768" s="1"/>
    </row>
    <row r="3769" ht="24.0" customHeight="1">
      <c r="A3769" s="1"/>
      <c r="B3769" s="24" t="str">
        <f>HYPERLINK("https://www.compass.com/listing/221-40-manor-road-unit-duplex-queens-ny-11427/211477221062253857/view?agent_id=610d3f3370540700019b0833","221-40 Manor Rd, Unit DUPLEX")</f>
        <v>221-40 Manor Rd, Unit DUPLEX</v>
      </c>
      <c r="C3769" s="25" t="s">
        <v>370</v>
      </c>
      <c r="D3769" s="26" t="s">
        <v>23</v>
      </c>
      <c r="E3769" s="27" t="str">
        <f>HYPERLINK("https://www.compass.com/building/221-40-manor-rd-queens-ny-11427/307457661448579173/","221-40 Manor Rd")</f>
        <v>221-40 Manor Rd</v>
      </c>
      <c r="F3769" s="25" t="s">
        <v>69</v>
      </c>
      <c r="G3769" s="28">
        <v>297500.0</v>
      </c>
      <c r="H3769" s="29"/>
      <c r="I3769" s="28">
        <v>0.0</v>
      </c>
      <c r="J3769" s="28">
        <v>0.0</v>
      </c>
      <c r="K3769" s="25" t="s">
        <v>25</v>
      </c>
      <c r="L3769" s="26">
        <v>5.0</v>
      </c>
      <c r="M3769" s="26">
        <v>2.0</v>
      </c>
      <c r="N3769" s="26">
        <v>1.0</v>
      </c>
      <c r="O3769" s="30"/>
      <c r="P3769" s="30"/>
      <c r="Q3769" s="35">
        <v>28.0</v>
      </c>
      <c r="R3769" s="32">
        <v>45637.0</v>
      </c>
      <c r="S3769" s="32">
        <v>43543.0</v>
      </c>
      <c r="T3769" s="29"/>
      <c r="U3769" s="33"/>
      <c r="V3769" s="1"/>
    </row>
    <row r="3770" ht="24.0" customHeight="1">
      <c r="A3770" s="1"/>
      <c r="B3770" s="24" t="str">
        <f>HYPERLINK("https://www.compass.com/listing/225-08-stronghurst-avenue-unit-uppr-queens-ny-11427/1292225446376503001/view?agent_id=610d3f3370540700019b0833","225-08 Stronghurst Ave, Unit UPPR")</f>
        <v>225-08 Stronghurst Ave, Unit UPPR</v>
      </c>
      <c r="C3770" s="25" t="s">
        <v>370</v>
      </c>
      <c r="D3770" s="26" t="s">
        <v>23</v>
      </c>
      <c r="E3770" s="27" t="str">
        <f>HYPERLINK("https://www.compass.com/building/225-08-stronghurst-ave-queens-ny-11427/441150925764531613/","225-08 Stronghurst Ave")</f>
        <v>225-08 Stronghurst Ave</v>
      </c>
      <c r="F3770" s="25" t="s">
        <v>69</v>
      </c>
      <c r="G3770" s="28">
        <v>269999.0</v>
      </c>
      <c r="H3770" s="29"/>
      <c r="I3770" s="28">
        <v>0.0</v>
      </c>
      <c r="J3770" s="28">
        <v>0.0</v>
      </c>
      <c r="K3770" s="25" t="s">
        <v>25</v>
      </c>
      <c r="L3770" s="26">
        <v>5.0</v>
      </c>
      <c r="M3770" s="26">
        <v>2.0</v>
      </c>
      <c r="N3770" s="26">
        <v>1.0</v>
      </c>
      <c r="O3770" s="30"/>
      <c r="P3770" s="30"/>
      <c r="Q3770" s="35">
        <v>182.0</v>
      </c>
      <c r="R3770" s="32">
        <v>45637.0</v>
      </c>
      <c r="S3770" s="32">
        <v>44628.0</v>
      </c>
      <c r="T3770" s="29"/>
      <c r="U3770" s="33"/>
      <c r="V3770" s="1"/>
    </row>
    <row r="3771" ht="24.0" customHeight="1">
      <c r="A3771" s="1"/>
      <c r="B3771" s="24" t="str">
        <f>HYPERLINK("https://www.compass.com/listing/220-27-hillside-avenue-unit-u-queens-ny-11427/881939571144707289/view?agent_id=610d3f3370540700019b0833","220-27 Hillside Ave, Unit U")</f>
        <v>220-27 Hillside Ave, Unit U</v>
      </c>
      <c r="C3771" s="25" t="s">
        <v>370</v>
      </c>
      <c r="D3771" s="26" t="s">
        <v>23</v>
      </c>
      <c r="E3771" s="27" t="str">
        <f>HYPERLINK("https://www.compass.com/building/220-27-hillside-ave-queens-ny-11427/307449967962570981/","220-27 Hillside Ave")</f>
        <v>220-27 Hillside Ave</v>
      </c>
      <c r="F3771" s="25" t="s">
        <v>69</v>
      </c>
      <c r="G3771" s="28">
        <v>239888.0</v>
      </c>
      <c r="H3771" s="29"/>
      <c r="I3771" s="28">
        <v>692.0</v>
      </c>
      <c r="J3771" s="28">
        <v>0.0</v>
      </c>
      <c r="K3771" s="25" t="s">
        <v>25</v>
      </c>
      <c r="L3771" s="26">
        <v>5.0</v>
      </c>
      <c r="M3771" s="26">
        <v>2.0</v>
      </c>
      <c r="N3771" s="26">
        <v>1.0</v>
      </c>
      <c r="O3771" s="26">
        <v>0.0</v>
      </c>
      <c r="P3771" s="30"/>
      <c r="Q3771" s="35">
        <v>475.0</v>
      </c>
      <c r="R3771" s="32">
        <v>44944.0</v>
      </c>
      <c r="S3771" s="32">
        <v>44468.0</v>
      </c>
      <c r="T3771" s="29"/>
      <c r="U3771" s="33"/>
      <c r="V3771" s="1"/>
    </row>
    <row r="3772" ht="24.0" customHeight="1">
      <c r="A3772" s="1"/>
      <c r="B3772" s="24" t="str">
        <f>HYPERLINK("https://www.compass.com/listing/650-51st-street-unit-2-brooklyn-ny-11220/1272411268200862033/view?agent_id=610d3f3370540700019b0833","650 51st St, Unit 2")</f>
        <v>650 51st St, Unit 2</v>
      </c>
      <c r="C3772" s="25" t="s">
        <v>364</v>
      </c>
      <c r="D3772" s="26" t="s">
        <v>23</v>
      </c>
      <c r="E3772" s="27" t="str">
        <f>HYPERLINK("https://www.compass.com/building/650-51st-st-brooklyn-ny-11220/293532838823736597/","650 51st St")</f>
        <v>650 51st St</v>
      </c>
      <c r="F3772" s="25" t="s">
        <v>128</v>
      </c>
      <c r="G3772" s="28">
        <v>599000.0</v>
      </c>
      <c r="H3772" s="28">
        <v>609.0</v>
      </c>
      <c r="I3772" s="28">
        <v>135.0</v>
      </c>
      <c r="J3772" s="28">
        <v>0.0</v>
      </c>
      <c r="K3772" s="25" t="s">
        <v>25</v>
      </c>
      <c r="L3772" s="26">
        <v>4.0</v>
      </c>
      <c r="M3772" s="26">
        <v>2.0</v>
      </c>
      <c r="N3772" s="26">
        <v>1.0</v>
      </c>
      <c r="O3772" s="30"/>
      <c r="P3772" s="26">
        <v>984.0</v>
      </c>
      <c r="Q3772" s="35">
        <v>149.0</v>
      </c>
      <c r="R3772" s="32">
        <v>45156.0</v>
      </c>
      <c r="S3772" s="32">
        <v>45007.0</v>
      </c>
      <c r="T3772" s="29"/>
      <c r="U3772" s="33"/>
      <c r="V3772" s="1"/>
    </row>
    <row r="3773" ht="24.0" customHeight="1">
      <c r="A3773" s="1"/>
      <c r="B3773" s="24" t="str">
        <f>HYPERLINK("https://www.compass.com/listing/86-12-231st-street-unit-uppr-queens-ny-11427/1292157764251391065/view?agent_id=610d3f3370540700019b0833","86-12 231st St, Unit UPPR")</f>
        <v>86-12 231st St, Unit UPPR</v>
      </c>
      <c r="C3773" s="25" t="s">
        <v>370</v>
      </c>
      <c r="D3773" s="26" t="s">
        <v>23</v>
      </c>
      <c r="E3773" s="27" t="str">
        <f>HYPERLINK("https://www.compass.com/building/86-12-231st-st-queens-ny-11427/307444029046020885/","86-12 231st St")</f>
        <v>86-12 231st St</v>
      </c>
      <c r="F3773" s="25" t="s">
        <v>69</v>
      </c>
      <c r="G3773" s="28">
        <v>275000.0</v>
      </c>
      <c r="H3773" s="29"/>
      <c r="I3773" s="28">
        <v>0.0</v>
      </c>
      <c r="J3773" s="28">
        <v>0.0</v>
      </c>
      <c r="K3773" s="25" t="s">
        <v>25</v>
      </c>
      <c r="L3773" s="26">
        <v>5.0</v>
      </c>
      <c r="M3773" s="26">
        <v>2.0</v>
      </c>
      <c r="N3773" s="26">
        <v>1.0</v>
      </c>
      <c r="O3773" s="30"/>
      <c r="P3773" s="30"/>
      <c r="Q3773" s="35">
        <v>365.0</v>
      </c>
      <c r="R3773" s="32">
        <v>45637.0</v>
      </c>
      <c r="S3773" s="32">
        <v>43903.0</v>
      </c>
      <c r="T3773" s="29"/>
      <c r="U3773" s="33"/>
      <c r="V3773" s="1"/>
    </row>
    <row r="3774" ht="24.0" customHeight="1">
      <c r="A3774" s="1"/>
      <c r="B3774" s="24" t="str">
        <f>HYPERLINK("https://www.compass.com/listing/225-06-hillside-avenue-unit-duplex-queens-ny-11427/1726861346322425257/view?agent_id=610d3f3370540700019b0833","225-06 Hillside Ave, Unit DUPLEX")</f>
        <v>225-06 Hillside Ave, Unit DUPLEX</v>
      </c>
      <c r="C3774" s="25" t="s">
        <v>370</v>
      </c>
      <c r="D3774" s="26" t="s">
        <v>23</v>
      </c>
      <c r="E3774" s="27" t="str">
        <f>HYPERLINK("https://www.compass.com/building/225-06-hillside-ave-queens-ny-11427/307431434415167637/","225-06 Hillside Ave")</f>
        <v>225-06 Hillside Ave</v>
      </c>
      <c r="F3774" s="25" t="s">
        <v>98</v>
      </c>
      <c r="G3774" s="28">
        <v>210000.0</v>
      </c>
      <c r="H3774" s="29"/>
      <c r="I3774" s="28">
        <v>0.0</v>
      </c>
      <c r="J3774" s="28">
        <v>0.0</v>
      </c>
      <c r="K3774" s="25" t="s">
        <v>25</v>
      </c>
      <c r="L3774" s="26">
        <v>5.0</v>
      </c>
      <c r="M3774" s="26">
        <v>2.0</v>
      </c>
      <c r="N3774" s="26">
        <v>1.0</v>
      </c>
      <c r="O3774" s="30"/>
      <c r="P3774" s="30"/>
      <c r="Q3774" s="35">
        <v>188.0</v>
      </c>
      <c r="R3774" s="32">
        <v>45634.0</v>
      </c>
      <c r="S3774" s="32">
        <v>41946.0</v>
      </c>
      <c r="T3774" s="29"/>
      <c r="U3774" s="33"/>
      <c r="V3774" s="1"/>
    </row>
    <row r="3775" ht="24.0" customHeight="1">
      <c r="A3775" s="1"/>
      <c r="B3775" s="24" t="str">
        <f>HYPERLINK("https://www.compass.com/listing/225-04-stronghurst-avenue-unit-uppr-queens-ny-11427/1299501665622045609/view?agent_id=610d3f3370540700019b0833","225-04 Stronghurst Ave, Unit UPPR")</f>
        <v>225-04 Stronghurst Ave, Unit UPPR</v>
      </c>
      <c r="C3775" s="25" t="s">
        <v>370</v>
      </c>
      <c r="D3775" s="26" t="s">
        <v>23</v>
      </c>
      <c r="E3775" s="27" t="str">
        <f>HYPERLINK("https://www.compass.com/building/225-04-stronghurst-ave-queens-ny-11427/445083184691269165/","225-04 Stronghurst Ave")</f>
        <v>225-04 Stronghurst Ave</v>
      </c>
      <c r="F3775" s="25" t="s">
        <v>69</v>
      </c>
      <c r="G3775" s="28">
        <v>275000.0</v>
      </c>
      <c r="H3775" s="29"/>
      <c r="I3775" s="28">
        <v>0.0</v>
      </c>
      <c r="J3775" s="28">
        <v>0.0</v>
      </c>
      <c r="K3775" s="25" t="s">
        <v>25</v>
      </c>
      <c r="L3775" s="26">
        <v>5.0</v>
      </c>
      <c r="M3775" s="26">
        <v>2.0</v>
      </c>
      <c r="N3775" s="26">
        <v>1.0</v>
      </c>
      <c r="O3775" s="30"/>
      <c r="P3775" s="30"/>
      <c r="Q3775" s="35">
        <v>558.0</v>
      </c>
      <c r="R3775" s="32">
        <v>45637.0</v>
      </c>
      <c r="S3775" s="32">
        <v>44620.0</v>
      </c>
      <c r="T3775" s="29"/>
      <c r="U3775" s="33"/>
      <c r="V3775" s="1"/>
    </row>
    <row r="3776" ht="24.0" customHeight="1">
      <c r="A3776" s="1"/>
      <c r="B3776" s="24" t="str">
        <f>HYPERLINK("https://www.compass.com/listing/221-47-manor-road-queens-ny-11427/1726775360397684865/view?agent_id=610d3f3370540700019b0833","221-47 Manor Rd")</f>
        <v>221-47 Manor Rd</v>
      </c>
      <c r="C3776" s="25" t="s">
        <v>370</v>
      </c>
      <c r="D3776" s="26" t="s">
        <v>23</v>
      </c>
      <c r="E3776" s="27" t="str">
        <f>HYPERLINK("https://www.compass.com/building/221-47-manor-rd-queens-ny-11427/307456312031606869/","221-47 Manor Rd")</f>
        <v>221-47 Manor Rd</v>
      </c>
      <c r="F3776" s="25" t="s">
        <v>69</v>
      </c>
      <c r="G3776" s="28">
        <v>162000.0</v>
      </c>
      <c r="H3776" s="29"/>
      <c r="I3776" s="28">
        <v>0.0</v>
      </c>
      <c r="J3776" s="28">
        <v>0.0</v>
      </c>
      <c r="K3776" s="25" t="s">
        <v>25</v>
      </c>
      <c r="L3776" s="26">
        <v>5.0</v>
      </c>
      <c r="M3776" s="26">
        <v>2.0</v>
      </c>
      <c r="N3776" s="26">
        <v>1.0</v>
      </c>
      <c r="O3776" s="30"/>
      <c r="P3776" s="30"/>
      <c r="Q3776" s="35">
        <v>183.0</v>
      </c>
      <c r="R3776" s="32">
        <v>45634.0</v>
      </c>
      <c r="S3776" s="32">
        <v>41876.0</v>
      </c>
      <c r="T3776" s="29"/>
      <c r="U3776" s="33"/>
      <c r="V3776" s="1"/>
    </row>
    <row r="3777" ht="24.0" customHeight="1">
      <c r="A3777" s="1"/>
      <c r="B3777" s="24" t="str">
        <f>HYPERLINK("https://www.compass.com/listing/226-37-manor-road-unit-uppr-queens-ny-11427/1299482503139033737/view?agent_id=610d3f3370540700019b0833","226-37 Manor Rd, Unit UPPR")</f>
        <v>226-37 Manor Rd, Unit UPPR</v>
      </c>
      <c r="C3777" s="25" t="s">
        <v>370</v>
      </c>
      <c r="D3777" s="26" t="s">
        <v>23</v>
      </c>
      <c r="E3777" s="27" t="str">
        <f>HYPERLINK("https://www.compass.com/building/226-37-manor-rd-queens-ny-11427/381296383507461493/","226-37 Manor Rd")</f>
        <v>226-37 Manor Rd</v>
      </c>
      <c r="F3777" s="25" t="s">
        <v>69</v>
      </c>
      <c r="G3777" s="28">
        <v>268000.0</v>
      </c>
      <c r="H3777" s="29"/>
      <c r="I3777" s="28">
        <v>0.0</v>
      </c>
      <c r="J3777" s="28">
        <v>0.0</v>
      </c>
      <c r="K3777" s="25" t="s">
        <v>25</v>
      </c>
      <c r="L3777" s="26">
        <v>5.0</v>
      </c>
      <c r="M3777" s="26">
        <v>2.0</v>
      </c>
      <c r="N3777" s="26">
        <v>1.0</v>
      </c>
      <c r="O3777" s="30"/>
      <c r="P3777" s="30"/>
      <c r="Q3777" s="35">
        <v>121.0</v>
      </c>
      <c r="R3777" s="32">
        <v>45597.0</v>
      </c>
      <c r="S3777" s="32">
        <v>44833.0</v>
      </c>
      <c r="T3777" s="29"/>
      <c r="U3777" s="33"/>
      <c r="V3777" s="1"/>
    </row>
    <row r="3778" ht="24.0" customHeight="1">
      <c r="A3778" s="1"/>
      <c r="B3778" s="24" t="str">
        <f>HYPERLINK("https://www.compass.com/listing/225-06-manor-road-unit-l-queens-ny-11427/1299496840830784025/view?agent_id=610d3f3370540700019b0833","225-06 Manor Rd, Unit L")</f>
        <v>225-06 Manor Rd, Unit L</v>
      </c>
      <c r="C3778" s="25" t="s">
        <v>370</v>
      </c>
      <c r="D3778" s="26" t="s">
        <v>23</v>
      </c>
      <c r="E3778" s="27" t="str">
        <f>HYPERLINK("https://www.compass.com/building/225-06-manor-rd-queens-ny-11427/567617839202637661/","225-06 Manor Rd")</f>
        <v>225-06 Manor Rd</v>
      </c>
      <c r="F3778" s="25" t="s">
        <v>69</v>
      </c>
      <c r="G3778" s="28">
        <v>265000.0</v>
      </c>
      <c r="H3778" s="29"/>
      <c r="I3778" s="28">
        <v>753.0</v>
      </c>
      <c r="J3778" s="29"/>
      <c r="K3778" s="25" t="s">
        <v>25</v>
      </c>
      <c r="L3778" s="26">
        <v>5.0</v>
      </c>
      <c r="M3778" s="26">
        <v>2.0</v>
      </c>
      <c r="N3778" s="26">
        <v>1.0</v>
      </c>
      <c r="O3778" s="30"/>
      <c r="P3778" s="30"/>
      <c r="Q3778" s="35">
        <v>32.0</v>
      </c>
      <c r="R3778" s="32">
        <v>44438.0</v>
      </c>
      <c r="S3778" s="32">
        <v>44042.0</v>
      </c>
      <c r="T3778" s="29"/>
      <c r="U3778" s="33"/>
      <c r="V3778" s="1"/>
    </row>
    <row r="3779" ht="24.0" customHeight="1">
      <c r="A3779" s="1"/>
      <c r="B3779" s="24" t="str">
        <f>HYPERLINK("https://www.compass.com/listing/220-27-hillside-avenue-unit-uppr-queens-ny-11427/1292353547198256417/view?agent_id=610d3f3370540700019b0833","220-27 Hillside Avenue, Unit UPPR")</f>
        <v>220-27 Hillside Avenue, Unit UPPR</v>
      </c>
      <c r="C3779" s="25" t="s">
        <v>370</v>
      </c>
      <c r="D3779" s="26" t="s">
        <v>23</v>
      </c>
      <c r="E3779" s="27" t="str">
        <f>HYPERLINK("https://www.compass.com/building/220-27-hillside-ave-queens-ny-11427/307449967962570981/","220-27 Hillside Ave")</f>
        <v>220-27 Hillside Ave</v>
      </c>
      <c r="F3779" s="25" t="s">
        <v>69</v>
      </c>
      <c r="G3779" s="28">
        <v>232500.0</v>
      </c>
      <c r="H3779" s="29"/>
      <c r="I3779" s="28">
        <v>0.0</v>
      </c>
      <c r="J3779" s="28">
        <v>0.0</v>
      </c>
      <c r="K3779" s="25" t="s">
        <v>25</v>
      </c>
      <c r="L3779" s="26">
        <v>4.0</v>
      </c>
      <c r="M3779" s="26">
        <v>2.0</v>
      </c>
      <c r="N3779" s="26">
        <v>1.0</v>
      </c>
      <c r="O3779" s="30"/>
      <c r="P3779" s="30"/>
      <c r="Q3779" s="35">
        <v>364.0</v>
      </c>
      <c r="R3779" s="32">
        <v>45597.0</v>
      </c>
      <c r="S3779" s="32">
        <v>44459.0</v>
      </c>
      <c r="T3779" s="29"/>
      <c r="U3779" s="33"/>
      <c r="V3779" s="1"/>
    </row>
    <row r="3780" ht="24.0" customHeight="1">
      <c r="A3780" s="1"/>
      <c r="B3780" s="24" t="str">
        <f>HYPERLINK("https://www.compass.com/listing/5231-39th-road-unit-2b-queens-ny-11377/758581429671770713/view?agent_id=610d3f3370540700019b0833","5231 39th Road, Unit 2B")</f>
        <v>5231 39th Road, Unit 2B</v>
      </c>
      <c r="C3780" s="25" t="s">
        <v>365</v>
      </c>
      <c r="D3780" s="26" t="s">
        <v>23</v>
      </c>
      <c r="E3780" s="26" t="s">
        <v>397</v>
      </c>
      <c r="F3780" s="25" t="s">
        <v>137</v>
      </c>
      <c r="G3780" s="28">
        <v>460000.0</v>
      </c>
      <c r="H3780" s="29"/>
      <c r="I3780" s="28">
        <v>927.0</v>
      </c>
      <c r="J3780" s="28">
        <v>0.0</v>
      </c>
      <c r="K3780" s="25" t="s">
        <v>25</v>
      </c>
      <c r="L3780" s="26">
        <v>5.0</v>
      </c>
      <c r="M3780" s="26">
        <v>2.0</v>
      </c>
      <c r="N3780" s="26">
        <v>1.0</v>
      </c>
      <c r="O3780" s="30"/>
      <c r="P3780" s="30"/>
      <c r="Q3780" s="35">
        <v>15.0</v>
      </c>
      <c r="R3780" s="32">
        <v>44318.0</v>
      </c>
      <c r="S3780" s="32">
        <v>44298.0</v>
      </c>
      <c r="T3780" s="29"/>
      <c r="U3780" s="33"/>
      <c r="V3780" s="1"/>
    </row>
    <row r="3781" ht="24.0" customHeight="1">
      <c r="A3781" s="1"/>
      <c r="B3781" s="24" t="str">
        <f>HYPERLINK("https://www.compass.com/listing/33-25-90th-street-unit-5h-queens-ny-11372/501527041293071657/view?agent_id=610d3f3370540700019b0833","33-25 90th Street, Unit 5H")</f>
        <v>33-25 90th Street, Unit 5H</v>
      </c>
      <c r="C3781" s="25" t="s">
        <v>370</v>
      </c>
      <c r="D3781" s="26" t="s">
        <v>23</v>
      </c>
      <c r="E3781" s="27" t="str">
        <f>HYPERLINK("https://www.compass.com/building/33-25-90th-st-queens-ny-11372/293528739621375509/","33-25 90th St")</f>
        <v>33-25 90th St</v>
      </c>
      <c r="F3781" s="25" t="s">
        <v>33</v>
      </c>
      <c r="G3781" s="28">
        <v>329000.0</v>
      </c>
      <c r="H3781" s="28">
        <v>343.0</v>
      </c>
      <c r="I3781" s="28">
        <v>0.0</v>
      </c>
      <c r="J3781" s="28">
        <v>0.0</v>
      </c>
      <c r="K3781" s="25" t="s">
        <v>25</v>
      </c>
      <c r="L3781" s="26">
        <v>5.0</v>
      </c>
      <c r="M3781" s="26">
        <v>2.0</v>
      </c>
      <c r="N3781" s="26">
        <v>1.0</v>
      </c>
      <c r="O3781" s="30"/>
      <c r="P3781" s="26">
        <v>960.0</v>
      </c>
      <c r="Q3781" s="35">
        <v>111.0</v>
      </c>
      <c r="R3781" s="32">
        <v>45636.0</v>
      </c>
      <c r="S3781" s="32">
        <v>43129.0</v>
      </c>
      <c r="T3781" s="29"/>
      <c r="U3781" s="33"/>
      <c r="V3781" s="1"/>
    </row>
    <row r="3782" ht="24.0" customHeight="1">
      <c r="A3782" s="1"/>
      <c r="B3782" s="24" t="str">
        <f>HYPERLINK("https://www.compass.com/listing/223-06-manor-road-unit-dup-queens-ny-11427/718067156427406841/view?agent_id=610d3f3370540700019b0833","223-06 Manor Road, Unit DUP")</f>
        <v>223-06 Manor Road, Unit DUP</v>
      </c>
      <c r="C3782" s="25" t="s">
        <v>370</v>
      </c>
      <c r="D3782" s="26" t="s">
        <v>23</v>
      </c>
      <c r="E3782" s="26" t="s">
        <v>398</v>
      </c>
      <c r="F3782" s="25" t="s">
        <v>69</v>
      </c>
      <c r="G3782" s="28">
        <v>329000.0</v>
      </c>
      <c r="H3782" s="29"/>
      <c r="I3782" s="28">
        <v>751.0</v>
      </c>
      <c r="J3782" s="28">
        <v>0.0</v>
      </c>
      <c r="K3782" s="25" t="s">
        <v>25</v>
      </c>
      <c r="L3782" s="26">
        <v>5.0</v>
      </c>
      <c r="M3782" s="26">
        <v>2.0</v>
      </c>
      <c r="N3782" s="26">
        <v>1.0</v>
      </c>
      <c r="O3782" s="26">
        <v>0.0</v>
      </c>
      <c r="P3782" s="30"/>
      <c r="Q3782" s="35">
        <v>0.0</v>
      </c>
      <c r="R3782" s="32">
        <v>44253.0</v>
      </c>
      <c r="S3782" s="32">
        <v>44252.0</v>
      </c>
      <c r="T3782" s="29"/>
      <c r="U3782" s="33"/>
      <c r="V3782" s="1"/>
    </row>
    <row r="3783" ht="24.0" customHeight="1">
      <c r="A3783" s="1"/>
      <c r="B3783" s="24" t="str">
        <f>HYPERLINK("https://www.compass.com/listing/4-74-48th-avenue-unit-39d-queens-ny-11109/849072615465066369/view?agent_id=610d3f3370540700019b0833","4-74 48th Avenue, Unit 39D")</f>
        <v>4-74 48th Avenue, Unit 39D</v>
      </c>
      <c r="C3783" s="25" t="s">
        <v>364</v>
      </c>
      <c r="D3783" s="26" t="s">
        <v>23</v>
      </c>
      <c r="E3783" s="27" t="str">
        <f>HYPERLINK("https://www.compass.com/building/citylights-at-queens-landing-queens-ny/293535047753928133/","Citylights at Queens Landing")</f>
        <v>Citylights at Queens Landing</v>
      </c>
      <c r="F3783" s="25" t="s">
        <v>215</v>
      </c>
      <c r="G3783" s="28">
        <v>599000.0</v>
      </c>
      <c r="H3783" s="28">
        <v>719.0</v>
      </c>
      <c r="I3783" s="28">
        <v>2226.0</v>
      </c>
      <c r="J3783" s="29"/>
      <c r="K3783" s="25" t="s">
        <v>49</v>
      </c>
      <c r="L3783" s="26">
        <v>3.0</v>
      </c>
      <c r="M3783" s="26">
        <v>2.0</v>
      </c>
      <c r="N3783" s="26">
        <v>1.0</v>
      </c>
      <c r="O3783" s="26">
        <v>0.0</v>
      </c>
      <c r="P3783" s="26">
        <v>833.0</v>
      </c>
      <c r="Q3783" s="35">
        <v>136.0</v>
      </c>
      <c r="R3783" s="32">
        <v>45636.0</v>
      </c>
      <c r="S3783" s="32">
        <v>42985.0</v>
      </c>
      <c r="T3783" s="29"/>
      <c r="U3783" s="33"/>
      <c r="V3783" s="1"/>
    </row>
    <row r="3784" ht="24.0" customHeight="1">
      <c r="A3784" s="1"/>
      <c r="B3784" s="24" t="str">
        <f>HYPERLINK("https://www.compass.com/listing/86-43-springfield-boulevard-unit-dup-queens-ny-11427/873154424799763585/view?agent_id=610d3f3370540700019b0833","86-43 Springfield Boulevard, Unit DUP")</f>
        <v>86-43 Springfield Boulevard, Unit DUP</v>
      </c>
      <c r="C3784" s="25" t="s">
        <v>370</v>
      </c>
      <c r="D3784" s="26" t="s">
        <v>23</v>
      </c>
      <c r="E3784" s="27" t="str">
        <f>HYPERLINK("https://www.compass.com/building/bell-park-manor-terrace-queens-ny/876034987543892205/","Bell Park Manor Terrace")</f>
        <v>Bell Park Manor Terrace</v>
      </c>
      <c r="F3784" s="25" t="s">
        <v>69</v>
      </c>
      <c r="G3784" s="28">
        <v>310000.0</v>
      </c>
      <c r="H3784" s="29"/>
      <c r="I3784" s="28">
        <v>751.0</v>
      </c>
      <c r="J3784" s="28">
        <v>0.0</v>
      </c>
      <c r="K3784" s="25" t="s">
        <v>25</v>
      </c>
      <c r="L3784" s="26">
        <v>5.0</v>
      </c>
      <c r="M3784" s="26">
        <v>2.0</v>
      </c>
      <c r="N3784" s="26">
        <v>1.0</v>
      </c>
      <c r="O3784" s="30"/>
      <c r="P3784" s="30"/>
      <c r="Q3784" s="35">
        <v>418.0</v>
      </c>
      <c r="R3784" s="32">
        <v>44942.0</v>
      </c>
      <c r="S3784" s="32">
        <v>44523.0</v>
      </c>
      <c r="T3784" s="29"/>
      <c r="U3784" s="33"/>
      <c r="V3784" s="1"/>
    </row>
    <row r="3785" ht="24.0" customHeight="1">
      <c r="A3785" s="1"/>
      <c r="B3785" s="24" t="str">
        <f>HYPERLINK("https://www.compass.com/listing/229-03-87th-avenue-unit-lowr-queens-ny-11427/1299546625364464641/view?agent_id=610d3f3370540700019b0833","229-03 87th Avenue, Unit LOWR")</f>
        <v>229-03 87th Avenue, Unit LOWR</v>
      </c>
      <c r="C3785" s="25" t="s">
        <v>370</v>
      </c>
      <c r="D3785" s="26" t="s">
        <v>23</v>
      </c>
      <c r="E3785" s="26" t="s">
        <v>399</v>
      </c>
      <c r="F3785" s="25" t="s">
        <v>69</v>
      </c>
      <c r="G3785" s="28">
        <v>250000.0</v>
      </c>
      <c r="H3785" s="29"/>
      <c r="I3785" s="28">
        <v>0.0</v>
      </c>
      <c r="J3785" s="28">
        <v>0.0</v>
      </c>
      <c r="K3785" s="25" t="s">
        <v>25</v>
      </c>
      <c r="L3785" s="26">
        <v>4.0</v>
      </c>
      <c r="M3785" s="26">
        <v>2.0</v>
      </c>
      <c r="N3785" s="26">
        <v>1.0</v>
      </c>
      <c r="O3785" s="30"/>
      <c r="P3785" s="30"/>
      <c r="Q3785" s="35">
        <v>365.0</v>
      </c>
      <c r="R3785" s="32">
        <v>45597.0</v>
      </c>
      <c r="S3785" s="32">
        <v>44621.0</v>
      </c>
      <c r="T3785" s="29"/>
      <c r="U3785" s="33"/>
      <c r="V3785" s="1"/>
    </row>
    <row r="3786" ht="24.0" customHeight="1">
      <c r="A3786" s="1"/>
      <c r="B3786" s="24" t="str">
        <f>HYPERLINK("https://www.compass.com/listing/225-10-stronghurst-avenue-unit-u-queens-ny-11427/479643098508182033/view?agent_id=610d3f3370540700019b0833","225-10 Stronghurst Avenue, Unit U")</f>
        <v>225-10 Stronghurst Avenue, Unit U</v>
      </c>
      <c r="C3786" s="25" t="s">
        <v>370</v>
      </c>
      <c r="D3786" s="26" t="s">
        <v>23</v>
      </c>
      <c r="E3786" s="27" t="str">
        <f>HYPERLINK("https://www.compass.com/building/225-10-stronghurst-ave-queens-ny-11427/405236482754556581/","225-10 Stronghurst Ave")</f>
        <v>225-10 Stronghurst Ave</v>
      </c>
      <c r="F3786" s="25" t="s">
        <v>69</v>
      </c>
      <c r="G3786" s="28">
        <v>257000.0</v>
      </c>
      <c r="H3786" s="29"/>
      <c r="I3786" s="28">
        <v>739.0</v>
      </c>
      <c r="J3786" s="28">
        <v>0.0</v>
      </c>
      <c r="K3786" s="25" t="s">
        <v>25</v>
      </c>
      <c r="L3786" s="26">
        <v>5.0</v>
      </c>
      <c r="M3786" s="26">
        <v>2.0</v>
      </c>
      <c r="N3786" s="26">
        <v>1.0</v>
      </c>
      <c r="O3786" s="30"/>
      <c r="P3786" s="30"/>
      <c r="Q3786" s="35">
        <v>0.0</v>
      </c>
      <c r="R3786" s="32">
        <v>43991.0</v>
      </c>
      <c r="S3786" s="32">
        <v>43913.0</v>
      </c>
      <c r="T3786" s="29"/>
      <c r="U3786" s="33"/>
      <c r="V3786" s="1"/>
    </row>
    <row r="3787" ht="24.0" customHeight="1">
      <c r="A3787" s="1"/>
      <c r="B3787" s="24" t="str">
        <f>HYPERLINK("https://www.compass.com/listing/671-47th-street-unit-d1-brooklyn-ny-11220/196317486096856177/view?agent_id=610d3f3370540700019b0833","671 47th Street, Unit D1")</f>
        <v>671 47th Street, Unit D1</v>
      </c>
      <c r="C3787" s="25" t="s">
        <v>364</v>
      </c>
      <c r="D3787" s="26" t="s">
        <v>23</v>
      </c>
      <c r="E3787" s="27" t="str">
        <f>HYPERLINK("https://www.compass.com/building/671-47th-st-brooklyn-ny-11220/293416737309830149/","671 47th St")</f>
        <v>671 47th St</v>
      </c>
      <c r="F3787" s="25" t="s">
        <v>128</v>
      </c>
      <c r="G3787" s="28">
        <v>451000.0</v>
      </c>
      <c r="H3787" s="29"/>
      <c r="I3787" s="28">
        <v>541.0</v>
      </c>
      <c r="J3787" s="28">
        <v>0.0</v>
      </c>
      <c r="K3787" s="25" t="s">
        <v>25</v>
      </c>
      <c r="L3787" s="26">
        <v>4.0</v>
      </c>
      <c r="M3787" s="26">
        <v>2.0</v>
      </c>
      <c r="N3787" s="26">
        <v>1.0</v>
      </c>
      <c r="O3787" s="26">
        <v>0.0</v>
      </c>
      <c r="P3787" s="30"/>
      <c r="Q3787" s="35">
        <v>173.0</v>
      </c>
      <c r="R3787" s="32">
        <v>43703.0</v>
      </c>
      <c r="S3787" s="32">
        <v>43530.0</v>
      </c>
      <c r="T3787" s="29"/>
      <c r="U3787" s="33"/>
      <c r="V3787" s="1"/>
    </row>
    <row r="3788" ht="24.0" customHeight="1">
      <c r="A3788" s="1"/>
      <c r="B3788" s="24" t="str">
        <f>HYPERLINK("https://www.compass.com/listing/86-43-springfield-boulevard-unit-duplex-queens-ny-11427/1292143393181381881/view?agent_id=610d3f3370540700019b0833","86-43 Springfield Boulevard, Unit DUPLEX")</f>
        <v>86-43 Springfield Boulevard, Unit DUPLEX</v>
      </c>
      <c r="C3788" s="25" t="s">
        <v>370</v>
      </c>
      <c r="D3788" s="26" t="s">
        <v>23</v>
      </c>
      <c r="E3788" s="27" t="str">
        <f>HYPERLINK("https://www.compass.com/building/bell-park-manor-terrace-queens-ny/876034987543892205/","Bell Park Manor Terrace")</f>
        <v>Bell Park Manor Terrace</v>
      </c>
      <c r="F3788" s="25" t="s">
        <v>69</v>
      </c>
      <c r="G3788" s="28">
        <v>310000.0</v>
      </c>
      <c r="H3788" s="29"/>
      <c r="I3788" s="28">
        <v>0.0</v>
      </c>
      <c r="J3788" s="28">
        <v>0.0</v>
      </c>
      <c r="K3788" s="25" t="s">
        <v>25</v>
      </c>
      <c r="L3788" s="26">
        <v>5.0</v>
      </c>
      <c r="M3788" s="26">
        <v>2.0</v>
      </c>
      <c r="N3788" s="26">
        <v>1.0</v>
      </c>
      <c r="O3788" s="30"/>
      <c r="P3788" s="30"/>
      <c r="Q3788" s="35">
        <v>297.0</v>
      </c>
      <c r="R3788" s="32">
        <v>45597.0</v>
      </c>
      <c r="S3788" s="32">
        <v>44523.0</v>
      </c>
      <c r="T3788" s="29"/>
      <c r="U3788" s="33"/>
      <c r="V3788" s="1"/>
    </row>
    <row r="3789" ht="24.0" customHeight="1">
      <c r="A3789" s="1"/>
      <c r="B3789" s="24" t="str">
        <f>HYPERLINK("https://www.compass.com/listing/226-37-manor-road-unit-u-queens-ny-11427/1146456482149584705/view?agent_id=610d3f3370540700019b0833","226-37 Manor Road, Unit U")</f>
        <v>226-37 Manor Road, Unit U</v>
      </c>
      <c r="C3789" s="25" t="s">
        <v>364</v>
      </c>
      <c r="D3789" s="26" t="s">
        <v>23</v>
      </c>
      <c r="E3789" s="27" t="str">
        <f>HYPERLINK("https://www.compass.com/building/226-37-manor-rd-queens-ny-11427/381296383507461493/","226-37 Manor Rd")</f>
        <v>226-37 Manor Rd</v>
      </c>
      <c r="F3789" s="25" t="s">
        <v>69</v>
      </c>
      <c r="G3789" s="28">
        <v>268000.0</v>
      </c>
      <c r="H3789" s="29"/>
      <c r="I3789" s="28">
        <v>811.0</v>
      </c>
      <c r="J3789" s="28">
        <v>9727.0</v>
      </c>
      <c r="K3789" s="25" t="s">
        <v>25</v>
      </c>
      <c r="L3789" s="26">
        <v>5.0</v>
      </c>
      <c r="M3789" s="26">
        <v>2.0</v>
      </c>
      <c r="N3789" s="26">
        <v>1.0</v>
      </c>
      <c r="O3789" s="30"/>
      <c r="P3789" s="30"/>
      <c r="Q3789" s="35">
        <v>6.0</v>
      </c>
      <c r="R3789" s="32">
        <v>44840.0</v>
      </c>
      <c r="S3789" s="32">
        <v>44833.0</v>
      </c>
      <c r="T3789" s="29"/>
      <c r="U3789" s="33"/>
      <c r="V3789" s="1"/>
    </row>
    <row r="3790" ht="24.0" customHeight="1">
      <c r="A3790" s="1"/>
      <c r="B3790" s="24" t="str">
        <f>HYPERLINK("https://www.compass.com/listing/229-18-87th-avenue-unit-uppr-queens-ny-11427/1726858283532734025/view?agent_id=610d3f3370540700019b0833","229-18 87th Avenue, Unit UPPR")</f>
        <v>229-18 87th Avenue, Unit UPPR</v>
      </c>
      <c r="C3790" s="25" t="s">
        <v>370</v>
      </c>
      <c r="D3790" s="26" t="s">
        <v>23</v>
      </c>
      <c r="E3790" s="27" t="str">
        <f t="shared" ref="E3790:E3791" si="143">HYPERLINK("https://www.compass.com/building/229-18-87th-ave-queens-ny-11427/307440843296045013/","229-18 87th Ave")</f>
        <v>229-18 87th Ave</v>
      </c>
      <c r="F3790" s="25" t="s">
        <v>69</v>
      </c>
      <c r="G3790" s="28">
        <v>139999.0</v>
      </c>
      <c r="H3790" s="29"/>
      <c r="I3790" s="28">
        <v>0.0</v>
      </c>
      <c r="J3790" s="28">
        <v>0.0</v>
      </c>
      <c r="K3790" s="25" t="s">
        <v>25</v>
      </c>
      <c r="L3790" s="26">
        <v>5.0</v>
      </c>
      <c r="M3790" s="26">
        <v>2.0</v>
      </c>
      <c r="N3790" s="26">
        <v>1.0</v>
      </c>
      <c r="O3790" s="30"/>
      <c r="P3790" s="30"/>
      <c r="Q3790" s="35">
        <v>367.0</v>
      </c>
      <c r="R3790" s="32">
        <v>45634.0</v>
      </c>
      <c r="S3790" s="32">
        <v>41942.0</v>
      </c>
      <c r="T3790" s="29"/>
      <c r="U3790" s="33"/>
      <c r="V3790" s="1"/>
    </row>
    <row r="3791" ht="24.0" customHeight="1">
      <c r="A3791" s="1"/>
      <c r="B3791" s="24" t="str">
        <f>HYPERLINK("https://www.compass.com/listing/229-18-87th-avenue-unit-uppr-queens-ny-11427/1727105091471138425/view?agent_id=610d3f3370540700019b0833","229-18 87th Avenue, Unit UPPR")</f>
        <v>229-18 87th Avenue, Unit UPPR</v>
      </c>
      <c r="C3791" s="25" t="s">
        <v>370</v>
      </c>
      <c r="D3791" s="26" t="s">
        <v>23</v>
      </c>
      <c r="E3791" s="27" t="str">
        <f t="shared" si="143"/>
        <v>229-18 87th Ave</v>
      </c>
      <c r="F3791" s="25" t="s">
        <v>69</v>
      </c>
      <c r="G3791" s="28">
        <v>155000.0</v>
      </c>
      <c r="H3791" s="29"/>
      <c r="I3791" s="28">
        <v>0.0</v>
      </c>
      <c r="J3791" s="28">
        <v>0.0</v>
      </c>
      <c r="K3791" s="25" t="s">
        <v>25</v>
      </c>
      <c r="L3791" s="26">
        <v>5.0</v>
      </c>
      <c r="M3791" s="26">
        <v>2.0</v>
      </c>
      <c r="N3791" s="26">
        <v>1.0</v>
      </c>
      <c r="O3791" s="30"/>
      <c r="P3791" s="30"/>
      <c r="Q3791" s="35">
        <v>92.0</v>
      </c>
      <c r="R3791" s="32">
        <v>45634.0</v>
      </c>
      <c r="S3791" s="32">
        <v>42310.0</v>
      </c>
      <c r="T3791" s="29"/>
      <c r="U3791" s="33"/>
      <c r="V3791" s="1"/>
    </row>
    <row r="3792" ht="24.0" customHeight="1">
      <c r="A3792" s="1"/>
      <c r="B3792" s="24" t="str">
        <f>HYPERLINK("https://www.compass.com/listing/224-10-stronghurst-avenue-unit-lowr-queens-ny-11427/1730501594949530713/view?agent_id=610d3f3370540700019b0833","224-10 Stronghurst Avenue, Unit LOWR")</f>
        <v>224-10 Stronghurst Avenue, Unit LOWR</v>
      </c>
      <c r="C3792" s="25" t="s">
        <v>370</v>
      </c>
      <c r="D3792" s="26" t="s">
        <v>23</v>
      </c>
      <c r="E3792" s="27" t="str">
        <f>HYPERLINK("https://www.compass.com/building/224-10-stronghurst-ave-queens-ny-11427/389276735355972085/","224-10 Stronghurst Ave")</f>
        <v>224-10 Stronghurst Ave</v>
      </c>
      <c r="F3792" s="25" t="s">
        <v>69</v>
      </c>
      <c r="G3792" s="28">
        <v>147500.0</v>
      </c>
      <c r="H3792" s="29"/>
      <c r="I3792" s="28">
        <v>0.0</v>
      </c>
      <c r="J3792" s="28">
        <v>0.0</v>
      </c>
      <c r="K3792" s="25" t="s">
        <v>25</v>
      </c>
      <c r="L3792" s="26">
        <v>5.0</v>
      </c>
      <c r="M3792" s="26">
        <v>2.0</v>
      </c>
      <c r="N3792" s="26">
        <v>1.0</v>
      </c>
      <c r="O3792" s="30"/>
      <c r="P3792" s="30"/>
      <c r="Q3792" s="35">
        <v>365.0</v>
      </c>
      <c r="R3792" s="32">
        <v>45597.0</v>
      </c>
      <c r="S3792" s="32">
        <v>41549.0</v>
      </c>
      <c r="T3792" s="29"/>
      <c r="U3792" s="33"/>
      <c r="V3792" s="1"/>
    </row>
    <row r="3793" ht="24.0" customHeight="1">
      <c r="A3793" s="1"/>
      <c r="B3793" s="24" t="str">
        <f>HYPERLINK("https://www.compass.com/listing/224-25-hillside-avenue-unit-uppr-queens-ny-11427/1730511908986744233/view?agent_id=610d3f3370540700019b0833","224-25 Hillside Avenue, Unit UPPR")</f>
        <v>224-25 Hillside Avenue, Unit UPPR</v>
      </c>
      <c r="C3793" s="25" t="s">
        <v>370</v>
      </c>
      <c r="D3793" s="26" t="s">
        <v>23</v>
      </c>
      <c r="E3793" s="27" t="str">
        <f>HYPERLINK("https://www.compass.com/building/224-25-hillside-ave-queens-ny-11427/307450402601525765/","224-25 Hillside Ave")</f>
        <v>224-25 Hillside Ave</v>
      </c>
      <c r="F3793" s="25" t="s">
        <v>69</v>
      </c>
      <c r="G3793" s="28">
        <v>143000.0</v>
      </c>
      <c r="H3793" s="29"/>
      <c r="I3793" s="28">
        <v>0.0</v>
      </c>
      <c r="J3793" s="28">
        <v>0.0</v>
      </c>
      <c r="K3793" s="25" t="s">
        <v>25</v>
      </c>
      <c r="L3793" s="26">
        <v>5.0</v>
      </c>
      <c r="M3793" s="26">
        <v>2.0</v>
      </c>
      <c r="N3793" s="26">
        <v>1.0</v>
      </c>
      <c r="O3793" s="30"/>
      <c r="P3793" s="30"/>
      <c r="Q3793" s="35">
        <v>183.0</v>
      </c>
      <c r="R3793" s="32">
        <v>45597.0</v>
      </c>
      <c r="S3793" s="32">
        <v>41002.0</v>
      </c>
      <c r="T3793" s="29"/>
      <c r="U3793" s="33"/>
      <c r="V3793" s="1"/>
    </row>
    <row r="3794" ht="24.0" customHeight="1">
      <c r="A3794" s="1"/>
      <c r="B3794" s="24" t="str">
        <f>HYPERLINK("https://www.compass.com/listing/224-09-hillside-avenue-unit-uppr-queens-ny-11427/1730618907996944241/view?agent_id=610d3f3370540700019b0833","224-09 Hillside Avenue, Unit UPPR")</f>
        <v>224-09 Hillside Avenue, Unit UPPR</v>
      </c>
      <c r="C3794" s="25" t="s">
        <v>370</v>
      </c>
      <c r="D3794" s="26" t="s">
        <v>23</v>
      </c>
      <c r="E3794" s="27" t="str">
        <f>HYPERLINK("https://www.compass.com/building/224-09-hillside-ave-queens-ny-11427/441145343187779165/","224-09 Hillside Ave")</f>
        <v>224-09 Hillside Ave</v>
      </c>
      <c r="F3794" s="25" t="s">
        <v>69</v>
      </c>
      <c r="G3794" s="28">
        <v>142000.0</v>
      </c>
      <c r="H3794" s="29"/>
      <c r="I3794" s="28">
        <v>0.0</v>
      </c>
      <c r="J3794" s="28">
        <v>0.0</v>
      </c>
      <c r="K3794" s="25" t="s">
        <v>25</v>
      </c>
      <c r="L3794" s="26">
        <v>5.0</v>
      </c>
      <c r="M3794" s="26">
        <v>2.0</v>
      </c>
      <c r="N3794" s="26">
        <v>1.0</v>
      </c>
      <c r="O3794" s="30"/>
      <c r="P3794" s="30"/>
      <c r="Q3794" s="35">
        <v>184.0</v>
      </c>
      <c r="R3794" s="32">
        <v>45597.0</v>
      </c>
      <c r="S3794" s="32">
        <v>40997.0</v>
      </c>
      <c r="T3794" s="29"/>
      <c r="U3794" s="33"/>
      <c r="V3794" s="1"/>
    </row>
    <row r="3795" ht="24.0" customHeight="1">
      <c r="A3795" s="1"/>
      <c r="B3795" s="24" t="str">
        <f>HYPERLINK("https://www.compass.com/listing/221-19-braddock-avenue-unit-uppr-queens-ny-11427/1730729979214758161/view?agent_id=610d3f3370540700019b0833","221-19 Braddock Avenue, Unit UPPR")</f>
        <v>221-19 Braddock Avenue, Unit UPPR</v>
      </c>
      <c r="C3795" s="25" t="s">
        <v>370</v>
      </c>
      <c r="D3795" s="26" t="s">
        <v>23</v>
      </c>
      <c r="E3795" s="27" t="str">
        <f>HYPERLINK("https://www.compass.com/building/221-19-braddock-ave-queens-ny-11427/307445090892817733/","221-19 Braddock Ave")</f>
        <v>221-19 Braddock Ave</v>
      </c>
      <c r="F3795" s="25" t="s">
        <v>69</v>
      </c>
      <c r="G3795" s="28">
        <v>145000.0</v>
      </c>
      <c r="H3795" s="29"/>
      <c r="I3795" s="28">
        <v>0.0</v>
      </c>
      <c r="J3795" s="28">
        <v>0.0</v>
      </c>
      <c r="K3795" s="25" t="s">
        <v>25</v>
      </c>
      <c r="L3795" s="26">
        <v>5.0</v>
      </c>
      <c r="M3795" s="26">
        <v>2.0</v>
      </c>
      <c r="N3795" s="26">
        <v>1.0</v>
      </c>
      <c r="O3795" s="30"/>
      <c r="P3795" s="30"/>
      <c r="Q3795" s="35">
        <v>275.0</v>
      </c>
      <c r="R3795" s="32">
        <v>45597.0</v>
      </c>
      <c r="S3795" s="32">
        <v>40968.0</v>
      </c>
      <c r="T3795" s="29"/>
      <c r="U3795" s="33"/>
      <c r="V3795" s="1"/>
    </row>
    <row r="3796" ht="24.0" customHeight="1">
      <c r="A3796" s="1"/>
      <c r="B3796" s="24" t="str">
        <f>HYPERLINK("https://www.compass.com/listing/221-36-manor-road-unit-duplex-queens-ny-11427/197773436817325249/view?agent_id=610d3f3370540700019b0833","221-36 Manor Road, Unit DUPLEX")</f>
        <v>221-36 Manor Road, Unit DUPLEX</v>
      </c>
      <c r="C3796" s="25" t="s">
        <v>364</v>
      </c>
      <c r="D3796" s="26" t="s">
        <v>23</v>
      </c>
      <c r="E3796" s="27" t="str">
        <f>HYPERLINK("https://www.compass.com/building/221-36-manor-rd-queens-ny-11427/381296363777570165/","221-36 Manor Rd")</f>
        <v>221-36 Manor Rd</v>
      </c>
      <c r="F3796" s="25" t="s">
        <v>69</v>
      </c>
      <c r="G3796" s="28">
        <v>274888.0</v>
      </c>
      <c r="H3796" s="29"/>
      <c r="I3796" s="28">
        <v>0.0</v>
      </c>
      <c r="J3796" s="28">
        <v>0.0</v>
      </c>
      <c r="K3796" s="25" t="s">
        <v>25</v>
      </c>
      <c r="L3796" s="26">
        <v>6.0</v>
      </c>
      <c r="M3796" s="26">
        <v>2.0</v>
      </c>
      <c r="N3796" s="26">
        <v>1.0</v>
      </c>
      <c r="O3796" s="30"/>
      <c r="P3796" s="30"/>
      <c r="Q3796" s="35">
        <v>176.0</v>
      </c>
      <c r="R3796" s="32">
        <v>45597.0</v>
      </c>
      <c r="S3796" s="32">
        <v>43010.0</v>
      </c>
      <c r="T3796" s="29"/>
      <c r="U3796" s="33"/>
      <c r="V3796" s="1"/>
    </row>
    <row r="3797" ht="24.0" customHeight="1">
      <c r="A3797" s="1"/>
      <c r="B3797" s="24" t="str">
        <f>HYPERLINK("https://www.compass.com/listing/20-89th-street-unit-5c-brooklyn-ny-11209/791935250628800073/view?agent_id=610d3f3370540700019b0833","20 89th Street, Unit 5C")</f>
        <v>20 89th Street, Unit 5C</v>
      </c>
      <c r="C3797" s="25" t="s">
        <v>370</v>
      </c>
      <c r="D3797" s="26" t="s">
        <v>23</v>
      </c>
      <c r="E3797" s="27" t="str">
        <f>HYPERLINK("https://www.compass.com/building/20-89th-st-brooklyn-ny-11209/307448670806925685/","20 89th St")</f>
        <v>20 89th St</v>
      </c>
      <c r="F3797" s="25" t="s">
        <v>55</v>
      </c>
      <c r="G3797" s="28">
        <v>625000.0</v>
      </c>
      <c r="H3797" s="29"/>
      <c r="I3797" s="28">
        <v>990.0</v>
      </c>
      <c r="J3797" s="28">
        <v>0.0</v>
      </c>
      <c r="K3797" s="25" t="s">
        <v>25</v>
      </c>
      <c r="L3797" s="26">
        <v>4.0</v>
      </c>
      <c r="M3797" s="26">
        <v>2.0</v>
      </c>
      <c r="N3797" s="26">
        <v>1.0</v>
      </c>
      <c r="O3797" s="26">
        <v>0.0</v>
      </c>
      <c r="P3797" s="30"/>
      <c r="Q3797" s="35">
        <v>116.0</v>
      </c>
      <c r="R3797" s="32">
        <v>44461.0</v>
      </c>
      <c r="S3797" s="32">
        <v>44344.0</v>
      </c>
      <c r="T3797" s="29"/>
      <c r="U3797" s="33"/>
      <c r="V3797" s="1"/>
    </row>
    <row r="3798" ht="24.0" customHeight="1">
      <c r="A3798" s="1"/>
      <c r="B3798" s="24" t="str">
        <f>HYPERLINK("https://www.compass.com/listing/34-11-93rd-street-unit-2b-queens-ny-11372/1730740834149683929/view?agent_id=610d3f3370540700019b0833","34-11 93rd Street, Unit 2B")</f>
        <v>34-11 93rd Street, Unit 2B</v>
      </c>
      <c r="C3798" s="25" t="s">
        <v>370</v>
      </c>
      <c r="D3798" s="26" t="s">
        <v>23</v>
      </c>
      <c r="E3798" s="27" t="str">
        <f>HYPERLINK("https://www.compass.com/building/34-11-93rd-st-queens-ny-11372/979813543067458077/","34-11 93rd St")</f>
        <v>34-11 93rd St</v>
      </c>
      <c r="F3798" s="25" t="s">
        <v>33</v>
      </c>
      <c r="G3798" s="28">
        <v>190000.0</v>
      </c>
      <c r="H3798" s="28">
        <v>181.0</v>
      </c>
      <c r="I3798" s="28">
        <v>0.0</v>
      </c>
      <c r="J3798" s="28">
        <v>0.0</v>
      </c>
      <c r="K3798" s="25" t="s">
        <v>25</v>
      </c>
      <c r="L3798" s="26">
        <v>5.0</v>
      </c>
      <c r="M3798" s="26">
        <v>2.0</v>
      </c>
      <c r="N3798" s="26">
        <v>1.0</v>
      </c>
      <c r="O3798" s="30"/>
      <c r="P3798" s="34">
        <v>1050.0</v>
      </c>
      <c r="Q3798" s="35">
        <v>166.0</v>
      </c>
      <c r="R3798" s="32">
        <v>45597.0</v>
      </c>
      <c r="S3798" s="32">
        <v>41058.0</v>
      </c>
      <c r="T3798" s="29"/>
      <c r="U3798" s="33"/>
      <c r="V3798" s="1"/>
    </row>
    <row r="3799" ht="24.0" customHeight="1">
      <c r="A3799" s="1"/>
      <c r="B3799" s="24" t="str">
        <f>HYPERLINK("https://www.compass.com/listing/221-63-manor-road-unit-duplex-queens-ny-11427/1292232680040532945/view?agent_id=610d3f3370540700019b0833","221-63 Manor Road, Unit DUPLEX")</f>
        <v>221-63 Manor Road, Unit DUPLEX</v>
      </c>
      <c r="C3799" s="25" t="s">
        <v>370</v>
      </c>
      <c r="D3799" s="26" t="s">
        <v>23</v>
      </c>
      <c r="E3799" s="27" t="str">
        <f>HYPERLINK("https://www.compass.com/building/221-63-manor-rd-queens-ny-11427/307451141293759301/","221-63 Manor Rd")</f>
        <v>221-63 Manor Rd</v>
      </c>
      <c r="F3799" s="25" t="s">
        <v>69</v>
      </c>
      <c r="G3799" s="28">
        <v>310000.0</v>
      </c>
      <c r="H3799" s="29"/>
      <c r="I3799" s="28">
        <v>0.0</v>
      </c>
      <c r="J3799" s="28">
        <v>0.0</v>
      </c>
      <c r="K3799" s="25" t="s">
        <v>25</v>
      </c>
      <c r="L3799" s="26">
        <v>5.0</v>
      </c>
      <c r="M3799" s="26">
        <v>2.0</v>
      </c>
      <c r="N3799" s="26">
        <v>1.0</v>
      </c>
      <c r="O3799" s="30"/>
      <c r="P3799" s="30"/>
      <c r="Q3799" s="35">
        <v>421.0</v>
      </c>
      <c r="R3799" s="32">
        <v>45597.0</v>
      </c>
      <c r="S3799" s="32">
        <v>44018.0</v>
      </c>
      <c r="T3799" s="29"/>
      <c r="U3799" s="33"/>
      <c r="V3799" s="1"/>
    </row>
    <row r="3800" ht="24.0" customHeight="1">
      <c r="A3800" s="1"/>
      <c r="B3800" s="24" t="str">
        <f>HYPERLINK("https://www.compass.com/listing/225-04-manor-road-unit-duplex-queens-ny-11427/1730748763153606345/view?agent_id=610d3f3370540700019b0833","225-04 Manor Road, Unit DUPLEX")</f>
        <v>225-04 Manor Road, Unit DUPLEX</v>
      </c>
      <c r="C3800" s="25" t="s">
        <v>370</v>
      </c>
      <c r="D3800" s="26" t="s">
        <v>23</v>
      </c>
      <c r="E3800" s="27" t="str">
        <f>HYPERLINK("https://www.compass.com/building/225-04-manor-rd-queens-ny-11427/455674546452962389/","225-04 Manor Rd")</f>
        <v>225-04 Manor Rd</v>
      </c>
      <c r="F3800" s="25" t="s">
        <v>69</v>
      </c>
      <c r="G3800" s="28">
        <v>192000.0</v>
      </c>
      <c r="H3800" s="29"/>
      <c r="I3800" s="28">
        <v>0.0</v>
      </c>
      <c r="J3800" s="28">
        <v>0.0</v>
      </c>
      <c r="K3800" s="25" t="s">
        <v>25</v>
      </c>
      <c r="L3800" s="26">
        <v>5.0</v>
      </c>
      <c r="M3800" s="26">
        <v>2.0</v>
      </c>
      <c r="N3800" s="26">
        <v>1.0</v>
      </c>
      <c r="O3800" s="30"/>
      <c r="P3800" s="30"/>
      <c r="Q3800" s="35">
        <v>731.0</v>
      </c>
      <c r="R3800" s="32">
        <v>45597.0</v>
      </c>
      <c r="S3800" s="32">
        <v>41809.0</v>
      </c>
      <c r="T3800" s="29"/>
      <c r="U3800" s="33"/>
      <c r="V3800" s="1"/>
    </row>
    <row r="3801" ht="24.0" customHeight="1">
      <c r="A3801" s="1"/>
      <c r="B3801" s="24" t="str">
        <f>HYPERLINK("https://www.compass.com/listing/19-16-80th-street-unit-1-queens-ny-11370/562993444866491721/view?agent_id=610d3f3370540700019b0833","19-16 80th Street, Unit 1")</f>
        <v>19-16 80th Street, Unit 1</v>
      </c>
      <c r="C3801" s="25" t="s">
        <v>370</v>
      </c>
      <c r="D3801" s="26" t="s">
        <v>23</v>
      </c>
      <c r="E3801" s="27" t="str">
        <f>HYPERLINK("https://www.compass.com/building/19-16-80th-st-queens-ny-11370/307446330687239493/","19-16 80th St")</f>
        <v>19-16 80th St</v>
      </c>
      <c r="F3801" s="25" t="s">
        <v>68</v>
      </c>
      <c r="G3801" s="28">
        <v>484000.0</v>
      </c>
      <c r="H3801" s="28">
        <v>627.0</v>
      </c>
      <c r="I3801" s="28">
        <v>842.0</v>
      </c>
      <c r="J3801" s="28">
        <v>3687.0</v>
      </c>
      <c r="K3801" s="25" t="s">
        <v>28</v>
      </c>
      <c r="L3801" s="26">
        <v>4.0</v>
      </c>
      <c r="M3801" s="26">
        <v>2.0</v>
      </c>
      <c r="N3801" s="26">
        <v>1.0</v>
      </c>
      <c r="O3801" s="26">
        <v>0.0</v>
      </c>
      <c r="P3801" s="26">
        <v>772.0</v>
      </c>
      <c r="Q3801" s="35">
        <v>167.0</v>
      </c>
      <c r="R3801" s="32">
        <v>44214.0</v>
      </c>
      <c r="S3801" s="32">
        <v>44046.0</v>
      </c>
      <c r="T3801" s="29"/>
      <c r="U3801" s="33"/>
      <c r="V3801" s="1"/>
    </row>
    <row r="3802" ht="24.0" customHeight="1">
      <c r="A3802" s="1"/>
      <c r="B3802" s="24" t="str">
        <f>HYPERLINK("https://www.compass.com/listing/227-15-88th-avenue-unit-lowr-queens-ny-11427/1595637057562808601/view?agent_id=610d3f3370540700019b0833","227-15 88th Avenue, Unit LOWR")</f>
        <v>227-15 88th Avenue, Unit LOWR</v>
      </c>
      <c r="C3802" s="25" t="s">
        <v>364</v>
      </c>
      <c r="D3802" s="26" t="s">
        <v>23</v>
      </c>
      <c r="E3802" s="27" t="str">
        <f>HYPERLINK("https://www.compass.com/building/227-15-88th-ave-queens-ny-11427/381302875964792181/","227-15 88th Ave")</f>
        <v>227-15 88th Ave</v>
      </c>
      <c r="F3802" s="25" t="s">
        <v>69</v>
      </c>
      <c r="G3802" s="28">
        <v>279000.0</v>
      </c>
      <c r="H3802" s="29"/>
      <c r="I3802" s="28">
        <v>818.0</v>
      </c>
      <c r="J3802" s="28">
        <v>0.0</v>
      </c>
      <c r="K3802" s="25" t="s">
        <v>25</v>
      </c>
      <c r="L3802" s="26">
        <v>4.0</v>
      </c>
      <c r="M3802" s="26">
        <v>2.0</v>
      </c>
      <c r="N3802" s="26">
        <v>1.0</v>
      </c>
      <c r="O3802" s="30"/>
      <c r="P3802" s="30"/>
      <c r="Q3802" s="35">
        <v>0.0</v>
      </c>
      <c r="R3802" s="32">
        <v>45453.0</v>
      </c>
      <c r="S3802" s="32">
        <v>45453.0</v>
      </c>
      <c r="T3802" s="29"/>
      <c r="U3802" s="33"/>
      <c r="V3802" s="1"/>
    </row>
    <row r="3803" ht="24.0" customHeight="1">
      <c r="A3803" s="1"/>
      <c r="B3803" s="24" t="str">
        <f>HYPERLINK("https://www.compass.com/listing/224-29-manor-road-unit-duplex-queens-ny-11427/1730725979123973265/view?agent_id=610d3f3370540700019b0833","224-29 Manor Road, Unit DUPLEX")</f>
        <v>224-29 Manor Road, Unit DUPLEX</v>
      </c>
      <c r="C3803" s="25" t="s">
        <v>370</v>
      </c>
      <c r="D3803" s="26" t="s">
        <v>23</v>
      </c>
      <c r="E3803" s="27" t="str">
        <f>HYPERLINK("https://www.compass.com/building/224-29-manor-rd-queens-ny-11427/381308631975495157/","224-29 Manor Rd")</f>
        <v>224-29 Manor Rd</v>
      </c>
      <c r="F3803" s="25" t="s">
        <v>69</v>
      </c>
      <c r="G3803" s="28">
        <v>239999.0</v>
      </c>
      <c r="H3803" s="29"/>
      <c r="I3803" s="28">
        <v>0.0</v>
      </c>
      <c r="J3803" s="28">
        <v>0.0</v>
      </c>
      <c r="K3803" s="25" t="s">
        <v>25</v>
      </c>
      <c r="L3803" s="26">
        <v>5.0</v>
      </c>
      <c r="M3803" s="26">
        <v>2.0</v>
      </c>
      <c r="N3803" s="26">
        <v>1.0</v>
      </c>
      <c r="O3803" s="30"/>
      <c r="P3803" s="30"/>
      <c r="Q3803" s="35">
        <v>236.0</v>
      </c>
      <c r="R3803" s="32">
        <v>45612.0</v>
      </c>
      <c r="S3803" s="32">
        <v>40915.0</v>
      </c>
      <c r="T3803" s="29"/>
      <c r="U3803" s="33"/>
      <c r="V3803" s="1"/>
    </row>
    <row r="3804" ht="24.0" customHeight="1">
      <c r="A3804" s="1"/>
      <c r="B3804" s="24" t="str">
        <f>HYPERLINK("https://www.compass.com/listing/727-vermont-street-brooklyn-ny-11207/1726686374589248665/view?agent_id=610d3f3370540700019b0833","727 Vermont Street")</f>
        <v>727 Vermont Street</v>
      </c>
      <c r="C3804" s="25" t="s">
        <v>370</v>
      </c>
      <c r="D3804" s="26" t="s">
        <v>23</v>
      </c>
      <c r="E3804" s="27" t="str">
        <f>HYPERLINK("https://www.compass.com/building/727-vermont-st-brooklyn-ny-11207/293417810246274021/","727 Vermont St")</f>
        <v>727 Vermont St</v>
      </c>
      <c r="F3804" s="25" t="s">
        <v>85</v>
      </c>
      <c r="G3804" s="28">
        <v>125000.0</v>
      </c>
      <c r="H3804" s="28">
        <v>106.0</v>
      </c>
      <c r="I3804" s="28">
        <v>117.0</v>
      </c>
      <c r="J3804" s="28">
        <v>1404.0</v>
      </c>
      <c r="K3804" s="25" t="s">
        <v>97</v>
      </c>
      <c r="L3804" s="26">
        <v>0.0</v>
      </c>
      <c r="M3804" s="26">
        <v>2.0</v>
      </c>
      <c r="N3804" s="30"/>
      <c r="O3804" s="30"/>
      <c r="P3804" s="34">
        <v>1176.0</v>
      </c>
      <c r="Q3804" s="35">
        <v>365.0</v>
      </c>
      <c r="R3804" s="32">
        <v>45634.0</v>
      </c>
      <c r="S3804" s="32">
        <v>41800.0</v>
      </c>
      <c r="T3804" s="29"/>
      <c r="U3804" s="33"/>
      <c r="V3804" s="1"/>
    </row>
    <row r="3805" ht="24.0" customHeight="1">
      <c r="A3805" s="1"/>
      <c r="B3805" s="24" t="str">
        <f>HYPERLINK("https://www.compass.com/listing/224-06-stronghurst-avenue-unit-uppr-queens-ny-11427/1730802348827074025/view?agent_id=610d3f3370540700019b0833","224-06 Stronghurst Avenue, Unit UPPR")</f>
        <v>224-06 Stronghurst Avenue, Unit UPPR</v>
      </c>
      <c r="C3805" s="25" t="s">
        <v>370</v>
      </c>
      <c r="D3805" s="26" t="s">
        <v>23</v>
      </c>
      <c r="E3805" s="27" t="str">
        <f>HYPERLINK("https://www.compass.com/building/224-06-stronghurst-ave-queens-ny-11427/445805056345313053/","224-06 Stronghurst Ave")</f>
        <v>224-06 Stronghurst Ave</v>
      </c>
      <c r="F3805" s="25" t="s">
        <v>69</v>
      </c>
      <c r="G3805" s="28">
        <v>150000.0</v>
      </c>
      <c r="H3805" s="29"/>
      <c r="I3805" s="28">
        <v>0.0</v>
      </c>
      <c r="J3805" s="28">
        <v>0.0</v>
      </c>
      <c r="K3805" s="25" t="s">
        <v>25</v>
      </c>
      <c r="L3805" s="26">
        <v>5.0</v>
      </c>
      <c r="M3805" s="26">
        <v>2.0</v>
      </c>
      <c r="N3805" s="26">
        <v>1.0</v>
      </c>
      <c r="O3805" s="30"/>
      <c r="P3805" s="30"/>
      <c r="Q3805" s="35">
        <v>363.0</v>
      </c>
      <c r="R3805" s="32">
        <v>45597.0</v>
      </c>
      <c r="S3805" s="32">
        <v>41791.0</v>
      </c>
      <c r="T3805" s="29"/>
      <c r="U3805" s="33"/>
      <c r="V3805" s="1"/>
    </row>
    <row r="3806" ht="24.0" customHeight="1">
      <c r="A3806" s="1"/>
      <c r="B3806" s="24" t="str">
        <f>HYPERLINK("https://www.compass.com/listing/225-08-stronghurst-avenue-unit-u-queens-ny-11427/997956092204070993/view?agent_id=610d3f3370540700019b0833","225-08 Stronghurst Avenue, Unit U")</f>
        <v>225-08 Stronghurst Avenue, Unit U</v>
      </c>
      <c r="C3806" s="25" t="s">
        <v>364</v>
      </c>
      <c r="D3806" s="26" t="s">
        <v>23</v>
      </c>
      <c r="E3806" s="27" t="str">
        <f>HYPERLINK("https://www.compass.com/building/225-08-stronghurst-ave-queens-ny-11427/441150925764531613/","225-08 Stronghurst Ave")</f>
        <v>225-08 Stronghurst Ave</v>
      </c>
      <c r="F3806" s="25" t="s">
        <v>69</v>
      </c>
      <c r="G3806" s="28">
        <v>269999.0</v>
      </c>
      <c r="H3806" s="29"/>
      <c r="I3806" s="28">
        <v>769.0</v>
      </c>
      <c r="J3806" s="28">
        <v>9228.0</v>
      </c>
      <c r="K3806" s="25" t="s">
        <v>25</v>
      </c>
      <c r="L3806" s="26">
        <v>5.0</v>
      </c>
      <c r="M3806" s="26">
        <v>2.0</v>
      </c>
      <c r="N3806" s="26">
        <v>1.0</v>
      </c>
      <c r="O3806" s="26">
        <v>0.0</v>
      </c>
      <c r="P3806" s="30"/>
      <c r="Q3806" s="35">
        <v>73.0</v>
      </c>
      <c r="R3806" s="32">
        <v>44701.0</v>
      </c>
      <c r="S3806" s="32">
        <v>44628.0</v>
      </c>
      <c r="T3806" s="29"/>
      <c r="U3806" s="33"/>
      <c r="V3806" s="1"/>
    </row>
    <row r="3807" ht="24.0" customHeight="1">
      <c r="A3807" s="1"/>
      <c r="B3807" s="24" t="str">
        <f>HYPERLINK("https://www.compass.com/listing/221-67-manor-road-unit-dup-queens-ny-11427/621700804872783497/view?agent_id=610d3f3370540700019b0833","221-67 Manor Road, Unit DUP")</f>
        <v>221-67 Manor Road, Unit DUP</v>
      </c>
      <c r="C3807" s="25" t="s">
        <v>370</v>
      </c>
      <c r="D3807" s="26" t="s">
        <v>23</v>
      </c>
      <c r="E3807" s="27" t="str">
        <f>HYPERLINK("https://www.compass.com/building/221-67-manor-rd-queens-ny-11427/307440293514967781/","221-67 Manor Rd")</f>
        <v>221-67 Manor Rd</v>
      </c>
      <c r="F3807" s="25" t="s">
        <v>69</v>
      </c>
      <c r="G3807" s="28">
        <v>338000.0</v>
      </c>
      <c r="H3807" s="29"/>
      <c r="I3807" s="28">
        <v>751.0</v>
      </c>
      <c r="J3807" s="28">
        <v>0.0</v>
      </c>
      <c r="K3807" s="25" t="s">
        <v>25</v>
      </c>
      <c r="L3807" s="26">
        <v>5.0</v>
      </c>
      <c r="M3807" s="26">
        <v>2.0</v>
      </c>
      <c r="N3807" s="26">
        <v>1.0</v>
      </c>
      <c r="O3807" s="30"/>
      <c r="P3807" s="30"/>
      <c r="Q3807" s="35">
        <v>161.0</v>
      </c>
      <c r="R3807" s="32">
        <v>44271.0</v>
      </c>
      <c r="S3807" s="32">
        <v>44109.0</v>
      </c>
      <c r="T3807" s="29"/>
      <c r="U3807" s="33"/>
      <c r="V3807" s="1"/>
    </row>
    <row r="3808" ht="24.0" customHeight="1">
      <c r="A3808" s="1"/>
      <c r="B3808" s="24" t="str">
        <f>HYPERLINK("https://www.compass.com/listing/87-03-springfield-boulevard-unit-l-queens-ny-11427/1055728502468078569/view?agent_id=610d3f3370540700019b0833","87-03 Springfield Boulevard, Unit L")</f>
        <v>87-03 Springfield Boulevard, Unit L</v>
      </c>
      <c r="C3808" s="25" t="s">
        <v>370</v>
      </c>
      <c r="D3808" s="26" t="s">
        <v>23</v>
      </c>
      <c r="E3808" s="27" t="str">
        <f>HYPERLINK("https://www.compass.com/building/87-03-springfield-blvd-queens-ny-11427/467392165262797429/","87-03 Springfield Blvd")</f>
        <v>87-03 Springfield Blvd</v>
      </c>
      <c r="F3808" s="25" t="s">
        <v>98</v>
      </c>
      <c r="G3808" s="28">
        <v>250000.0</v>
      </c>
      <c r="H3808" s="29"/>
      <c r="I3808" s="28">
        <v>709.0</v>
      </c>
      <c r="J3808" s="28">
        <v>0.0</v>
      </c>
      <c r="K3808" s="25" t="s">
        <v>25</v>
      </c>
      <c r="L3808" s="26">
        <v>5.0</v>
      </c>
      <c r="M3808" s="26">
        <v>2.0</v>
      </c>
      <c r="N3808" s="26">
        <v>1.0</v>
      </c>
      <c r="O3808" s="26">
        <v>0.0</v>
      </c>
      <c r="P3808" s="30"/>
      <c r="Q3808" s="35">
        <v>76.0</v>
      </c>
      <c r="R3808" s="32">
        <v>45075.0</v>
      </c>
      <c r="S3808" s="32">
        <v>44998.0</v>
      </c>
      <c r="T3808" s="29"/>
      <c r="U3808" s="33"/>
      <c r="V3808" s="1"/>
    </row>
    <row r="3809" ht="24.0" customHeight="1">
      <c r="A3809" s="1"/>
      <c r="B3809" s="24" t="str">
        <f>HYPERLINK("https://www.compass.com/listing/221-15-manor-road-unit-u-queens-ny-11427/1119591341001259289/view?agent_id=610d3f3370540700019b0833","221-15 Manor Road, Unit U")</f>
        <v>221-15 Manor Road, Unit U</v>
      </c>
      <c r="C3809" s="25" t="s">
        <v>364</v>
      </c>
      <c r="D3809" s="26" t="s">
        <v>23</v>
      </c>
      <c r="E3809" s="27" t="str">
        <f>HYPERLINK("https://www.compass.com/building/221-15-manor-rd-queens-ny-11427/381301998768322501/","221-15 Manor Rd")</f>
        <v>221-15 Manor Rd</v>
      </c>
      <c r="F3809" s="25" t="s">
        <v>69</v>
      </c>
      <c r="G3809" s="28">
        <v>239000.0</v>
      </c>
      <c r="H3809" s="29"/>
      <c r="I3809" s="28">
        <v>709.0</v>
      </c>
      <c r="J3809" s="28">
        <v>8504.0</v>
      </c>
      <c r="K3809" s="25" t="s">
        <v>25</v>
      </c>
      <c r="L3809" s="26">
        <v>5.0</v>
      </c>
      <c r="M3809" s="26">
        <v>2.0</v>
      </c>
      <c r="N3809" s="26">
        <v>1.0</v>
      </c>
      <c r="O3809" s="26">
        <v>0.0</v>
      </c>
      <c r="P3809" s="30"/>
      <c r="Q3809" s="35">
        <v>71.0</v>
      </c>
      <c r="R3809" s="32">
        <v>44868.0</v>
      </c>
      <c r="S3809" s="32">
        <v>44796.0</v>
      </c>
      <c r="T3809" s="29"/>
      <c r="U3809" s="33"/>
      <c r="V3809" s="1"/>
    </row>
    <row r="3810" ht="24.0" customHeight="1">
      <c r="A3810" s="1"/>
      <c r="B3810" s="24" t="str">
        <f>HYPERLINK("https://www.compass.com/listing/229-10-87th-avenue-unit-d-queens-ny-11427/1200058970337030809/view?agent_id=610d3f3370540700019b0833","229-10 87th Avenue, Unit D")</f>
        <v>229-10 87th Avenue, Unit D</v>
      </c>
      <c r="C3810" s="25" t="s">
        <v>364</v>
      </c>
      <c r="D3810" s="26" t="s">
        <v>23</v>
      </c>
      <c r="E3810" s="27" t="str">
        <f>HYPERLINK("https://www.compass.com/building/229-10-87th-ave-queens-ny-11427/381306060664601669/","229-10 87th Ave")</f>
        <v>229-10 87th Ave</v>
      </c>
      <c r="F3810" s="25" t="s">
        <v>69</v>
      </c>
      <c r="G3810" s="28">
        <v>310000.0</v>
      </c>
      <c r="H3810" s="29"/>
      <c r="I3810" s="28">
        <v>811.0</v>
      </c>
      <c r="J3810" s="28">
        <v>9727.0</v>
      </c>
      <c r="K3810" s="25" t="s">
        <v>25</v>
      </c>
      <c r="L3810" s="26">
        <v>5.0</v>
      </c>
      <c r="M3810" s="26">
        <v>2.0</v>
      </c>
      <c r="N3810" s="26">
        <v>1.0</v>
      </c>
      <c r="O3810" s="26">
        <v>0.0</v>
      </c>
      <c r="P3810" s="30"/>
      <c r="Q3810" s="35">
        <v>88.0</v>
      </c>
      <c r="R3810" s="32">
        <v>44995.0</v>
      </c>
      <c r="S3810" s="32">
        <v>44907.0</v>
      </c>
      <c r="T3810" s="29"/>
      <c r="U3810" s="33"/>
      <c r="V3810" s="1"/>
    </row>
    <row r="3811" ht="24.0" customHeight="1">
      <c r="A3811" s="1"/>
      <c r="B3811" s="24" t="str">
        <f>HYPERLINK("https://www.compass.com/listing/226-02-manor-road-unit-uppr-queens-ny-11427/1296367076399001305/view?agent_id=610d3f3370540700019b0833","226-02 Manor Road, Unit UPPR")</f>
        <v>226-02 Manor Road, Unit UPPR</v>
      </c>
      <c r="C3811" s="25" t="s">
        <v>370</v>
      </c>
      <c r="D3811" s="26" t="s">
        <v>23</v>
      </c>
      <c r="E3811" s="27" t="str">
        <f t="shared" ref="E3811:E3812" si="144">HYPERLINK("https://www.compass.com/building/226-02-manor-rd-queens-ny-11427/445803619376751453/","226-02 Manor Rd")</f>
        <v>226-02 Manor Rd</v>
      </c>
      <c r="F3811" s="25" t="s">
        <v>69</v>
      </c>
      <c r="G3811" s="28">
        <v>262000.0</v>
      </c>
      <c r="H3811" s="29"/>
      <c r="I3811" s="28">
        <v>0.0</v>
      </c>
      <c r="J3811" s="28">
        <v>0.0</v>
      </c>
      <c r="K3811" s="25" t="s">
        <v>25</v>
      </c>
      <c r="L3811" s="26">
        <v>5.0</v>
      </c>
      <c r="M3811" s="26">
        <v>2.0</v>
      </c>
      <c r="N3811" s="26">
        <v>1.0</v>
      </c>
      <c r="O3811" s="30"/>
      <c r="P3811" s="30"/>
      <c r="Q3811" s="35">
        <v>282.0</v>
      </c>
      <c r="R3811" s="32">
        <v>45597.0</v>
      </c>
      <c r="S3811" s="32">
        <v>45040.0</v>
      </c>
      <c r="T3811" s="29"/>
      <c r="U3811" s="33"/>
      <c r="V3811" s="1"/>
    </row>
    <row r="3812" ht="24.0" customHeight="1">
      <c r="A3812" s="1"/>
      <c r="B3812" s="24" t="str">
        <f>HYPERLINK("https://www.compass.com/listing/226-02-manor-road-unit-u-queens-ny-11427/1296373636172400953/view?agent_id=610d3f3370540700019b0833","226-02 Manor Road, Unit U")</f>
        <v>226-02 Manor Road, Unit U</v>
      </c>
      <c r="C3812" s="25" t="s">
        <v>370</v>
      </c>
      <c r="D3812" s="26" t="s">
        <v>23</v>
      </c>
      <c r="E3812" s="27" t="str">
        <f t="shared" si="144"/>
        <v>226-02 Manor Rd</v>
      </c>
      <c r="F3812" s="25" t="s">
        <v>69</v>
      </c>
      <c r="G3812" s="28">
        <v>262000.0</v>
      </c>
      <c r="H3812" s="29"/>
      <c r="I3812" s="28">
        <v>807.0</v>
      </c>
      <c r="J3812" s="28">
        <v>9684.0</v>
      </c>
      <c r="K3812" s="25" t="s">
        <v>25</v>
      </c>
      <c r="L3812" s="26">
        <v>5.0</v>
      </c>
      <c r="M3812" s="26">
        <v>2.0</v>
      </c>
      <c r="N3812" s="26">
        <v>1.0</v>
      </c>
      <c r="O3812" s="26">
        <v>0.0</v>
      </c>
      <c r="P3812" s="30"/>
      <c r="Q3812" s="35">
        <v>282.0</v>
      </c>
      <c r="R3812" s="32">
        <v>45323.0</v>
      </c>
      <c r="S3812" s="32">
        <v>45040.0</v>
      </c>
      <c r="T3812" s="29"/>
      <c r="U3812" s="33"/>
      <c r="V3812" s="1"/>
    </row>
    <row r="3813" ht="24.0" customHeight="1">
      <c r="A3813" s="1"/>
      <c r="B3813" s="24" t="str">
        <f>HYPERLINK("https://www.compass.com/listing/221-15-manor-road-unit-uppr-queens-ny-11427/1296747524299935049/view?agent_id=610d3f3370540700019b0833","221-15 Manor Road, Unit UPPR")</f>
        <v>221-15 Manor Road, Unit UPPR</v>
      </c>
      <c r="C3813" s="25" t="s">
        <v>370</v>
      </c>
      <c r="D3813" s="26" t="s">
        <v>23</v>
      </c>
      <c r="E3813" s="27" t="str">
        <f>HYPERLINK("https://www.compass.com/building/221-15-manor-rd-queens-ny-11427/381301998768322501/","221-15 Manor Rd")</f>
        <v>221-15 Manor Rd</v>
      </c>
      <c r="F3813" s="25" t="s">
        <v>69</v>
      </c>
      <c r="G3813" s="28">
        <v>239000.0</v>
      </c>
      <c r="H3813" s="29"/>
      <c r="I3813" s="28">
        <v>743.0</v>
      </c>
      <c r="J3813" s="28">
        <v>0.0</v>
      </c>
      <c r="K3813" s="25" t="s">
        <v>25</v>
      </c>
      <c r="L3813" s="26">
        <v>5.0</v>
      </c>
      <c r="M3813" s="26">
        <v>2.0</v>
      </c>
      <c r="N3813" s="26">
        <v>1.0</v>
      </c>
      <c r="O3813" s="30"/>
      <c r="P3813" s="30"/>
      <c r="Q3813" s="31"/>
      <c r="R3813" s="32">
        <v>45380.0</v>
      </c>
      <c r="S3813" s="33"/>
      <c r="T3813" s="29"/>
      <c r="U3813" s="33"/>
      <c r="V3813" s="1"/>
    </row>
    <row r="3814" ht="24.0" customHeight="1">
      <c r="A3814" s="1"/>
      <c r="B3814" s="24" t="str">
        <f>HYPERLINK("https://www.compass.com/listing/226-37-manor-road-unit-uppr-queens-ny-11427/1342133823251391609/view?agent_id=610d3f3370540700019b0833","226-37 Manor Road, Unit UPPR")</f>
        <v>226-37 Manor Road, Unit UPPR</v>
      </c>
      <c r="C3814" s="25" t="s">
        <v>370</v>
      </c>
      <c r="D3814" s="26" t="s">
        <v>23</v>
      </c>
      <c r="E3814" s="27" t="str">
        <f>HYPERLINK("https://www.compass.com/building/226-37-manor-rd-queens-ny-11427/381296383507461493/","226-37 Manor Rd")</f>
        <v>226-37 Manor Rd</v>
      </c>
      <c r="F3814" s="25" t="s">
        <v>69</v>
      </c>
      <c r="G3814" s="28">
        <v>265000.0</v>
      </c>
      <c r="H3814" s="29"/>
      <c r="I3814" s="28">
        <v>0.0</v>
      </c>
      <c r="J3814" s="28">
        <v>0.0</v>
      </c>
      <c r="K3814" s="25" t="s">
        <v>25</v>
      </c>
      <c r="L3814" s="26">
        <v>4.0</v>
      </c>
      <c r="M3814" s="26">
        <v>2.0</v>
      </c>
      <c r="N3814" s="26">
        <v>1.0</v>
      </c>
      <c r="O3814" s="30"/>
      <c r="P3814" s="30"/>
      <c r="Q3814" s="35">
        <v>181.0</v>
      </c>
      <c r="R3814" s="32">
        <v>45597.0</v>
      </c>
      <c r="S3814" s="32">
        <v>45103.0</v>
      </c>
      <c r="T3814" s="29"/>
      <c r="U3814" s="33"/>
      <c r="V3814" s="1"/>
    </row>
    <row r="3815" ht="24.0" customHeight="1">
      <c r="A3815" s="1"/>
      <c r="B3815" s="24" t="str">
        <f>HYPERLINK("https://www.compass.com/listing/229-07-87th-avenue-unit-duplex-queens-ny-11427/1726445867217231377/view?agent_id=610d3f3370540700019b0833","229-07 87th Avenue, Unit DUPLEX")</f>
        <v>229-07 87th Avenue, Unit DUPLEX</v>
      </c>
      <c r="C3815" s="25" t="s">
        <v>370</v>
      </c>
      <c r="D3815" s="26" t="s">
        <v>23</v>
      </c>
      <c r="E3815" s="27" t="str">
        <f t="shared" ref="E3815:E3816" si="145">HYPERLINK("https://www.compass.com/building/229-07-87th-ave-queens-ny-11427/445799113301790301/","229-07 87th Ave")</f>
        <v>229-07 87th Ave</v>
      </c>
      <c r="F3815" s="25" t="s">
        <v>69</v>
      </c>
      <c r="G3815" s="28">
        <v>199000.0</v>
      </c>
      <c r="H3815" s="29"/>
      <c r="I3815" s="28">
        <v>0.0</v>
      </c>
      <c r="J3815" s="28">
        <v>0.0</v>
      </c>
      <c r="K3815" s="25" t="s">
        <v>25</v>
      </c>
      <c r="L3815" s="26">
        <v>5.0</v>
      </c>
      <c r="M3815" s="26">
        <v>2.0</v>
      </c>
      <c r="N3815" s="26">
        <v>1.0</v>
      </c>
      <c r="O3815" s="30"/>
      <c r="P3815" s="30"/>
      <c r="Q3815" s="35">
        <v>177.0</v>
      </c>
      <c r="R3815" s="32">
        <v>45633.0</v>
      </c>
      <c r="S3815" s="32">
        <v>41697.0</v>
      </c>
      <c r="T3815" s="29"/>
      <c r="U3815" s="33"/>
      <c r="V3815" s="1"/>
    </row>
    <row r="3816" ht="24.0" customHeight="1">
      <c r="A3816" s="1"/>
      <c r="B3816" s="24" t="str">
        <f>HYPERLINK("https://www.compass.com/listing/229-07-87th-avenue-unit-duplex-queens-ny-11427/1726776403277821561/view?agent_id=610d3f3370540700019b0833","229-07 87th Avenue, Unit DUPLEX")</f>
        <v>229-07 87th Avenue, Unit DUPLEX</v>
      </c>
      <c r="C3816" s="25" t="s">
        <v>370</v>
      </c>
      <c r="D3816" s="26" t="s">
        <v>23</v>
      </c>
      <c r="E3816" s="27" t="str">
        <f t="shared" si="145"/>
        <v>229-07 87th Ave</v>
      </c>
      <c r="F3816" s="25" t="s">
        <v>69</v>
      </c>
      <c r="G3816" s="28">
        <v>199000.0</v>
      </c>
      <c r="H3816" s="29"/>
      <c r="I3816" s="28">
        <v>0.0</v>
      </c>
      <c r="J3816" s="28">
        <v>0.0</v>
      </c>
      <c r="K3816" s="25" t="s">
        <v>25</v>
      </c>
      <c r="L3816" s="26">
        <v>5.0</v>
      </c>
      <c r="M3816" s="26">
        <v>2.0</v>
      </c>
      <c r="N3816" s="26">
        <v>1.0</v>
      </c>
      <c r="O3816" s="30"/>
      <c r="P3816" s="30"/>
      <c r="Q3816" s="35">
        <v>457.0</v>
      </c>
      <c r="R3816" s="32">
        <v>45634.0</v>
      </c>
      <c r="S3816" s="32">
        <v>41878.0</v>
      </c>
      <c r="T3816" s="29"/>
      <c r="U3816" s="33"/>
      <c r="V3816" s="1"/>
    </row>
    <row r="3817" ht="24.0" customHeight="1">
      <c r="A3817" s="1"/>
      <c r="B3817" s="24" t="str">
        <f>HYPERLINK("https://www.compass.com/listing/223-02-manor-road-unit-uppr-queens-ny-11427/1726895736956140017/view?agent_id=610d3f3370540700019b0833","223-02 Manor Road, Unit UPPR")</f>
        <v>223-02 Manor Road, Unit UPPR</v>
      </c>
      <c r="C3817" s="25" t="s">
        <v>370</v>
      </c>
      <c r="D3817" s="26" t="s">
        <v>23</v>
      </c>
      <c r="E3817" s="27" t="str">
        <f>HYPERLINK("https://www.compass.com/building/223-02-manor-rd-queens-ny-11427/445799672829876933/","223-02 Manor Rd")</f>
        <v>223-02 Manor Rd</v>
      </c>
      <c r="F3817" s="25" t="s">
        <v>69</v>
      </c>
      <c r="G3817" s="28">
        <v>152000.0</v>
      </c>
      <c r="H3817" s="29"/>
      <c r="I3817" s="28">
        <v>0.0</v>
      </c>
      <c r="J3817" s="28">
        <v>0.0</v>
      </c>
      <c r="K3817" s="25" t="s">
        <v>25</v>
      </c>
      <c r="L3817" s="26">
        <v>5.0</v>
      </c>
      <c r="M3817" s="26">
        <v>2.0</v>
      </c>
      <c r="N3817" s="26">
        <v>1.0</v>
      </c>
      <c r="O3817" s="30"/>
      <c r="P3817" s="30"/>
      <c r="Q3817" s="35">
        <v>335.0</v>
      </c>
      <c r="R3817" s="32">
        <v>45634.0</v>
      </c>
      <c r="S3817" s="32">
        <v>41991.0</v>
      </c>
      <c r="T3817" s="29"/>
      <c r="U3817" s="33"/>
      <c r="V3817" s="1"/>
    </row>
    <row r="3818" ht="24.0" customHeight="1">
      <c r="A3818" s="1"/>
      <c r="B3818" s="24" t="str">
        <f>HYPERLINK("https://www.compass.com/listing/221-15-manor-road-unit-uppr-queens-ny-11427/1729961071184534665/view?agent_id=610d3f3370540700019b0833","221-15 Manor Road, Unit UPPR")</f>
        <v>221-15 Manor Road, Unit UPPR</v>
      </c>
      <c r="C3818" s="25" t="s">
        <v>370</v>
      </c>
      <c r="D3818" s="26" t="s">
        <v>23</v>
      </c>
      <c r="E3818" s="27" t="str">
        <f>HYPERLINK("https://www.compass.com/building/221-15-manor-rd-queens-ny-11427/381301998768322501/","221-15 Manor Rd")</f>
        <v>221-15 Manor Rd</v>
      </c>
      <c r="F3818" s="25" t="s">
        <v>69</v>
      </c>
      <c r="G3818" s="28">
        <v>239000.0</v>
      </c>
      <c r="H3818" s="29"/>
      <c r="I3818" s="28">
        <v>0.0</v>
      </c>
      <c r="J3818" s="28">
        <v>0.0</v>
      </c>
      <c r="K3818" s="25" t="s">
        <v>25</v>
      </c>
      <c r="L3818" s="26">
        <v>5.0</v>
      </c>
      <c r="M3818" s="26">
        <v>2.0</v>
      </c>
      <c r="N3818" s="26">
        <v>1.0</v>
      </c>
      <c r="O3818" s="30"/>
      <c r="P3818" s="30"/>
      <c r="Q3818" s="31"/>
      <c r="R3818" s="32">
        <v>45597.0</v>
      </c>
      <c r="S3818" s="33"/>
      <c r="T3818" s="29"/>
      <c r="U3818" s="33"/>
      <c r="V3818" s="1"/>
    </row>
    <row r="3819" ht="24.0" customHeight="1">
      <c r="A3819" s="1"/>
      <c r="B3819" s="24" t="str">
        <f>HYPERLINK("https://www.compass.com/listing/224-15-manor-road-unit-lowr-queens-ny-11427/1730517454653625025/view?agent_id=610d3f3370540700019b0833","224-15 Manor Road, Unit LOWR")</f>
        <v>224-15 Manor Road, Unit LOWR</v>
      </c>
      <c r="C3819" s="25" t="s">
        <v>370</v>
      </c>
      <c r="D3819" s="26" t="s">
        <v>23</v>
      </c>
      <c r="E3819" s="27" t="str">
        <f>HYPERLINK("https://www.compass.com/building/224-15-manor-rd-queens-ny-11427/381306589238944405/","224-15 Manor Rd")</f>
        <v>224-15 Manor Rd</v>
      </c>
      <c r="F3819" s="25" t="s">
        <v>69</v>
      </c>
      <c r="G3819" s="28">
        <v>157000.0</v>
      </c>
      <c r="H3819" s="29"/>
      <c r="I3819" s="28">
        <v>0.0</v>
      </c>
      <c r="J3819" s="28">
        <v>0.0</v>
      </c>
      <c r="K3819" s="25" t="s">
        <v>25</v>
      </c>
      <c r="L3819" s="26">
        <v>5.0</v>
      </c>
      <c r="M3819" s="26">
        <v>2.0</v>
      </c>
      <c r="N3819" s="26">
        <v>1.0</v>
      </c>
      <c r="O3819" s="30"/>
      <c r="P3819" s="30"/>
      <c r="Q3819" s="35">
        <v>182.0</v>
      </c>
      <c r="R3819" s="32">
        <v>45597.0</v>
      </c>
      <c r="S3819" s="32">
        <v>41564.0</v>
      </c>
      <c r="T3819" s="29"/>
      <c r="U3819" s="33"/>
      <c r="V3819" s="1"/>
    </row>
    <row r="3820" ht="24.0" customHeight="1">
      <c r="A3820" s="1"/>
      <c r="B3820" s="24" t="str">
        <f>HYPERLINK("https://www.compass.com/listing/226-24-88th-avenue-unit-uppr-queens-ny-11427/1730618629939939145/view?agent_id=610d3f3370540700019b0833","226-24 88th Avenue, Unit UPPR")</f>
        <v>226-24 88th Avenue, Unit UPPR</v>
      </c>
      <c r="C3820" s="25" t="s">
        <v>370</v>
      </c>
      <c r="D3820" s="26" t="s">
        <v>23</v>
      </c>
      <c r="E3820" s="27" t="str">
        <f>HYPERLINK("https://www.compass.com/building/226-24-88th-ave-queens-ny-11427/381304829730215221/","226-24 88th Ave")</f>
        <v>226-24 88th Ave</v>
      </c>
      <c r="F3820" s="25" t="s">
        <v>69</v>
      </c>
      <c r="G3820" s="28">
        <v>142000.0</v>
      </c>
      <c r="H3820" s="29"/>
      <c r="I3820" s="28">
        <v>0.0</v>
      </c>
      <c r="J3820" s="28">
        <v>0.0</v>
      </c>
      <c r="K3820" s="25" t="s">
        <v>25</v>
      </c>
      <c r="L3820" s="26">
        <v>5.0</v>
      </c>
      <c r="M3820" s="26">
        <v>2.0</v>
      </c>
      <c r="N3820" s="26">
        <v>1.0</v>
      </c>
      <c r="O3820" s="30"/>
      <c r="P3820" s="30"/>
      <c r="Q3820" s="35">
        <v>259.0</v>
      </c>
      <c r="R3820" s="32">
        <v>45597.0</v>
      </c>
      <c r="S3820" s="32">
        <v>40952.0</v>
      </c>
      <c r="T3820" s="29"/>
      <c r="U3820" s="33"/>
      <c r="V3820" s="1"/>
    </row>
    <row r="3821" ht="24.0" customHeight="1">
      <c r="A3821" s="1"/>
      <c r="B3821" s="24" t="str">
        <f>HYPERLINK("https://www.compass.com/listing/229-08-87th-avenue-unit-lowr-queens-ny-11427/1730728647616036705/view?agent_id=610d3f3370540700019b0833","229-08 87th Avenue, Unit LOWR")</f>
        <v>229-08 87th Avenue, Unit LOWR</v>
      </c>
      <c r="C3821" s="25" t="s">
        <v>370</v>
      </c>
      <c r="D3821" s="26" t="s">
        <v>23</v>
      </c>
      <c r="E3821" s="27" t="str">
        <f>HYPERLINK("https://www.compass.com/building/229-08-87th-ave-queens-ny-11427/445805542205034573/","229-08 87th Ave")</f>
        <v>229-08 87th Ave</v>
      </c>
      <c r="F3821" s="25" t="s">
        <v>69</v>
      </c>
      <c r="G3821" s="28">
        <v>147000.0</v>
      </c>
      <c r="H3821" s="29"/>
      <c r="I3821" s="28">
        <v>0.0</v>
      </c>
      <c r="J3821" s="28">
        <v>0.0</v>
      </c>
      <c r="K3821" s="25" t="s">
        <v>25</v>
      </c>
      <c r="L3821" s="26">
        <v>5.0</v>
      </c>
      <c r="M3821" s="26">
        <v>2.0</v>
      </c>
      <c r="N3821" s="26">
        <v>1.0</v>
      </c>
      <c r="O3821" s="30"/>
      <c r="P3821" s="30"/>
      <c r="Q3821" s="35">
        <v>456.0</v>
      </c>
      <c r="R3821" s="32">
        <v>45597.0</v>
      </c>
      <c r="S3821" s="32">
        <v>41612.0</v>
      </c>
      <c r="T3821" s="29"/>
      <c r="U3821" s="33"/>
      <c r="V3821" s="1"/>
    </row>
    <row r="3822" ht="24.0" customHeight="1">
      <c r="A3822" s="1"/>
      <c r="B3822" s="24" t="str">
        <f>HYPERLINK("https://www.compass.com/listing/225-04-stronghurst-avenue-unit-u-queens-ny-11427/641990751075530289/view?agent_id=610d3f3370540700019b0833","225-04 Stronghurst Avenue, Unit U")</f>
        <v>225-04 Stronghurst Avenue, Unit U</v>
      </c>
      <c r="C3822" s="25" t="s">
        <v>365</v>
      </c>
      <c r="D3822" s="26" t="s">
        <v>23</v>
      </c>
      <c r="E3822" s="27" t="str">
        <f>HYPERLINK("https://www.compass.com/building/225-04-stronghurst-ave-queens-ny-11427/445083184691269165/","225-04 Stronghurst Ave")</f>
        <v>225-04 Stronghurst Ave</v>
      </c>
      <c r="F3822" s="25" t="s">
        <v>69</v>
      </c>
      <c r="G3822" s="28">
        <v>262000.0</v>
      </c>
      <c r="H3822" s="29"/>
      <c r="I3822" s="28">
        <v>751.0</v>
      </c>
      <c r="J3822" s="28">
        <v>0.0</v>
      </c>
      <c r="K3822" s="25" t="s">
        <v>25</v>
      </c>
      <c r="L3822" s="26">
        <v>5.0</v>
      </c>
      <c r="M3822" s="26">
        <v>2.0</v>
      </c>
      <c r="N3822" s="26">
        <v>1.0</v>
      </c>
      <c r="O3822" s="26">
        <v>0.0</v>
      </c>
      <c r="P3822" s="30"/>
      <c r="Q3822" s="35">
        <v>140.0</v>
      </c>
      <c r="R3822" s="32">
        <v>44278.0</v>
      </c>
      <c r="S3822" s="32">
        <v>44137.0</v>
      </c>
      <c r="T3822" s="29"/>
      <c r="U3822" s="33"/>
      <c r="V3822" s="1"/>
    </row>
    <row r="3823" ht="24.0" customHeight="1">
      <c r="A3823" s="1"/>
      <c r="B3823" s="24" t="str">
        <f>HYPERLINK("https://www.compass.com/listing/220-07-hillside-avenue-unit-u-queens-ny-11427/875325348735823601/view?agent_id=610d3f3370540700019b0833","220-07 Hillside Avenue, Unit U")</f>
        <v>220-07 Hillside Avenue, Unit U</v>
      </c>
      <c r="C3823" s="25" t="s">
        <v>364</v>
      </c>
      <c r="D3823" s="26" t="s">
        <v>23</v>
      </c>
      <c r="E3823" s="27" t="str">
        <f>HYPERLINK("https://www.compass.com/building/220-07-hillside-ave-queens-ny-11427/445800181884233397/","220-07 Hillside Ave")</f>
        <v>220-07 Hillside Ave</v>
      </c>
      <c r="F3823" s="25" t="s">
        <v>69</v>
      </c>
      <c r="G3823" s="28">
        <v>239888.0</v>
      </c>
      <c r="H3823" s="29"/>
      <c r="I3823" s="28">
        <v>692.0</v>
      </c>
      <c r="J3823" s="28">
        <v>0.0</v>
      </c>
      <c r="K3823" s="25" t="s">
        <v>25</v>
      </c>
      <c r="L3823" s="26">
        <v>5.0</v>
      </c>
      <c r="M3823" s="26">
        <v>2.0</v>
      </c>
      <c r="N3823" s="26">
        <v>1.0</v>
      </c>
      <c r="O3823" s="26">
        <v>0.0</v>
      </c>
      <c r="P3823" s="30"/>
      <c r="Q3823" s="35">
        <v>9.0</v>
      </c>
      <c r="R3823" s="32">
        <v>44468.0</v>
      </c>
      <c r="S3823" s="32">
        <v>44459.0</v>
      </c>
      <c r="T3823" s="29"/>
      <c r="U3823" s="33"/>
      <c r="V3823" s="1"/>
    </row>
    <row r="3824" ht="24.0" customHeight="1">
      <c r="A3824" s="1"/>
      <c r="B3824" s="24" t="str">
        <f>HYPERLINK("https://www.compass.com/listing/227-02-stronghurst-avenue-unit-l-queens-ny-11427/1299585964195207993/view?agent_id=610d3f3370540700019b0833","227-02 Stronghurst Avenue, Unit L")</f>
        <v>227-02 Stronghurst Avenue, Unit L</v>
      </c>
      <c r="C3824" s="25" t="s">
        <v>370</v>
      </c>
      <c r="D3824" s="26" t="s">
        <v>23</v>
      </c>
      <c r="E3824" s="27" t="str">
        <f>HYPERLINK("https://www.compass.com/building/227-02-stronghurst-ave-queens-ny-11427/567656909253728373/","227-02 Stronghurst Ave")</f>
        <v>227-02 Stronghurst Ave</v>
      </c>
      <c r="F3824" s="25" t="s">
        <v>69</v>
      </c>
      <c r="G3824" s="28">
        <v>249999.0</v>
      </c>
      <c r="H3824" s="29"/>
      <c r="I3824" s="28">
        <v>750.0</v>
      </c>
      <c r="J3824" s="29"/>
      <c r="K3824" s="25" t="s">
        <v>25</v>
      </c>
      <c r="L3824" s="26">
        <v>5.0</v>
      </c>
      <c r="M3824" s="26">
        <v>2.0</v>
      </c>
      <c r="N3824" s="26">
        <v>1.0</v>
      </c>
      <c r="O3824" s="30"/>
      <c r="P3824" s="30"/>
      <c r="Q3824" s="35">
        <v>187.0</v>
      </c>
      <c r="R3824" s="32">
        <v>44511.0</v>
      </c>
      <c r="S3824" s="32">
        <v>44034.0</v>
      </c>
      <c r="T3824" s="29"/>
      <c r="U3824" s="33"/>
      <c r="V3824" s="1"/>
    </row>
    <row r="3825" ht="24.0" customHeight="1">
      <c r="A3825" s="1"/>
      <c r="B3825" s="24" t="str">
        <f>HYPERLINK("https://www.compass.com/listing/223-17-manor-road-unit-lowr-queens-ny-11427/1299605605517040425/view?agent_id=610d3f3370540700019b0833","223-17 Manor Road, Unit LOWR")</f>
        <v>223-17 Manor Road, Unit LOWR</v>
      </c>
      <c r="C3825" s="25" t="s">
        <v>370</v>
      </c>
      <c r="D3825" s="26" t="s">
        <v>23</v>
      </c>
      <c r="E3825" s="27" t="str">
        <f t="shared" ref="E3825:E3826" si="146">HYPERLINK("https://www.compass.com/building/bell-park-manor-terrace-queens-ny/829585868737374333/","Bell Park Manor Terrace")</f>
        <v>Bell Park Manor Terrace</v>
      </c>
      <c r="F3825" s="25" t="s">
        <v>69</v>
      </c>
      <c r="G3825" s="28">
        <v>229000.0</v>
      </c>
      <c r="H3825" s="29"/>
      <c r="I3825" s="28">
        <v>692.0</v>
      </c>
      <c r="J3825" s="28">
        <v>0.0</v>
      </c>
      <c r="K3825" s="25" t="s">
        <v>25</v>
      </c>
      <c r="L3825" s="26">
        <v>4.0</v>
      </c>
      <c r="M3825" s="26">
        <v>2.0</v>
      </c>
      <c r="N3825" s="26">
        <v>1.0</v>
      </c>
      <c r="O3825" s="30"/>
      <c r="P3825" s="30"/>
      <c r="Q3825" s="31"/>
      <c r="R3825" s="32">
        <v>45027.0</v>
      </c>
      <c r="S3825" s="33"/>
      <c r="T3825" s="29"/>
      <c r="U3825" s="33"/>
      <c r="V3825" s="1"/>
    </row>
    <row r="3826" ht="24.0" customHeight="1">
      <c r="A3826" s="1"/>
      <c r="B3826" s="24" t="str">
        <f>HYPERLINK("https://www.compass.com/listing/223-17-manor-road-unit-lowr-queens-ny-11427/1729960750383525577/view?agent_id=610d3f3370540700019b0833","223-17 Manor Road, Unit LOWR")</f>
        <v>223-17 Manor Road, Unit LOWR</v>
      </c>
      <c r="C3826" s="25" t="s">
        <v>370</v>
      </c>
      <c r="D3826" s="26" t="s">
        <v>23</v>
      </c>
      <c r="E3826" s="27" t="str">
        <f t="shared" si="146"/>
        <v>Bell Park Manor Terrace</v>
      </c>
      <c r="F3826" s="25" t="s">
        <v>69</v>
      </c>
      <c r="G3826" s="28">
        <v>229000.0</v>
      </c>
      <c r="H3826" s="29"/>
      <c r="I3826" s="28">
        <v>0.0</v>
      </c>
      <c r="J3826" s="28">
        <v>0.0</v>
      </c>
      <c r="K3826" s="25" t="s">
        <v>25</v>
      </c>
      <c r="L3826" s="26">
        <v>4.0</v>
      </c>
      <c r="M3826" s="26">
        <v>2.0</v>
      </c>
      <c r="N3826" s="26">
        <v>1.0</v>
      </c>
      <c r="O3826" s="30"/>
      <c r="P3826" s="30"/>
      <c r="Q3826" s="31"/>
      <c r="R3826" s="32">
        <v>45597.0</v>
      </c>
      <c r="S3826" s="33"/>
      <c r="T3826" s="29"/>
      <c r="U3826" s="33"/>
      <c r="V3826" s="1"/>
    </row>
    <row r="3827" ht="24.0" customHeight="1">
      <c r="A3827" s="1"/>
      <c r="B3827" s="24" t="str">
        <f>HYPERLINK("https://www.compass.com/listing/82-16-229th-street-unit-duplex-queens-ny-11427/369486683363494657/view?agent_id=610d3f3370540700019b0833","82-16 229th Street, Unit Duplex")</f>
        <v>82-16 229th Street, Unit Duplex</v>
      </c>
      <c r="C3827" s="25" t="s">
        <v>370</v>
      </c>
      <c r="D3827" s="26" t="s">
        <v>23</v>
      </c>
      <c r="E3827" s="27" t="str">
        <f>HYPERLINK("https://www.compass.com/building/bell-park-manor-terrace-queens-ny/307453638918031493/","Bell Park Manor Terrace")</f>
        <v>Bell Park Manor Terrace</v>
      </c>
      <c r="F3827" s="25" t="s">
        <v>69</v>
      </c>
      <c r="G3827" s="28">
        <v>294888.0</v>
      </c>
      <c r="H3827" s="29"/>
      <c r="I3827" s="28">
        <v>735.0</v>
      </c>
      <c r="J3827" s="28">
        <v>0.0</v>
      </c>
      <c r="K3827" s="25" t="s">
        <v>25</v>
      </c>
      <c r="L3827" s="26">
        <v>5.0</v>
      </c>
      <c r="M3827" s="26">
        <v>2.0</v>
      </c>
      <c r="N3827" s="26">
        <v>1.0</v>
      </c>
      <c r="O3827" s="26">
        <v>0.0</v>
      </c>
      <c r="P3827" s="30"/>
      <c r="Q3827" s="35">
        <v>221.0</v>
      </c>
      <c r="R3827" s="32">
        <v>44141.0</v>
      </c>
      <c r="S3827" s="32">
        <v>43825.0</v>
      </c>
      <c r="T3827" s="29"/>
      <c r="U3827" s="33"/>
      <c r="V3827" s="1"/>
    </row>
    <row r="3828" ht="24.0" customHeight="1">
      <c r="A3828" s="1"/>
      <c r="B3828" s="24" t="str">
        <f>HYPERLINK("https://www.compass.com/listing/223-17-manor-road-unit-l-queens-ny-11427/621703895514772025/view?agent_id=610d3f3370540700019b0833","223-17 Manor Road, Unit L")</f>
        <v>223-17 Manor Road, Unit L</v>
      </c>
      <c r="C3828" s="25" t="s">
        <v>370</v>
      </c>
      <c r="D3828" s="26" t="s">
        <v>23</v>
      </c>
      <c r="E3828" s="27" t="str">
        <f>HYPERLINK("https://www.compass.com/building/bell-park-manor-terrace-queens-ny/829585868737374333/","Bell Park Manor Terrace")</f>
        <v>Bell Park Manor Terrace</v>
      </c>
      <c r="F3828" s="25" t="s">
        <v>69</v>
      </c>
      <c r="G3828" s="28">
        <v>229000.0</v>
      </c>
      <c r="H3828" s="29"/>
      <c r="I3828" s="28">
        <v>692.0</v>
      </c>
      <c r="J3828" s="28">
        <v>0.0</v>
      </c>
      <c r="K3828" s="25" t="s">
        <v>25</v>
      </c>
      <c r="L3828" s="26">
        <v>4.0</v>
      </c>
      <c r="M3828" s="26">
        <v>2.0</v>
      </c>
      <c r="N3828" s="26">
        <v>1.0</v>
      </c>
      <c r="O3828" s="26">
        <v>0.0</v>
      </c>
      <c r="P3828" s="30"/>
      <c r="Q3828" s="35">
        <v>804.0</v>
      </c>
      <c r="R3828" s="32">
        <v>44914.0</v>
      </c>
      <c r="S3828" s="32">
        <v>44109.0</v>
      </c>
      <c r="T3828" s="29"/>
      <c r="U3828" s="33"/>
      <c r="V3828" s="1"/>
    </row>
    <row r="3829" ht="24.0" customHeight="1">
      <c r="A3829" s="1"/>
      <c r="B3829" s="24" t="str">
        <f>HYPERLINK("https://www.compass.com/listing/221-63-manor-road-unit-dup-queens-ny-11427/639006628244809873/view?agent_id=610d3f3370540700019b0833","221-63 Manor Road, Unit DUP")</f>
        <v>221-63 Manor Road, Unit DUP</v>
      </c>
      <c r="C3829" s="25" t="s">
        <v>370</v>
      </c>
      <c r="D3829" s="26" t="s">
        <v>23</v>
      </c>
      <c r="E3829" s="27" t="str">
        <f>HYPERLINK("https://www.compass.com/building/221-63-manor-rd-queens-ny-11427/307451141293759301/","221-63 Manor Rd")</f>
        <v>221-63 Manor Rd</v>
      </c>
      <c r="F3829" s="25" t="s">
        <v>69</v>
      </c>
      <c r="G3829" s="28">
        <v>295000.0</v>
      </c>
      <c r="H3829" s="29"/>
      <c r="I3829" s="28">
        <v>751.0</v>
      </c>
      <c r="J3829" s="28">
        <v>0.0</v>
      </c>
      <c r="K3829" s="25" t="s">
        <v>25</v>
      </c>
      <c r="L3829" s="26">
        <v>5.0</v>
      </c>
      <c r="M3829" s="26">
        <v>2.0</v>
      </c>
      <c r="N3829" s="26">
        <v>1.0</v>
      </c>
      <c r="O3829" s="30"/>
      <c r="P3829" s="30"/>
      <c r="Q3829" s="35">
        <v>94.0</v>
      </c>
      <c r="R3829" s="32">
        <v>44228.0</v>
      </c>
      <c r="S3829" s="32">
        <v>44133.0</v>
      </c>
      <c r="T3829" s="29"/>
      <c r="U3829" s="33"/>
      <c r="V3829" s="1"/>
    </row>
    <row r="3830" ht="24.0" customHeight="1">
      <c r="A3830" s="1"/>
      <c r="B3830" s="24" t="str">
        <f>HYPERLINK("https://www.compass.com/listing/229-10-hillside-avenue-unit-uppr-queens-ny-11427/1730800039300263793/view?agent_id=610d3f3370540700019b0833","229-10 Hillside Avenue, Unit UPPR")</f>
        <v>229-10 Hillside Avenue, Unit UPPR</v>
      </c>
      <c r="C3830" s="25" t="s">
        <v>370</v>
      </c>
      <c r="D3830" s="26" t="s">
        <v>23</v>
      </c>
      <c r="E3830" s="27" t="str">
        <f>HYPERLINK("https://www.compass.com/building/229-10-hillside-ave-queens-ny-11427/307433290587439621/","229-10 Hillside Ave")</f>
        <v>229-10 Hillside Ave</v>
      </c>
      <c r="F3830" s="25" t="s">
        <v>69</v>
      </c>
      <c r="G3830" s="28">
        <v>142000.0</v>
      </c>
      <c r="H3830" s="29"/>
      <c r="I3830" s="28">
        <v>0.0</v>
      </c>
      <c r="J3830" s="28">
        <v>0.0</v>
      </c>
      <c r="K3830" s="25" t="s">
        <v>25</v>
      </c>
      <c r="L3830" s="26">
        <v>5.0</v>
      </c>
      <c r="M3830" s="26">
        <v>2.0</v>
      </c>
      <c r="N3830" s="26">
        <v>1.0</v>
      </c>
      <c r="O3830" s="30"/>
      <c r="P3830" s="30"/>
      <c r="Q3830" s="35">
        <v>366.0</v>
      </c>
      <c r="R3830" s="32">
        <v>45597.0</v>
      </c>
      <c r="S3830" s="32">
        <v>41316.0</v>
      </c>
      <c r="T3830" s="29"/>
      <c r="U3830" s="33"/>
      <c r="V3830" s="1"/>
    </row>
    <row r="3831" ht="24.0" customHeight="1">
      <c r="A3831" s="1"/>
      <c r="B3831" s="24" t="str">
        <f>HYPERLINK("https://www.compass.com/listing/226-06-88th-avenue-unit-uppr-queens-ny-11427/197774727522094913/view?agent_id=610d3f3370540700019b0833","226-06 88th Avenue, Unit UPPR")</f>
        <v>226-06 88th Avenue, Unit UPPR</v>
      </c>
      <c r="C3831" s="25" t="s">
        <v>364</v>
      </c>
      <c r="D3831" s="26" t="s">
        <v>23</v>
      </c>
      <c r="E3831" s="27" t="str">
        <f>HYPERLINK("https://www.compass.com/building/226-06-88th-ave-queens-ny-11427/567752373022027661/","226-06 88th Ave")</f>
        <v>226-06 88th Ave</v>
      </c>
      <c r="F3831" s="25" t="s">
        <v>69</v>
      </c>
      <c r="G3831" s="28">
        <v>198000.0</v>
      </c>
      <c r="H3831" s="29"/>
      <c r="I3831" s="28">
        <v>0.0</v>
      </c>
      <c r="J3831" s="28">
        <v>0.0</v>
      </c>
      <c r="K3831" s="25" t="s">
        <v>25</v>
      </c>
      <c r="L3831" s="26">
        <v>5.0</v>
      </c>
      <c r="M3831" s="26">
        <v>2.0</v>
      </c>
      <c r="N3831" s="26">
        <v>1.0</v>
      </c>
      <c r="O3831" s="30"/>
      <c r="P3831" s="30"/>
      <c r="Q3831" s="35">
        <v>59.0</v>
      </c>
      <c r="R3831" s="32">
        <v>45636.0</v>
      </c>
      <c r="S3831" s="32">
        <v>43279.0</v>
      </c>
      <c r="T3831" s="29"/>
      <c r="U3831" s="33"/>
      <c r="V3831" s="1"/>
    </row>
    <row r="3832" ht="24.0" customHeight="1">
      <c r="A3832" s="1"/>
      <c r="B3832" s="24" t="str">
        <f>HYPERLINK("https://www.compass.com/listing/224-16-stronghurst-avenue-uppr-upper-unit-queens-ny-11427/399221668131640497/view?agent_id=610d3f3370540700019b0833","224-16 Stronghurst Avenue, Uppr Upper Unit")</f>
        <v>224-16 Stronghurst Avenue, Uppr Upper Unit</v>
      </c>
      <c r="C3832" s="25" t="s">
        <v>370</v>
      </c>
      <c r="D3832" s="26" t="s">
        <v>23</v>
      </c>
      <c r="E3832" s="27" t="str">
        <f>HYPERLINK("https://www.compass.com/building/224-16-stronghurst-ave-queens-ny-11427/426962707812907749/","224-16 Stronghurst Ave")</f>
        <v>224-16 Stronghurst Ave</v>
      </c>
      <c r="F3832" s="25" t="s">
        <v>69</v>
      </c>
      <c r="G3832" s="28">
        <v>249000.0</v>
      </c>
      <c r="H3832" s="29"/>
      <c r="I3832" s="28">
        <v>678.0</v>
      </c>
      <c r="J3832" s="28">
        <v>0.0</v>
      </c>
      <c r="K3832" s="25" t="s">
        <v>25</v>
      </c>
      <c r="L3832" s="26">
        <v>4.0</v>
      </c>
      <c r="M3832" s="26">
        <v>2.0</v>
      </c>
      <c r="N3832" s="26">
        <v>1.0</v>
      </c>
      <c r="O3832" s="26">
        <v>0.0</v>
      </c>
      <c r="P3832" s="30"/>
      <c r="Q3832" s="35">
        <v>71.0</v>
      </c>
      <c r="R3832" s="32">
        <v>43915.0</v>
      </c>
      <c r="S3832" s="32">
        <v>43838.0</v>
      </c>
      <c r="T3832" s="29"/>
      <c r="U3832" s="33"/>
      <c r="V3832" s="1"/>
    </row>
    <row r="3833" ht="24.0" customHeight="1">
      <c r="A3833" s="1"/>
      <c r="B3833" s="24" t="str">
        <f>HYPERLINK("https://www.compass.com/listing/82-18-229th-street-unit-l-queens-ny-11427/436845920710693433/view?agent_id=610d3f3370540700019b0833","82-18 229th Street, Unit L")</f>
        <v>82-18 229th Street, Unit L</v>
      </c>
      <c r="C3833" s="25" t="s">
        <v>370</v>
      </c>
      <c r="D3833" s="26" t="s">
        <v>23</v>
      </c>
      <c r="E3833" s="27" t="str">
        <f>HYPERLINK("https://www.compass.com/building/82-18-229th-st-queens-ny-11427/307443704423872645/","82-18 229th St")</f>
        <v>82-18 229th St</v>
      </c>
      <c r="F3833" s="25" t="s">
        <v>69</v>
      </c>
      <c r="G3833" s="28">
        <v>215000.0</v>
      </c>
      <c r="H3833" s="29"/>
      <c r="I3833" s="28">
        <v>691.0</v>
      </c>
      <c r="J3833" s="28">
        <v>0.0</v>
      </c>
      <c r="K3833" s="25" t="s">
        <v>25</v>
      </c>
      <c r="L3833" s="26">
        <v>5.0</v>
      </c>
      <c r="M3833" s="26">
        <v>2.0</v>
      </c>
      <c r="N3833" s="26">
        <v>1.0</v>
      </c>
      <c r="O3833" s="26">
        <v>0.0</v>
      </c>
      <c r="P3833" s="30"/>
      <c r="Q3833" s="35">
        <v>0.0</v>
      </c>
      <c r="R3833" s="32">
        <v>43915.0</v>
      </c>
      <c r="S3833" s="32">
        <v>43913.0</v>
      </c>
      <c r="T3833" s="29"/>
      <c r="U3833" s="33"/>
      <c r="V3833" s="1"/>
    </row>
    <row r="3834" ht="24.0" customHeight="1">
      <c r="A3834" s="1"/>
      <c r="B3834" s="24" t="str">
        <f>HYPERLINK("https://www.compass.com/listing/86-55-springfield-boulevard-unit-l-queens-ny-11427/479592418482863313/view?agent_id=610d3f3370540700019b0833","86-55 Springfield Boulevard, Unit L")</f>
        <v>86-55 Springfield Boulevard, Unit L</v>
      </c>
      <c r="C3834" s="25" t="s">
        <v>370</v>
      </c>
      <c r="D3834" s="26" t="s">
        <v>23</v>
      </c>
      <c r="E3834" s="27" t="str">
        <f>HYPERLINK("https://www.compass.com/building/86-55-springfield-blvd-queens-ny-11427/381299310301326661/","86-55 Springfield Blvd")</f>
        <v>86-55 Springfield Blvd</v>
      </c>
      <c r="F3834" s="25" t="s">
        <v>69</v>
      </c>
      <c r="G3834" s="28">
        <v>224000.0</v>
      </c>
      <c r="H3834" s="29"/>
      <c r="I3834" s="28">
        <v>678.0</v>
      </c>
      <c r="J3834" s="28">
        <v>0.0</v>
      </c>
      <c r="K3834" s="25" t="s">
        <v>25</v>
      </c>
      <c r="L3834" s="26">
        <v>5.0</v>
      </c>
      <c r="M3834" s="26">
        <v>2.0</v>
      </c>
      <c r="N3834" s="26">
        <v>1.0</v>
      </c>
      <c r="O3834" s="26">
        <v>0.0</v>
      </c>
      <c r="P3834" s="30"/>
      <c r="Q3834" s="31"/>
      <c r="R3834" s="32">
        <v>44469.0</v>
      </c>
      <c r="S3834" s="33"/>
      <c r="T3834" s="29"/>
      <c r="U3834" s="33"/>
      <c r="V3834" s="1"/>
    </row>
    <row r="3835" ht="24.0" customHeight="1">
      <c r="A3835" s="1"/>
      <c r="B3835" s="24" t="str">
        <f>HYPERLINK("https://www.compass.com/listing/229-08-hillside-avenue-unit-u-queens-ny-11427/608409643574006505/view?agent_id=610d3f3370540700019b0833","229-08 Hillside Avenue, Unit U")</f>
        <v>229-08 Hillside Avenue, Unit U</v>
      </c>
      <c r="C3835" s="25" t="s">
        <v>364</v>
      </c>
      <c r="D3835" s="26" t="s">
        <v>23</v>
      </c>
      <c r="E3835" s="27" t="str">
        <f>HYPERLINK("https://www.compass.com/building/229-08-hillside-ave-queens-ny-11427/567588129798482469/","229-08 Hillside Ave")</f>
        <v>229-08 Hillside Ave</v>
      </c>
      <c r="F3835" s="25" t="s">
        <v>98</v>
      </c>
      <c r="G3835" s="28">
        <v>225000.0</v>
      </c>
      <c r="H3835" s="29"/>
      <c r="I3835" s="28">
        <v>695.0</v>
      </c>
      <c r="J3835" s="28">
        <v>0.0</v>
      </c>
      <c r="K3835" s="25" t="s">
        <v>25</v>
      </c>
      <c r="L3835" s="26">
        <v>4.0</v>
      </c>
      <c r="M3835" s="26">
        <v>2.0</v>
      </c>
      <c r="N3835" s="26">
        <v>1.0</v>
      </c>
      <c r="O3835" s="30"/>
      <c r="P3835" s="30"/>
      <c r="Q3835" s="35">
        <v>87.0</v>
      </c>
      <c r="R3835" s="32">
        <v>44091.0</v>
      </c>
      <c r="S3835" s="32">
        <v>43910.0</v>
      </c>
      <c r="T3835" s="29"/>
      <c r="U3835" s="33"/>
      <c r="V3835" s="1"/>
    </row>
    <row r="3836" ht="24.0" customHeight="1">
      <c r="A3836" s="1"/>
      <c r="B3836" s="24" t="str">
        <f>HYPERLINK("https://www.compass.com/listing/224-04-manor-road-unit-l-queens-ny-11427/694295421427206265/view?agent_id=610d3f3370540700019b0833","224-04 Manor Road, Unit L")</f>
        <v>224-04 Manor Road, Unit L</v>
      </c>
      <c r="C3836" s="25" t="s">
        <v>364</v>
      </c>
      <c r="D3836" s="26" t="s">
        <v>23</v>
      </c>
      <c r="E3836" s="27" t="str">
        <f>HYPERLINK("https://www.compass.com/building/224-04-manor-rd-queens-ny-11427/455665490673816629/","224-04 Manor Rd")</f>
        <v>224-04 Manor Rd</v>
      </c>
      <c r="F3836" s="25" t="s">
        <v>69</v>
      </c>
      <c r="G3836" s="28">
        <v>262000.0</v>
      </c>
      <c r="H3836" s="29"/>
      <c r="I3836" s="28">
        <v>754.0</v>
      </c>
      <c r="J3836" s="28">
        <v>0.0</v>
      </c>
      <c r="K3836" s="25" t="s">
        <v>25</v>
      </c>
      <c r="L3836" s="26">
        <v>5.0</v>
      </c>
      <c r="M3836" s="26">
        <v>2.0</v>
      </c>
      <c r="N3836" s="26">
        <v>1.0</v>
      </c>
      <c r="O3836" s="26">
        <v>0.0</v>
      </c>
      <c r="P3836" s="30"/>
      <c r="Q3836" s="35">
        <v>238.0</v>
      </c>
      <c r="R3836" s="32">
        <v>44448.0</v>
      </c>
      <c r="S3836" s="32">
        <v>44209.0</v>
      </c>
      <c r="T3836" s="29"/>
      <c r="U3836" s="33"/>
      <c r="V3836" s="1"/>
    </row>
    <row r="3837" ht="24.0" customHeight="1">
      <c r="A3837" s="1"/>
      <c r="B3837" s="24" t="str">
        <f>HYPERLINK("https://www.compass.com/listing/221-35-braddock-avenue-unit-lowr-queens-ny-11427/1424844508349245433/view?agent_id=610d3f3370540700019b0833","221-35 Braddock Avenue, Unit LOWR")</f>
        <v>221-35 Braddock Avenue, Unit LOWR</v>
      </c>
      <c r="C3837" s="25" t="s">
        <v>370</v>
      </c>
      <c r="D3837" s="26" t="s">
        <v>23</v>
      </c>
      <c r="E3837" s="27" t="str">
        <f>HYPERLINK("https://www.compass.com/building/221-35-braddock-ave-queens-ny-11427/374056175835665317/","221-35 Braddock Ave")</f>
        <v>221-35 Braddock Ave</v>
      </c>
      <c r="F3837" s="25" t="s">
        <v>69</v>
      </c>
      <c r="G3837" s="28">
        <v>249999.0</v>
      </c>
      <c r="H3837" s="29"/>
      <c r="I3837" s="28">
        <v>0.0</v>
      </c>
      <c r="J3837" s="28">
        <v>0.0</v>
      </c>
      <c r="K3837" s="25" t="s">
        <v>25</v>
      </c>
      <c r="L3837" s="26">
        <v>4.0</v>
      </c>
      <c r="M3837" s="26">
        <v>2.0</v>
      </c>
      <c r="N3837" s="26">
        <v>1.0</v>
      </c>
      <c r="O3837" s="30"/>
      <c r="P3837" s="30"/>
      <c r="Q3837" s="35">
        <v>183.0</v>
      </c>
      <c r="R3837" s="32">
        <v>45597.0</v>
      </c>
      <c r="S3837" s="32">
        <v>45217.0</v>
      </c>
      <c r="T3837" s="29"/>
      <c r="U3837" s="33"/>
      <c r="V3837" s="1"/>
    </row>
    <row r="3838" ht="24.0" customHeight="1">
      <c r="A3838" s="1"/>
      <c r="B3838" s="24" t="str">
        <f>HYPERLINK("https://www.compass.com/listing/225-04-stronghurst-avenue-unit-u-queens-ny-11427/868038880399370417/view?agent_id=610d3f3370540700019b0833","225-04 Stronghurst Avenue, Unit U")</f>
        <v>225-04 Stronghurst Avenue, Unit U</v>
      </c>
      <c r="C3838" s="25" t="s">
        <v>365</v>
      </c>
      <c r="D3838" s="26" t="s">
        <v>23</v>
      </c>
      <c r="E3838" s="27" t="str">
        <f>HYPERLINK("https://www.compass.com/building/225-04-stronghurst-ave-queens-ny-11427/445083184691269165/","225-04 Stronghurst Ave")</f>
        <v>225-04 Stronghurst Ave</v>
      </c>
      <c r="F3838" s="25" t="s">
        <v>69</v>
      </c>
      <c r="G3838" s="28">
        <v>275000.0</v>
      </c>
      <c r="H3838" s="29"/>
      <c r="I3838" s="28">
        <v>751.0</v>
      </c>
      <c r="J3838" s="28">
        <v>0.0</v>
      </c>
      <c r="K3838" s="25" t="s">
        <v>25</v>
      </c>
      <c r="L3838" s="26">
        <v>5.0</v>
      </c>
      <c r="M3838" s="26">
        <v>2.0</v>
      </c>
      <c r="N3838" s="26">
        <v>1.0</v>
      </c>
      <c r="O3838" s="26">
        <v>0.0</v>
      </c>
      <c r="P3838" s="30"/>
      <c r="Q3838" s="35">
        <v>547.0</v>
      </c>
      <c r="R3838" s="32">
        <v>45167.0</v>
      </c>
      <c r="S3838" s="32">
        <v>44620.0</v>
      </c>
      <c r="T3838" s="29"/>
      <c r="U3838" s="33"/>
      <c r="V3838" s="1"/>
    </row>
    <row r="3839" ht="24.0" customHeight="1">
      <c r="A3839" s="1"/>
      <c r="B3839" s="24" t="str">
        <f>HYPERLINK("https://www.compass.com/listing/34-24-82nd-street-unit-1j-queens-ny-11372/852895969895219985/view?agent_id=610d3f3370540700019b0833","34-24 82nd Street, Unit 1J")</f>
        <v>34-24 82nd Street, Unit 1J</v>
      </c>
      <c r="C3839" s="25" t="s">
        <v>364</v>
      </c>
      <c r="D3839" s="26" t="s">
        <v>23</v>
      </c>
      <c r="E3839" s="27" t="str">
        <f>HYPERLINK("https://www.compass.com/building/34-24-82nd-st-queens-ny-11372/293532335264045477/","34-24 82nd St")</f>
        <v>34-24 82nd St</v>
      </c>
      <c r="F3839" s="25" t="s">
        <v>33</v>
      </c>
      <c r="G3839" s="28">
        <v>529000.0</v>
      </c>
      <c r="H3839" s="28">
        <v>529.0</v>
      </c>
      <c r="I3839" s="28">
        <v>1187.0</v>
      </c>
      <c r="J3839" s="28">
        <v>0.0</v>
      </c>
      <c r="K3839" s="25" t="s">
        <v>25</v>
      </c>
      <c r="L3839" s="26">
        <v>5.0</v>
      </c>
      <c r="M3839" s="26">
        <v>2.0</v>
      </c>
      <c r="N3839" s="26">
        <v>1.0</v>
      </c>
      <c r="O3839" s="26">
        <v>0.0</v>
      </c>
      <c r="P3839" s="34">
        <v>1000.0</v>
      </c>
      <c r="Q3839" s="35">
        <v>224.0</v>
      </c>
      <c r="R3839" s="32">
        <v>44672.0</v>
      </c>
      <c r="S3839" s="32">
        <v>44446.0</v>
      </c>
      <c r="T3839" s="29"/>
      <c r="U3839" s="33"/>
      <c r="V3839" s="1"/>
    </row>
    <row r="3840" ht="24.0" customHeight="1">
      <c r="A3840" s="1"/>
      <c r="B3840" s="24" t="str">
        <f>HYPERLINK("https://www.compass.com/listing/19-37-79th-street-unit-a1-queens-ny-11370/1292218420430351881/view?agent_id=610d3f3370540700019b0833","19-37 79th Street, Unit A1")</f>
        <v>19-37 79th Street, Unit A1</v>
      </c>
      <c r="C3840" s="25" t="s">
        <v>370</v>
      </c>
      <c r="D3840" s="26" t="s">
        <v>23</v>
      </c>
      <c r="E3840" s="27" t="str">
        <f>HYPERLINK("https://www.compass.com/building/19-37-79th-st-queens-ny-11370/294847568169246405/","19-37 79th St")</f>
        <v>19-37 79th St</v>
      </c>
      <c r="F3840" s="25" t="s">
        <v>68</v>
      </c>
      <c r="G3840" s="28">
        <v>545000.0</v>
      </c>
      <c r="H3840" s="28">
        <v>606.0</v>
      </c>
      <c r="I3840" s="28">
        <v>204.0</v>
      </c>
      <c r="J3840" s="28">
        <v>2448.0</v>
      </c>
      <c r="K3840" s="25" t="s">
        <v>28</v>
      </c>
      <c r="L3840" s="26">
        <v>5.0</v>
      </c>
      <c r="M3840" s="26">
        <v>2.0</v>
      </c>
      <c r="N3840" s="26">
        <v>1.0</v>
      </c>
      <c r="O3840" s="30"/>
      <c r="P3840" s="26">
        <v>900.0</v>
      </c>
      <c r="Q3840" s="35">
        <v>23.0</v>
      </c>
      <c r="R3840" s="32">
        <v>45637.0</v>
      </c>
      <c r="S3840" s="32">
        <v>43654.0</v>
      </c>
      <c r="T3840" s="29"/>
      <c r="U3840" s="33"/>
      <c r="V3840" s="1"/>
    </row>
    <row r="3841" ht="24.0" customHeight="1">
      <c r="A3841" s="1"/>
      <c r="B3841" s="24" t="str">
        <f>HYPERLINK("https://www.compass.com/listing/702-45th-street-unit-4i-brooklyn-ny-11220/596196826590367633/view?agent_id=610d3f3370540700019b0833","702 45th Street, Unit 4I")</f>
        <v>702 45th Street, Unit 4I</v>
      </c>
      <c r="C3841" s="25" t="s">
        <v>364</v>
      </c>
      <c r="D3841" s="26" t="s">
        <v>23</v>
      </c>
      <c r="E3841" s="27" t="str">
        <f>HYPERLINK("https://www.compass.com/building/702-45th-st-brooklyn-ny-11220/307438457139886869/","702 45th St")</f>
        <v>702 45th St</v>
      </c>
      <c r="F3841" s="25" t="s">
        <v>128</v>
      </c>
      <c r="G3841" s="28">
        <v>699000.0</v>
      </c>
      <c r="H3841" s="29"/>
      <c r="I3841" s="28">
        <v>912.0</v>
      </c>
      <c r="J3841" s="28">
        <v>0.0</v>
      </c>
      <c r="K3841" s="25" t="s">
        <v>25</v>
      </c>
      <c r="L3841" s="26">
        <v>5.0</v>
      </c>
      <c r="M3841" s="26">
        <v>2.0</v>
      </c>
      <c r="N3841" s="26">
        <v>1.0</v>
      </c>
      <c r="O3841" s="30"/>
      <c r="P3841" s="30"/>
      <c r="Q3841" s="35">
        <v>79.0</v>
      </c>
      <c r="R3841" s="32">
        <v>44155.0</v>
      </c>
      <c r="S3841" s="32">
        <v>44075.0</v>
      </c>
      <c r="T3841" s="29"/>
      <c r="U3841" s="33"/>
      <c r="V3841" s="1"/>
    </row>
    <row r="3842" ht="24.0" customHeight="1">
      <c r="A3842" s="1"/>
      <c r="B3842" s="24" t="str">
        <f>HYPERLINK("https://www.compass.com/listing/221-63-manor-road-unit-dup-queens-ny-11427/725551331054871785/view?agent_id=610d3f3370540700019b0833","221-63 Manor Road, Unit DUP")</f>
        <v>221-63 Manor Road, Unit DUP</v>
      </c>
      <c r="C3842" s="25" t="s">
        <v>364</v>
      </c>
      <c r="D3842" s="26" t="s">
        <v>23</v>
      </c>
      <c r="E3842" s="27" t="str">
        <f>HYPERLINK("https://www.compass.com/building/221-63-manor-rd-queens-ny-11427/307451141293759301/","221-63 Manor Rd")</f>
        <v>221-63 Manor Rd</v>
      </c>
      <c r="F3842" s="25" t="s">
        <v>69</v>
      </c>
      <c r="G3842" s="28">
        <v>310000.0</v>
      </c>
      <c r="H3842" s="29"/>
      <c r="I3842" s="28">
        <v>751.0</v>
      </c>
      <c r="J3842" s="28">
        <v>0.0</v>
      </c>
      <c r="K3842" s="25" t="s">
        <v>25</v>
      </c>
      <c r="L3842" s="26">
        <v>5.0</v>
      </c>
      <c r="M3842" s="26">
        <v>2.0</v>
      </c>
      <c r="N3842" s="26">
        <v>1.0</v>
      </c>
      <c r="O3842" s="26">
        <v>0.0</v>
      </c>
      <c r="P3842" s="30"/>
      <c r="Q3842" s="35">
        <v>363.0</v>
      </c>
      <c r="R3842" s="32">
        <v>44616.0</v>
      </c>
      <c r="S3842" s="32">
        <v>44252.0</v>
      </c>
      <c r="T3842" s="29"/>
      <c r="U3842" s="33"/>
      <c r="V3842" s="1"/>
    </row>
    <row r="3843" ht="24.0" customHeight="1">
      <c r="A3843" s="1"/>
      <c r="B3843" s="24" t="str">
        <f>HYPERLINK("https://www.compass.com/listing/220-04-stronghurst-avenue-unit-uppr-queens-ny-11427/1299552206430926633/view?agent_id=610d3f3370540700019b0833","220-04 Stronghurst Avenue, Unit UPPR")</f>
        <v>220-04 Stronghurst Avenue, Unit UPPR</v>
      </c>
      <c r="C3843" s="25" t="s">
        <v>370</v>
      </c>
      <c r="D3843" s="26" t="s">
        <v>23</v>
      </c>
      <c r="E3843" s="26" t="s">
        <v>400</v>
      </c>
      <c r="F3843" s="25" t="s">
        <v>69</v>
      </c>
      <c r="G3843" s="28">
        <v>262000.0</v>
      </c>
      <c r="H3843" s="29"/>
      <c r="I3843" s="28">
        <v>0.0</v>
      </c>
      <c r="J3843" s="28">
        <v>0.0</v>
      </c>
      <c r="K3843" s="25" t="s">
        <v>25</v>
      </c>
      <c r="L3843" s="26">
        <v>5.0</v>
      </c>
      <c r="M3843" s="26">
        <v>2.0</v>
      </c>
      <c r="N3843" s="26">
        <v>1.0</v>
      </c>
      <c r="O3843" s="30"/>
      <c r="P3843" s="30"/>
      <c r="Q3843" s="35">
        <v>731.0</v>
      </c>
      <c r="R3843" s="32">
        <v>45597.0</v>
      </c>
      <c r="S3843" s="32">
        <v>44757.0</v>
      </c>
      <c r="T3843" s="29"/>
      <c r="U3843" s="33"/>
      <c r="V3843" s="1"/>
    </row>
    <row r="3844" ht="24.0" customHeight="1">
      <c r="A3844" s="1"/>
      <c r="B3844" s="24" t="str">
        <f>HYPERLINK("https://www.compass.com/listing/86-12-231st-street-unit-u-queens-ny-11427/472320449499126657/view?agent_id=610d3f3370540700019b0833","86-12 231st Street, Unit U")</f>
        <v>86-12 231st Street, Unit U</v>
      </c>
      <c r="C3844" s="25" t="s">
        <v>365</v>
      </c>
      <c r="D3844" s="26" t="s">
        <v>23</v>
      </c>
      <c r="E3844" s="27" t="str">
        <f>HYPERLINK("https://www.compass.com/building/86-12-231st-st-queens-ny-11427/307444029046020885/","86-12 231st St")</f>
        <v>86-12 231st St</v>
      </c>
      <c r="F3844" s="25" t="s">
        <v>69</v>
      </c>
      <c r="G3844" s="28">
        <v>275000.0</v>
      </c>
      <c r="H3844" s="29"/>
      <c r="I3844" s="28">
        <v>691.0</v>
      </c>
      <c r="J3844" s="28">
        <v>0.0</v>
      </c>
      <c r="K3844" s="25" t="s">
        <v>25</v>
      </c>
      <c r="L3844" s="26">
        <v>5.0</v>
      </c>
      <c r="M3844" s="26">
        <v>2.0</v>
      </c>
      <c r="N3844" s="26">
        <v>1.0</v>
      </c>
      <c r="O3844" s="30"/>
      <c r="P3844" s="30"/>
      <c r="Q3844" s="35">
        <v>143.0</v>
      </c>
      <c r="R3844" s="32">
        <v>44140.0</v>
      </c>
      <c r="S3844" s="32">
        <v>43903.0</v>
      </c>
      <c r="T3844" s="29"/>
      <c r="U3844" s="33"/>
      <c r="V3844" s="1"/>
    </row>
    <row r="3845" ht="24.0" customHeight="1">
      <c r="A3845" s="1"/>
      <c r="B3845" s="24" t="str">
        <f>HYPERLINK("https://www.compass.com/listing/37-51-84th-street-unit-31-queens-ny-11372/1090648204689659681/view?agent_id=610d3f3370540700019b0833","37-51 84th Street, Unit 31")</f>
        <v>37-51 84th Street, Unit 31</v>
      </c>
      <c r="C3845" s="25" t="s">
        <v>370</v>
      </c>
      <c r="D3845" s="26" t="s">
        <v>23</v>
      </c>
      <c r="E3845" s="27" t="str">
        <f>HYPERLINK("https://www.compass.com/building/37-51-84th-st-queens-ny-11372/307433609958747973/","37-51 84th St")</f>
        <v>37-51 84th St</v>
      </c>
      <c r="F3845" s="25" t="s">
        <v>33</v>
      </c>
      <c r="G3845" s="28">
        <v>479000.0</v>
      </c>
      <c r="H3845" s="29"/>
      <c r="I3845" s="28">
        <v>446.0</v>
      </c>
      <c r="J3845" s="28">
        <v>0.0</v>
      </c>
      <c r="K3845" s="25" t="s">
        <v>25</v>
      </c>
      <c r="L3845" s="26">
        <v>4.0</v>
      </c>
      <c r="M3845" s="26">
        <v>2.0</v>
      </c>
      <c r="N3845" s="26">
        <v>1.0</v>
      </c>
      <c r="O3845" s="26">
        <v>0.0</v>
      </c>
      <c r="P3845" s="30"/>
      <c r="Q3845" s="35">
        <v>178.0</v>
      </c>
      <c r="R3845" s="32">
        <v>44941.0</v>
      </c>
      <c r="S3845" s="32">
        <v>44763.0</v>
      </c>
      <c r="T3845" s="29"/>
      <c r="U3845" s="33"/>
      <c r="V3845" s="1"/>
    </row>
    <row r="3846" ht="24.0" customHeight="1">
      <c r="A3846" s="1"/>
      <c r="B3846" s="24" t="str">
        <f>HYPERLINK("https://www.compass.com/listing/34-41-85th-street-unit-3o-queens-ny-11372/1395732054535891569/view?agent_id=610d3f3370540700019b0833","34-41 85th Street, Unit 3O")</f>
        <v>34-41 85th Street, Unit 3O</v>
      </c>
      <c r="C3846" s="25" t="s">
        <v>370</v>
      </c>
      <c r="D3846" s="26" t="s">
        <v>23</v>
      </c>
      <c r="E3846" s="27" t="str">
        <f>HYPERLINK("https://www.compass.com/building/carlton-house-queens-ny/293534391387421365/","Carlton House")</f>
        <v>Carlton House</v>
      </c>
      <c r="F3846" s="25" t="s">
        <v>33</v>
      </c>
      <c r="G3846" s="28">
        <v>579000.0</v>
      </c>
      <c r="H3846" s="29"/>
      <c r="I3846" s="28">
        <v>0.0</v>
      </c>
      <c r="J3846" s="28">
        <v>0.0</v>
      </c>
      <c r="K3846" s="25" t="s">
        <v>25</v>
      </c>
      <c r="L3846" s="26">
        <v>4.0</v>
      </c>
      <c r="M3846" s="26">
        <v>2.0</v>
      </c>
      <c r="N3846" s="26">
        <v>1.0</v>
      </c>
      <c r="O3846" s="30"/>
      <c r="P3846" s="30"/>
      <c r="Q3846" s="35">
        <v>182.0</v>
      </c>
      <c r="R3846" s="32">
        <v>45597.0</v>
      </c>
      <c r="S3846" s="32">
        <v>45177.0</v>
      </c>
      <c r="T3846" s="29"/>
      <c r="U3846" s="33"/>
      <c r="V3846" s="1"/>
    </row>
    <row r="3847" ht="24.0" customHeight="1">
      <c r="A3847" s="1"/>
      <c r="B3847" s="24" t="str">
        <f>HYPERLINK("https://www.compass.com/listing/35-24-72nd-street-unit-2i-queens-ny-11372/1283331693121081729/view?agent_id=610d3f3370540700019b0833","35-24 72nd Street, Unit 2I")</f>
        <v>35-24 72nd Street, Unit 2I</v>
      </c>
      <c r="C3847" s="25" t="s">
        <v>365</v>
      </c>
      <c r="D3847" s="26" t="s">
        <v>23</v>
      </c>
      <c r="E3847" s="27" t="str">
        <f>HYPERLINK("https://www.compass.com/building/35-24-72nd-st-queens-ny-11372/294837141230125221/","35-24 72nd St")</f>
        <v>35-24 72nd St</v>
      </c>
      <c r="F3847" s="25" t="s">
        <v>33</v>
      </c>
      <c r="G3847" s="28">
        <v>585000.0</v>
      </c>
      <c r="H3847" s="28">
        <v>650.0</v>
      </c>
      <c r="I3847" s="28">
        <v>920.0</v>
      </c>
      <c r="J3847" s="28">
        <v>0.0</v>
      </c>
      <c r="K3847" s="25" t="s">
        <v>25</v>
      </c>
      <c r="L3847" s="26">
        <v>5.0</v>
      </c>
      <c r="M3847" s="26">
        <v>2.0</v>
      </c>
      <c r="N3847" s="26">
        <v>1.0</v>
      </c>
      <c r="O3847" s="30"/>
      <c r="P3847" s="26">
        <v>900.0</v>
      </c>
      <c r="Q3847" s="35">
        <v>86.0</v>
      </c>
      <c r="R3847" s="32">
        <v>45109.0</v>
      </c>
      <c r="S3847" s="32">
        <v>45022.0</v>
      </c>
      <c r="T3847" s="29"/>
      <c r="U3847" s="33"/>
      <c r="V3847" s="1"/>
    </row>
    <row r="3848" ht="24.0" customHeight="1">
      <c r="A3848" s="1"/>
      <c r="B3848" s="24" t="str">
        <f>HYPERLINK("https://www.compass.com/listing/39-65-51st-street-unit-5b-queens-ny-11377/1063761423864533537/view?agent_id=610d3f3370540700019b0833","39-65 51st Street, Unit 5B")</f>
        <v>39-65 51st Street, Unit 5B</v>
      </c>
      <c r="C3848" s="25" t="s">
        <v>370</v>
      </c>
      <c r="D3848" s="26" t="s">
        <v>23</v>
      </c>
      <c r="E3848" s="27" t="str">
        <f>HYPERLINK("https://www.compass.com/building/39-65-51st-st-queens-ny-11377/307442423886060821/","39-65 51st St")</f>
        <v>39-65 51st St</v>
      </c>
      <c r="F3848" s="25" t="s">
        <v>137</v>
      </c>
      <c r="G3848" s="28">
        <v>529000.0</v>
      </c>
      <c r="H3848" s="29"/>
      <c r="I3848" s="28">
        <v>889.0</v>
      </c>
      <c r="J3848" s="28">
        <v>0.0</v>
      </c>
      <c r="K3848" s="25" t="s">
        <v>25</v>
      </c>
      <c r="L3848" s="26">
        <v>4.0</v>
      </c>
      <c r="M3848" s="26">
        <v>2.0</v>
      </c>
      <c r="N3848" s="26">
        <v>1.0</v>
      </c>
      <c r="O3848" s="30"/>
      <c r="P3848" s="30"/>
      <c r="Q3848" s="35">
        <v>120.0</v>
      </c>
      <c r="R3848" s="32">
        <v>44959.0</v>
      </c>
      <c r="S3848" s="32">
        <v>44719.0</v>
      </c>
      <c r="T3848" s="29"/>
      <c r="U3848" s="33"/>
      <c r="V3848" s="1"/>
    </row>
    <row r="3849" ht="24.0" customHeight="1">
      <c r="A3849" s="1"/>
      <c r="B3849" s="24" t="str">
        <f>HYPERLINK("https://www.compass.com/listing/190-cozine-avenue-unit-2h-brooklyn-ny-11207/4852276801596035393/view?agent_id=610d3f3370540700019b0833","190 Cozine Avenue, Unit 2H")</f>
        <v>190 Cozine Avenue, Unit 2H</v>
      </c>
      <c r="C3849" s="25" t="s">
        <v>364</v>
      </c>
      <c r="D3849" s="26" t="s">
        <v>23</v>
      </c>
      <c r="E3849" s="27" t="str">
        <f>HYPERLINK("https://www.compass.com/building/190-cozine-ave-brooklyn-ny-11207/294838541179541413/","190 Cozine Ave")</f>
        <v>190 Cozine Ave</v>
      </c>
      <c r="F3849" s="25" t="s">
        <v>85</v>
      </c>
      <c r="G3849" s="28">
        <v>256775.0</v>
      </c>
      <c r="H3849" s="28">
        <v>279.0</v>
      </c>
      <c r="I3849" s="28">
        <v>660.0</v>
      </c>
      <c r="J3849" s="28">
        <v>1548.0</v>
      </c>
      <c r="K3849" s="25" t="s">
        <v>28</v>
      </c>
      <c r="L3849" s="26">
        <v>5.0</v>
      </c>
      <c r="M3849" s="26">
        <v>2.0</v>
      </c>
      <c r="N3849" s="26">
        <v>0.0</v>
      </c>
      <c r="O3849" s="26">
        <v>0.0</v>
      </c>
      <c r="P3849" s="26">
        <v>919.0</v>
      </c>
      <c r="Q3849" s="35">
        <v>1666.0</v>
      </c>
      <c r="R3849" s="32">
        <v>44581.0</v>
      </c>
      <c r="S3849" s="32">
        <v>41270.0</v>
      </c>
      <c r="T3849" s="29"/>
      <c r="U3849" s="33"/>
      <c r="V3849" s="1"/>
    </row>
    <row r="3850" ht="24.0" customHeight="1">
      <c r="A3850" s="1"/>
      <c r="B3850" s="24" t="str">
        <f>HYPERLINK("https://www.compass.com/listing/67-38-springfield-boulevard-unit-uppr-queens-ny-11427/1299566635398749857/view?agent_id=610d3f3370540700019b0833","67-38 Springfield Boulevard, Unit UPPR")</f>
        <v>67-38 Springfield Boulevard, Unit UPPR</v>
      </c>
      <c r="C3850" s="25" t="s">
        <v>370</v>
      </c>
      <c r="D3850" s="26" t="s">
        <v>23</v>
      </c>
      <c r="E3850" s="26" t="s">
        <v>401</v>
      </c>
      <c r="F3850" s="25" t="s">
        <v>69</v>
      </c>
      <c r="G3850" s="28">
        <v>339999.0</v>
      </c>
      <c r="H3850" s="29"/>
      <c r="I3850" s="28">
        <v>0.0</v>
      </c>
      <c r="J3850" s="28">
        <v>0.0</v>
      </c>
      <c r="K3850" s="25" t="s">
        <v>25</v>
      </c>
      <c r="L3850" s="26">
        <v>5.0</v>
      </c>
      <c r="M3850" s="26">
        <v>2.0</v>
      </c>
      <c r="N3850" s="26">
        <v>1.0</v>
      </c>
      <c r="O3850" s="30"/>
      <c r="P3850" s="30"/>
      <c r="Q3850" s="35">
        <v>365.0</v>
      </c>
      <c r="R3850" s="32">
        <v>45597.0</v>
      </c>
      <c r="S3850" s="32">
        <v>44470.0</v>
      </c>
      <c r="T3850" s="29"/>
      <c r="U3850" s="33"/>
      <c r="V3850" s="1"/>
    </row>
    <row r="3851" ht="24.0" customHeight="1">
      <c r="A3851" s="1"/>
      <c r="B3851" s="24" t="str">
        <f>HYPERLINK("https://www.compass.com/listing/67-38-springfield-boulevard-unit-u-queens-ny-11427/883322158493293633/view?agent_id=610d3f3370540700019b0833","67-38 Springfield Boulevard, Unit U")</f>
        <v>67-38 Springfield Boulevard, Unit U</v>
      </c>
      <c r="C3851" s="25" t="s">
        <v>364</v>
      </c>
      <c r="D3851" s="26" t="s">
        <v>23</v>
      </c>
      <c r="E3851" s="26" t="s">
        <v>401</v>
      </c>
      <c r="F3851" s="25" t="s">
        <v>69</v>
      </c>
      <c r="G3851" s="28">
        <v>339999.0</v>
      </c>
      <c r="H3851" s="29"/>
      <c r="I3851" s="28">
        <v>717.0</v>
      </c>
      <c r="J3851" s="28">
        <v>0.0</v>
      </c>
      <c r="K3851" s="25" t="s">
        <v>25</v>
      </c>
      <c r="L3851" s="26">
        <v>5.0</v>
      </c>
      <c r="M3851" s="26">
        <v>2.0</v>
      </c>
      <c r="N3851" s="26">
        <v>1.0</v>
      </c>
      <c r="O3851" s="26">
        <v>0.0</v>
      </c>
      <c r="P3851" s="30"/>
      <c r="Q3851" s="35">
        <v>19.0</v>
      </c>
      <c r="R3851" s="32">
        <v>44490.0</v>
      </c>
      <c r="S3851" s="32">
        <v>44470.0</v>
      </c>
      <c r="T3851" s="29"/>
      <c r="U3851" s="33"/>
      <c r="V3851" s="1"/>
    </row>
    <row r="3852" ht="24.0" customHeight="1">
      <c r="A3852" s="1"/>
      <c r="B3852" s="24" t="str">
        <f>HYPERLINK("https://www.compass.com/listing/37-51-84th-street-unit-31-queens-ny-11372/1226124471043771721/view?agent_id=610d3f3370540700019b0833","37-51 84th Street, Unit 31")</f>
        <v>37-51 84th Street, Unit 31</v>
      </c>
      <c r="C3852" s="25" t="s">
        <v>370</v>
      </c>
      <c r="D3852" s="26" t="s">
        <v>23</v>
      </c>
      <c r="E3852" s="27" t="str">
        <f>HYPERLINK("https://www.compass.com/building/37-51-84th-st-queens-ny-11372/307433609958747973/","37-51 84th St")</f>
        <v>37-51 84th St</v>
      </c>
      <c r="F3852" s="25" t="s">
        <v>33</v>
      </c>
      <c r="G3852" s="28">
        <v>479000.0</v>
      </c>
      <c r="H3852" s="29"/>
      <c r="I3852" s="28">
        <v>446.0</v>
      </c>
      <c r="J3852" s="28">
        <v>0.0</v>
      </c>
      <c r="K3852" s="25" t="s">
        <v>25</v>
      </c>
      <c r="L3852" s="26">
        <v>4.0</v>
      </c>
      <c r="M3852" s="26">
        <v>2.0</v>
      </c>
      <c r="N3852" s="26">
        <v>1.0</v>
      </c>
      <c r="O3852" s="30"/>
      <c r="P3852" s="30"/>
      <c r="Q3852" s="35">
        <v>3.0</v>
      </c>
      <c r="R3852" s="32">
        <v>45125.0</v>
      </c>
      <c r="S3852" s="32">
        <v>45121.0</v>
      </c>
      <c r="T3852" s="29"/>
      <c r="U3852" s="33"/>
      <c r="V3852" s="1"/>
    </row>
    <row r="3853" ht="24.0" customHeight="1">
      <c r="A3853" s="1"/>
      <c r="B3853" s="24" t="str">
        <f>HYPERLINK("https://www.compass.com/listing/8901-shore-road-unit-4d-brooklyn-ny-11209/1248201502224897465/view?agent_id=610d3f3370540700019b0833","8901 Shore Road, Unit 4D")</f>
        <v>8901 Shore Road, Unit 4D</v>
      </c>
      <c r="C3853" s="25" t="s">
        <v>370</v>
      </c>
      <c r="D3853" s="26" t="s">
        <v>23</v>
      </c>
      <c r="E3853" s="27" t="str">
        <f>HYPERLINK("https://www.compass.com/building/8901-shore-rd-brooklyn-ny-11209/293529520684742965/","8901 Shore Rd")</f>
        <v>8901 Shore Rd</v>
      </c>
      <c r="F3853" s="25" t="s">
        <v>55</v>
      </c>
      <c r="G3853" s="28">
        <v>640000.0</v>
      </c>
      <c r="H3853" s="28">
        <v>582.0</v>
      </c>
      <c r="I3853" s="28">
        <v>1350.0</v>
      </c>
      <c r="J3853" s="29"/>
      <c r="K3853" s="25" t="s">
        <v>25</v>
      </c>
      <c r="L3853" s="26">
        <v>6.0</v>
      </c>
      <c r="M3853" s="26">
        <v>2.0</v>
      </c>
      <c r="N3853" s="26">
        <v>0.0</v>
      </c>
      <c r="O3853" s="26">
        <v>0.0</v>
      </c>
      <c r="P3853" s="34">
        <v>1100.0</v>
      </c>
      <c r="Q3853" s="35">
        <v>0.0</v>
      </c>
      <c r="R3853" s="32">
        <v>44581.0</v>
      </c>
      <c r="S3853" s="32">
        <v>41513.0</v>
      </c>
      <c r="T3853" s="29"/>
      <c r="U3853" s="33"/>
      <c r="V3853" s="1"/>
    </row>
    <row r="3854" ht="24.0" customHeight="1">
      <c r="A3854" s="1"/>
      <c r="B3854" s="24" t="str">
        <f>HYPERLINK("https://www.compass.com/listing/856-43rd-street-unit-32-brooklyn-ny-11232/1558087787961678265/view?agent_id=610d3f3370540700019b0833","856 43rd Street, Unit 32")</f>
        <v>856 43rd Street, Unit 32</v>
      </c>
      <c r="C3854" s="25" t="s">
        <v>364</v>
      </c>
      <c r="D3854" s="26" t="s">
        <v>23</v>
      </c>
      <c r="E3854" s="27" t="str">
        <f>HYPERLINK("https://www.compass.com/building/856-43rd-st-brooklyn-ny-11232/293532944990004341/","856 43rd St")</f>
        <v>856 43rd St</v>
      </c>
      <c r="F3854" s="25" t="s">
        <v>128</v>
      </c>
      <c r="G3854" s="28">
        <v>539000.0</v>
      </c>
      <c r="H3854" s="28">
        <v>719.0</v>
      </c>
      <c r="I3854" s="28">
        <v>1061.0</v>
      </c>
      <c r="J3854" s="28">
        <v>0.0</v>
      </c>
      <c r="K3854" s="25" t="s">
        <v>25</v>
      </c>
      <c r="L3854" s="26">
        <v>5.0</v>
      </c>
      <c r="M3854" s="26">
        <v>2.0</v>
      </c>
      <c r="N3854" s="26">
        <v>1.0</v>
      </c>
      <c r="O3854" s="26">
        <v>0.0</v>
      </c>
      <c r="P3854" s="26">
        <v>750.0</v>
      </c>
      <c r="Q3854" s="35">
        <v>262.0</v>
      </c>
      <c r="R3854" s="32">
        <v>45664.0</v>
      </c>
      <c r="S3854" s="32">
        <v>45401.0</v>
      </c>
      <c r="T3854" s="29"/>
      <c r="U3854" s="33"/>
      <c r="V3854" s="1"/>
    </row>
    <row r="3855" ht="24.0" customHeight="1">
      <c r="A3855" s="1"/>
      <c r="B3855" s="24" t="str">
        <f>HYPERLINK("https://www.compass.com/listing/33-24-91st-street-unit-5v-queens-ny-11372/354033413740756561/view?agent_id=610d3f3370540700019b0833","33-24 91st Street, Unit 5V")</f>
        <v>33-24 91st Street, Unit 5V</v>
      </c>
      <c r="C3855" s="25" t="s">
        <v>370</v>
      </c>
      <c r="D3855" s="26" t="s">
        <v>23</v>
      </c>
      <c r="E3855" s="27" t="str">
        <f>HYPERLINK("https://www.compass.com/building/33-24-91st-st-queens-ny-11372/294840137086981429/","33-24 91st St")</f>
        <v>33-24 91st St</v>
      </c>
      <c r="F3855" s="25" t="s">
        <v>33</v>
      </c>
      <c r="G3855" s="28">
        <v>380000.0</v>
      </c>
      <c r="H3855" s="28">
        <v>380.0</v>
      </c>
      <c r="I3855" s="28">
        <v>0.0</v>
      </c>
      <c r="J3855" s="28">
        <v>0.0</v>
      </c>
      <c r="K3855" s="25" t="s">
        <v>25</v>
      </c>
      <c r="L3855" s="26">
        <v>5.0</v>
      </c>
      <c r="M3855" s="26">
        <v>2.0</v>
      </c>
      <c r="N3855" s="26">
        <v>1.0</v>
      </c>
      <c r="O3855" s="30"/>
      <c r="P3855" s="34">
        <v>1000.0</v>
      </c>
      <c r="Q3855" s="35">
        <v>214.0</v>
      </c>
      <c r="R3855" s="32">
        <v>45637.0</v>
      </c>
      <c r="S3855" s="32">
        <v>43584.0</v>
      </c>
      <c r="T3855" s="29"/>
      <c r="U3855" s="33"/>
      <c r="V3855" s="1"/>
    </row>
    <row r="3856" ht="24.0" customHeight="1">
      <c r="A3856" s="1"/>
      <c r="B3856" s="24" t="str">
        <f>HYPERLINK("https://www.compass.com/listing/33-45-90th-street-unit-6j-queens-ny-11372/1730625460523394121/view?agent_id=610d3f3370540700019b0833","33-45 90th Street, Unit 6J")</f>
        <v>33-45 90th Street, Unit 6J</v>
      </c>
      <c r="C3856" s="25" t="s">
        <v>370</v>
      </c>
      <c r="D3856" s="26" t="s">
        <v>23</v>
      </c>
      <c r="E3856" s="27" t="str">
        <f>HYPERLINK("https://www.compass.com/building/the-inwood-queens-ny/294847515756957205/","The Inwood")</f>
        <v>The Inwood</v>
      </c>
      <c r="F3856" s="25" t="s">
        <v>33</v>
      </c>
      <c r="G3856" s="28">
        <v>179000.0</v>
      </c>
      <c r="H3856" s="28">
        <v>179.0</v>
      </c>
      <c r="I3856" s="28">
        <v>0.0</v>
      </c>
      <c r="J3856" s="28">
        <v>0.0</v>
      </c>
      <c r="K3856" s="25" t="s">
        <v>25</v>
      </c>
      <c r="L3856" s="26">
        <v>5.0</v>
      </c>
      <c r="M3856" s="26">
        <v>2.0</v>
      </c>
      <c r="N3856" s="26">
        <v>1.0</v>
      </c>
      <c r="O3856" s="30"/>
      <c r="P3856" s="34">
        <v>1000.0</v>
      </c>
      <c r="Q3856" s="35">
        <v>174.0</v>
      </c>
      <c r="R3856" s="32">
        <v>45597.0</v>
      </c>
      <c r="S3856" s="32">
        <v>41226.0</v>
      </c>
      <c r="T3856" s="29"/>
      <c r="U3856" s="33"/>
      <c r="V3856" s="1"/>
    </row>
    <row r="3857" ht="24.0" customHeight="1">
      <c r="A3857" s="1"/>
      <c r="B3857" s="24" t="str">
        <f>HYPERLINK("https://www.compass.com/listing/35-27-81st-street-unit-3g-queens-ny-11372/1018838994145041289/view?agent_id=610d3f3370540700019b0833","35-27 81st Street, Unit 3G")</f>
        <v>35-27 81st Street, Unit 3G</v>
      </c>
      <c r="C3857" s="25" t="s">
        <v>364</v>
      </c>
      <c r="D3857" s="26" t="s">
        <v>23</v>
      </c>
      <c r="E3857" s="27" t="str">
        <f>HYPERLINK("https://www.compass.com/building/35-27-81st-st-queens-ny-11372/307431636639344085/","35-27 81st St")</f>
        <v>35-27 81st St</v>
      </c>
      <c r="F3857" s="25" t="s">
        <v>33</v>
      </c>
      <c r="G3857" s="28">
        <v>525000.0</v>
      </c>
      <c r="H3857" s="29"/>
      <c r="I3857" s="28">
        <v>1260.0</v>
      </c>
      <c r="J3857" s="28">
        <v>0.0</v>
      </c>
      <c r="K3857" s="25" t="s">
        <v>25</v>
      </c>
      <c r="L3857" s="26">
        <v>4.0</v>
      </c>
      <c r="M3857" s="26">
        <v>2.0</v>
      </c>
      <c r="N3857" s="26">
        <v>1.0</v>
      </c>
      <c r="O3857" s="30"/>
      <c r="P3857" s="30"/>
      <c r="Q3857" s="35">
        <v>244.0</v>
      </c>
      <c r="R3857" s="32">
        <v>44958.0</v>
      </c>
      <c r="S3857" s="32">
        <v>44714.0</v>
      </c>
      <c r="T3857" s="29"/>
      <c r="U3857" s="33"/>
      <c r="V3857" s="1"/>
    </row>
    <row r="3858" ht="24.0" customHeight="1">
      <c r="A3858" s="1"/>
      <c r="B3858" s="24" t="str">
        <f>HYPERLINK("https://www.compass.com/listing/84-12-35th-avenue-unit-2d-queens-ny-11372/500870716445592265/view?agent_id=610d3f3370540700019b0833","84-12 35th Avenue, Unit 2D")</f>
        <v>84-12 35th Avenue, Unit 2D</v>
      </c>
      <c r="C3858" s="25" t="s">
        <v>370</v>
      </c>
      <c r="D3858" s="26" t="s">
        <v>23</v>
      </c>
      <c r="E3858" s="27" t="str">
        <f>HYPERLINK("https://www.compass.com/building/84-12-35th-ave-queens-ny-11372/294844859990790837/","84-12 35th Ave")</f>
        <v>84-12 35th Ave</v>
      </c>
      <c r="F3858" s="25" t="s">
        <v>33</v>
      </c>
      <c r="G3858" s="28">
        <v>589000.0</v>
      </c>
      <c r="H3858" s="28">
        <v>535.0</v>
      </c>
      <c r="I3858" s="28">
        <v>0.0</v>
      </c>
      <c r="J3858" s="28">
        <v>0.0</v>
      </c>
      <c r="K3858" s="25" t="s">
        <v>25</v>
      </c>
      <c r="L3858" s="26">
        <v>5.0</v>
      </c>
      <c r="M3858" s="26">
        <v>2.0</v>
      </c>
      <c r="N3858" s="26">
        <v>1.0</v>
      </c>
      <c r="O3858" s="30"/>
      <c r="P3858" s="34">
        <v>1100.0</v>
      </c>
      <c r="Q3858" s="35">
        <v>184.0</v>
      </c>
      <c r="R3858" s="32">
        <v>45597.0</v>
      </c>
      <c r="S3858" s="32">
        <v>43178.0</v>
      </c>
      <c r="T3858" s="29"/>
      <c r="U3858" s="33"/>
      <c r="V3858" s="1"/>
    </row>
    <row r="3859" ht="24.0" customHeight="1">
      <c r="A3859" s="1"/>
      <c r="B3859" s="24" t="str">
        <f>HYPERLINK("https://www.compass.com/listing/35-40-75th-street-queens-ny-11372/588418948620995569/view?agent_id=610d3f3370540700019b0833","35-40 75th Street")</f>
        <v>35-40 75th Street</v>
      </c>
      <c r="C3859" s="25" t="s">
        <v>370</v>
      </c>
      <c r="D3859" s="26" t="s">
        <v>23</v>
      </c>
      <c r="E3859" s="27" t="str">
        <f>HYPERLINK("https://www.compass.com/building/35-40-75th-st-queens-ny-11372/294838319703767237/","35-40 75th St")</f>
        <v>35-40 75th St</v>
      </c>
      <c r="F3859" s="25" t="s">
        <v>33</v>
      </c>
      <c r="G3859" s="28">
        <v>609000.0</v>
      </c>
      <c r="H3859" s="29"/>
      <c r="I3859" s="28">
        <v>0.0</v>
      </c>
      <c r="J3859" s="28">
        <v>0.0</v>
      </c>
      <c r="K3859" s="25" t="s">
        <v>25</v>
      </c>
      <c r="L3859" s="26">
        <v>5.0</v>
      </c>
      <c r="M3859" s="26">
        <v>2.0</v>
      </c>
      <c r="N3859" s="26">
        <v>1.0</v>
      </c>
      <c r="O3859" s="30"/>
      <c r="P3859" s="30"/>
      <c r="Q3859" s="35">
        <v>224.0</v>
      </c>
      <c r="R3859" s="32">
        <v>45597.0</v>
      </c>
      <c r="S3859" s="32">
        <v>44062.0</v>
      </c>
      <c r="T3859" s="29"/>
      <c r="U3859" s="33"/>
      <c r="V3859" s="1"/>
    </row>
    <row r="3860" ht="24.0" customHeight="1">
      <c r="A3860" s="1"/>
      <c r="B3860" s="24" t="str">
        <f>HYPERLINK("https://www.compass.com/listing/35-21-79th-street-unit-1b-queens-ny-11372/870936070258822153/view?agent_id=610d3f3370540700019b0833","35-21 79th Street, Unit 1B")</f>
        <v>35-21 79th Street, Unit 1B</v>
      </c>
      <c r="C3860" s="25" t="s">
        <v>365</v>
      </c>
      <c r="D3860" s="26" t="s">
        <v>23</v>
      </c>
      <c r="E3860" s="27" t="str">
        <f>HYPERLINK("https://www.compass.com/building/35-21-79th-st-queens-ny-11372/293529520818960741/","35-21 79th St")</f>
        <v>35-21 79th St</v>
      </c>
      <c r="F3860" s="25" t="s">
        <v>33</v>
      </c>
      <c r="G3860" s="28">
        <v>599000.0</v>
      </c>
      <c r="H3860" s="28">
        <v>545.0</v>
      </c>
      <c r="I3860" s="28">
        <v>1030.0</v>
      </c>
      <c r="J3860" s="28">
        <v>0.0</v>
      </c>
      <c r="K3860" s="25" t="s">
        <v>25</v>
      </c>
      <c r="L3860" s="26">
        <v>4.0</v>
      </c>
      <c r="M3860" s="26">
        <v>2.0</v>
      </c>
      <c r="N3860" s="26">
        <v>1.0</v>
      </c>
      <c r="O3860" s="30"/>
      <c r="P3860" s="34">
        <v>1100.0</v>
      </c>
      <c r="Q3860" s="35">
        <v>20.0</v>
      </c>
      <c r="R3860" s="32">
        <v>44630.0</v>
      </c>
      <c r="S3860" s="32">
        <v>44454.0</v>
      </c>
      <c r="T3860" s="29"/>
      <c r="U3860" s="33"/>
      <c r="V3860" s="1"/>
    </row>
    <row r="3861" ht="24.0" customHeight="1">
      <c r="A3861" s="1"/>
      <c r="B3861" s="24" t="str">
        <f>HYPERLINK("https://www.compass.com/listing/34-47-82nd-street-unit-1-queens-ny-11372/1094272593606374457/view?agent_id=610d3f3370540700019b0833","34-47 82nd Street, Unit 1")</f>
        <v>34-47 82nd Street, Unit 1</v>
      </c>
      <c r="C3861" s="25" t="s">
        <v>364</v>
      </c>
      <c r="D3861" s="26" t="s">
        <v>23</v>
      </c>
      <c r="E3861" s="27" t="str">
        <f>HYPERLINK("https://www.compass.com/building/34-47-82nd-st-queens-ny-11372/293529918850063221/","34-47 82nd St")</f>
        <v>34-47 82nd St</v>
      </c>
      <c r="F3861" s="25" t="s">
        <v>33</v>
      </c>
      <c r="G3861" s="28">
        <v>599000.0</v>
      </c>
      <c r="H3861" s="29"/>
      <c r="I3861" s="28">
        <v>985.0</v>
      </c>
      <c r="J3861" s="28">
        <v>0.0</v>
      </c>
      <c r="K3861" s="25" t="s">
        <v>25</v>
      </c>
      <c r="L3861" s="26">
        <v>5.0</v>
      </c>
      <c r="M3861" s="26">
        <v>2.0</v>
      </c>
      <c r="N3861" s="26">
        <v>1.0</v>
      </c>
      <c r="O3861" s="26">
        <v>0.0</v>
      </c>
      <c r="P3861" s="30"/>
      <c r="Q3861" s="35">
        <v>173.0</v>
      </c>
      <c r="R3861" s="32">
        <v>44944.0</v>
      </c>
      <c r="S3861" s="32">
        <v>44771.0</v>
      </c>
      <c r="T3861" s="29"/>
      <c r="U3861" s="33"/>
      <c r="V3861" s="1"/>
    </row>
    <row r="3862" ht="24.0" customHeight="1">
      <c r="A3862" s="1"/>
      <c r="B3862" s="24" t="str">
        <f>HYPERLINK("https://www.compass.com/listing/17-22a-hart-street-brooklyn-ny-11385/1299675964656022593/view?agent_id=610d3f3370540700019b0833","17-22a Hart Street")</f>
        <v>17-22a Hart Street</v>
      </c>
      <c r="C3862" s="25" t="s">
        <v>370</v>
      </c>
      <c r="D3862" s="26" t="s">
        <v>23</v>
      </c>
      <c r="E3862" s="26" t="s">
        <v>402</v>
      </c>
      <c r="F3862" s="25" t="s">
        <v>82</v>
      </c>
      <c r="G3862" s="28">
        <v>975000.0</v>
      </c>
      <c r="H3862" s="28">
        <v>677.0</v>
      </c>
      <c r="I3862" s="28">
        <v>419.0</v>
      </c>
      <c r="J3862" s="28">
        <v>5028.0</v>
      </c>
      <c r="K3862" s="25" t="s">
        <v>97</v>
      </c>
      <c r="L3862" s="26">
        <v>6.0</v>
      </c>
      <c r="M3862" s="26">
        <v>2.0</v>
      </c>
      <c r="N3862" s="26">
        <v>1.0</v>
      </c>
      <c r="O3862" s="30"/>
      <c r="P3862" s="34">
        <v>1440.0</v>
      </c>
      <c r="Q3862" s="35">
        <v>174.0</v>
      </c>
      <c r="R3862" s="32">
        <v>45253.0</v>
      </c>
      <c r="S3862" s="32">
        <v>45043.0</v>
      </c>
      <c r="T3862" s="29"/>
      <c r="U3862" s="33"/>
      <c r="V3862" s="1"/>
    </row>
    <row r="3863" ht="24.0" customHeight="1">
      <c r="A3863" s="1"/>
      <c r="B3863" s="24" t="str">
        <f>HYPERLINK("https://www.compass.com/listing/7901-4th-avenue-unit-e22-brooklyn-ny-11209/1339071234517318489/view?agent_id=610d3f3370540700019b0833","7901 4th Avenue, Unit E22")</f>
        <v>7901 4th Avenue, Unit E22</v>
      </c>
      <c r="C3863" s="25" t="s">
        <v>370</v>
      </c>
      <c r="D3863" s="26" t="s">
        <v>23</v>
      </c>
      <c r="E3863" s="27" t="str">
        <f>HYPERLINK("https://www.compass.com/building/the-embassy-brooklyn-ny/294836580308791061/","The Embassy")</f>
        <v>The Embassy</v>
      </c>
      <c r="F3863" s="25" t="s">
        <v>55</v>
      </c>
      <c r="G3863" s="28">
        <v>499000.0</v>
      </c>
      <c r="H3863" s="28">
        <v>554.0</v>
      </c>
      <c r="I3863" s="28">
        <v>900.0</v>
      </c>
      <c r="J3863" s="28">
        <v>0.0</v>
      </c>
      <c r="K3863" s="25" t="s">
        <v>25</v>
      </c>
      <c r="L3863" s="26">
        <v>6.0</v>
      </c>
      <c r="M3863" s="26">
        <v>2.0</v>
      </c>
      <c r="N3863" s="26">
        <v>1.0</v>
      </c>
      <c r="O3863" s="30"/>
      <c r="P3863" s="26">
        <v>900.0</v>
      </c>
      <c r="Q3863" s="35">
        <v>135.0</v>
      </c>
      <c r="R3863" s="32">
        <v>45312.0</v>
      </c>
      <c r="S3863" s="32">
        <v>45099.0</v>
      </c>
      <c r="T3863" s="29"/>
      <c r="U3863" s="33"/>
      <c r="V3863" s="1"/>
    </row>
    <row r="3864" ht="24.0" customHeight="1">
      <c r="A3864" s="1"/>
      <c r="B3864" s="24" t="str">
        <f>HYPERLINK("https://www.compass.com/listing/10-church-street-queens-ny-11414/1845115986519440689/view?agent_id=610d3f3370540700019b0833","10 Church Street")</f>
        <v>10 Church Street</v>
      </c>
      <c r="C3864" s="25" t="s">
        <v>365</v>
      </c>
      <c r="D3864" s="26" t="s">
        <v>23</v>
      </c>
      <c r="E3864" s="27" t="str">
        <f>HYPERLINK("https://www.compass.com/building/10-church-st-queens-ny-11414/293526650916763701/","10 Church St")</f>
        <v>10 Church St</v>
      </c>
      <c r="F3864" s="25" t="s">
        <v>220</v>
      </c>
      <c r="G3864" s="28">
        <v>549000.0</v>
      </c>
      <c r="H3864" s="28">
        <v>755.0</v>
      </c>
      <c r="I3864" s="28">
        <v>120.0</v>
      </c>
      <c r="J3864" s="28">
        <v>1442.0</v>
      </c>
      <c r="K3864" s="25" t="s">
        <v>97</v>
      </c>
      <c r="L3864" s="26">
        <v>2.0</v>
      </c>
      <c r="M3864" s="26">
        <v>2.0</v>
      </c>
      <c r="N3864" s="26">
        <v>1.0</v>
      </c>
      <c r="O3864" s="30"/>
      <c r="P3864" s="26">
        <v>727.0</v>
      </c>
      <c r="Q3864" s="35">
        <v>37.0</v>
      </c>
      <c r="R3864" s="32">
        <v>45834.0</v>
      </c>
      <c r="S3864" s="32">
        <v>45797.0</v>
      </c>
      <c r="T3864" s="29"/>
      <c r="U3864" s="33"/>
      <c r="V3864" s="1"/>
    </row>
    <row r="3865" ht="24.0" customHeight="1">
      <c r="A3865" s="1"/>
      <c r="B3865" s="24" t="str">
        <f>HYPERLINK("https://www.compass.com/listing/7901-4th-avenue-unit-e22-brooklyn-ny-11209/1507175332758948521/view?agent_id=610d3f3370540700019b0833","7901 4th Avenue, Unit E22")</f>
        <v>7901 4th Avenue, Unit E22</v>
      </c>
      <c r="C3865" s="25" t="s">
        <v>365</v>
      </c>
      <c r="D3865" s="26" t="s">
        <v>23</v>
      </c>
      <c r="E3865" s="27" t="str">
        <f>HYPERLINK("https://www.compass.com/building/the-embassy-brooklyn-ny/294836580308791061/","The Embassy")</f>
        <v>The Embassy</v>
      </c>
      <c r="F3865" s="25" t="s">
        <v>55</v>
      </c>
      <c r="G3865" s="28">
        <v>475000.0</v>
      </c>
      <c r="H3865" s="28">
        <v>528.0</v>
      </c>
      <c r="I3865" s="28">
        <v>900.0</v>
      </c>
      <c r="J3865" s="29"/>
      <c r="K3865" s="25" t="s">
        <v>25</v>
      </c>
      <c r="L3865" s="26">
        <v>4.0</v>
      </c>
      <c r="M3865" s="26">
        <v>2.0</v>
      </c>
      <c r="N3865" s="26">
        <v>1.0</v>
      </c>
      <c r="O3865" s="30"/>
      <c r="P3865" s="26">
        <v>900.0</v>
      </c>
      <c r="Q3865" s="35">
        <v>57.0</v>
      </c>
      <c r="R3865" s="32">
        <v>45415.0</v>
      </c>
      <c r="S3865" s="32">
        <v>45355.0</v>
      </c>
      <c r="T3865" s="29"/>
      <c r="U3865" s="33"/>
      <c r="V3865" s="1"/>
    </row>
    <row r="3866" ht="24.0" customHeight="1">
      <c r="A3866" s="1"/>
      <c r="B3866" s="24" t="str">
        <f>HYPERLINK("https://www.compass.com/listing/34-38-81st-street-unit-1-queens-ny-11372/380575053833737073/view?agent_id=610d3f3370540700019b0833","34-38 81st Street, Unit 1")</f>
        <v>34-38 81st Street, Unit 1</v>
      </c>
      <c r="C3866" s="25" t="s">
        <v>365</v>
      </c>
      <c r="D3866" s="26" t="s">
        <v>23</v>
      </c>
      <c r="E3866" s="27" t="str">
        <f>HYPERLINK("https://www.compass.com/building/the-chateau-queens-ny/293526440043975285/","The Chateau")</f>
        <v>The Chateau</v>
      </c>
      <c r="F3866" s="25" t="s">
        <v>33</v>
      </c>
      <c r="G3866" s="28">
        <v>750000.0</v>
      </c>
      <c r="H3866" s="29"/>
      <c r="I3866" s="28">
        <v>1087.0</v>
      </c>
      <c r="J3866" s="28">
        <v>0.0</v>
      </c>
      <c r="K3866" s="25" t="s">
        <v>25</v>
      </c>
      <c r="L3866" s="26">
        <v>5.0</v>
      </c>
      <c r="M3866" s="26">
        <v>2.0</v>
      </c>
      <c r="N3866" s="26">
        <v>1.0</v>
      </c>
      <c r="O3866" s="26">
        <v>0.0</v>
      </c>
      <c r="P3866" s="30"/>
      <c r="Q3866" s="35">
        <v>114.0</v>
      </c>
      <c r="R3866" s="32">
        <v>43897.0</v>
      </c>
      <c r="S3866" s="32">
        <v>43783.0</v>
      </c>
      <c r="T3866" s="29"/>
      <c r="U3866" s="33"/>
      <c r="V3866" s="1"/>
    </row>
    <row r="3867" ht="24.0" customHeight="1">
      <c r="A3867" s="1"/>
      <c r="B3867" s="24" t="str">
        <f>HYPERLINK("https://www.compass.com/listing/1350-east-85th-street-unit-tf-brooklyn-ny-11236/311640212262512257/view?agent_id=610d3f3370540700019b0833","1350 East 85th Street, Unit TF")</f>
        <v>1350 East 85th Street, Unit TF</v>
      </c>
      <c r="C3867" s="25" t="s">
        <v>364</v>
      </c>
      <c r="D3867" s="26" t="s">
        <v>23</v>
      </c>
      <c r="E3867" s="27" t="str">
        <f>HYPERLINK("https://www.compass.com/building/1350-e-85th-st-brooklyn-ny-11236/293535248728283717/","1350 E 85th St")</f>
        <v>1350 E 85th St</v>
      </c>
      <c r="F3867" s="25" t="s">
        <v>187</v>
      </c>
      <c r="G3867" s="28">
        <v>2000.0</v>
      </c>
      <c r="H3867" s="28">
        <v>1.0</v>
      </c>
      <c r="I3867" s="28">
        <v>0.0</v>
      </c>
      <c r="J3867" s="28">
        <v>0.0</v>
      </c>
      <c r="K3867" s="25" t="s">
        <v>149</v>
      </c>
      <c r="L3867" s="26">
        <v>4.0</v>
      </c>
      <c r="M3867" s="26">
        <v>2.0</v>
      </c>
      <c r="N3867" s="26">
        <v>1.0</v>
      </c>
      <c r="O3867" s="26">
        <v>0.0</v>
      </c>
      <c r="P3867" s="34">
        <v>1960.0</v>
      </c>
      <c r="Q3867" s="35">
        <v>0.0</v>
      </c>
      <c r="R3867" s="32">
        <v>43681.0</v>
      </c>
      <c r="S3867" s="32">
        <v>43681.0</v>
      </c>
      <c r="T3867" s="29"/>
      <c r="U3867" s="33"/>
      <c r="V3867" s="1"/>
    </row>
    <row r="3868" ht="24.0" customHeight="1">
      <c r="A3868" s="1"/>
      <c r="B3868" s="24" t="str">
        <f>HYPERLINK("https://www.compass.com/listing/35-06-88th-street-unit-5a-queens-ny-11372/531092807000683849/view?agent_id=610d3f3370540700019b0833","35-06 88th Street, Unit 5A")</f>
        <v>35-06 88th Street, Unit 5A</v>
      </c>
      <c r="C3868" s="25" t="s">
        <v>365</v>
      </c>
      <c r="D3868" s="26" t="s">
        <v>23</v>
      </c>
      <c r="E3868" s="27" t="str">
        <f>HYPERLINK("https://www.compass.com/building/35-06-88th-st-queens-ny-11372/293530815114084133/","35-06 88th St")</f>
        <v>35-06 88th St</v>
      </c>
      <c r="F3868" s="25" t="s">
        <v>33</v>
      </c>
      <c r="G3868" s="28">
        <v>639000.0</v>
      </c>
      <c r="H3868" s="28">
        <v>581.0</v>
      </c>
      <c r="I3868" s="28">
        <v>1115.0</v>
      </c>
      <c r="J3868" s="28">
        <v>0.0</v>
      </c>
      <c r="K3868" s="25" t="s">
        <v>25</v>
      </c>
      <c r="L3868" s="26">
        <v>5.0</v>
      </c>
      <c r="M3868" s="26">
        <v>2.0</v>
      </c>
      <c r="N3868" s="26">
        <v>1.0</v>
      </c>
      <c r="O3868" s="26">
        <v>0.0</v>
      </c>
      <c r="P3868" s="34">
        <v>1100.0</v>
      </c>
      <c r="Q3868" s="35">
        <v>147.0</v>
      </c>
      <c r="R3868" s="32">
        <v>44151.0</v>
      </c>
      <c r="S3868" s="32">
        <v>43990.0</v>
      </c>
      <c r="T3868" s="29"/>
      <c r="U3868" s="33"/>
      <c r="V3868" s="1"/>
    </row>
    <row r="3869" ht="24.0" customHeight="1">
      <c r="A3869" s="1"/>
      <c r="B3869" s="24" t="str">
        <f>HYPERLINK("https://www.compass.com/listing/37-16-80th-street-unit-42-queens-ny-11372/776630919824629929/view?agent_id=610d3f3370540700019b0833","37-16 80th Street, Unit 42")</f>
        <v>37-16 80th Street, Unit 42</v>
      </c>
      <c r="C3869" s="25" t="s">
        <v>365</v>
      </c>
      <c r="D3869" s="26" t="s">
        <v>23</v>
      </c>
      <c r="E3869" s="27" t="str">
        <f>HYPERLINK("https://www.compass.com/building/37-16-80th-st-queens-ny-11372/293535121523376309/","37-16 80th St")</f>
        <v>37-16 80th St</v>
      </c>
      <c r="F3869" s="25" t="s">
        <v>33</v>
      </c>
      <c r="G3869" s="28">
        <v>800000.0</v>
      </c>
      <c r="H3869" s="29"/>
      <c r="I3869" s="28">
        <v>879.0</v>
      </c>
      <c r="J3869" s="28">
        <v>0.0</v>
      </c>
      <c r="K3869" s="25" t="s">
        <v>25</v>
      </c>
      <c r="L3869" s="26">
        <v>5.0</v>
      </c>
      <c r="M3869" s="26">
        <v>2.0</v>
      </c>
      <c r="N3869" s="26">
        <v>1.0</v>
      </c>
      <c r="O3869" s="26">
        <v>0.0</v>
      </c>
      <c r="P3869" s="30"/>
      <c r="Q3869" s="35">
        <v>21.0</v>
      </c>
      <c r="R3869" s="32">
        <v>44344.0</v>
      </c>
      <c r="S3869" s="32">
        <v>44323.0</v>
      </c>
      <c r="T3869" s="29"/>
      <c r="U3869" s="33"/>
      <c r="V3869" s="1"/>
    </row>
    <row r="3870" ht="24.0" customHeight="1">
      <c r="A3870" s="1"/>
      <c r="B3870" s="24" t="str">
        <f>HYPERLINK("https://www.compass.com/listing/302-96th-street-unit-3p-brooklyn-ny-11209/1014625598704832969/view?agent_id=610d3f3370540700019b0833","302 96th Street, Unit 3P")</f>
        <v>302 96th Street, Unit 3P</v>
      </c>
      <c r="C3870" s="25" t="s">
        <v>364</v>
      </c>
      <c r="D3870" s="26" t="s">
        <v>23</v>
      </c>
      <c r="E3870" s="27" t="str">
        <f>HYPERLINK("https://www.compass.com/building/302-96th-st-brooklyn-ny-11209/293416503225722981/","302 96th St")</f>
        <v>302 96th St</v>
      </c>
      <c r="F3870" s="25" t="s">
        <v>55</v>
      </c>
      <c r="G3870" s="28">
        <v>450000.0</v>
      </c>
      <c r="H3870" s="28">
        <v>529.0</v>
      </c>
      <c r="I3870" s="28">
        <v>1005.0</v>
      </c>
      <c r="J3870" s="28">
        <v>0.0</v>
      </c>
      <c r="K3870" s="25" t="s">
        <v>25</v>
      </c>
      <c r="L3870" s="26">
        <v>4.0</v>
      </c>
      <c r="M3870" s="26">
        <v>2.0</v>
      </c>
      <c r="N3870" s="26">
        <v>1.0</v>
      </c>
      <c r="O3870" s="26">
        <v>0.0</v>
      </c>
      <c r="P3870" s="26">
        <v>850.0</v>
      </c>
      <c r="Q3870" s="35">
        <v>91.0</v>
      </c>
      <c r="R3870" s="32">
        <v>45230.0</v>
      </c>
      <c r="S3870" s="32">
        <v>45138.0</v>
      </c>
      <c r="T3870" s="29"/>
      <c r="U3870" s="33"/>
      <c r="V3870" s="1"/>
    </row>
    <row r="3871" ht="24.0" customHeight="1">
      <c r="A3871" s="1"/>
      <c r="B3871" s="24" t="str">
        <f>HYPERLINK("https://www.compass.com/listing/30-06-29th-street-unit-5l-queens-ny-11102/29527715459672209/view?agent_id=610d3f3370540700019b0833","30-06 29th Street, Unit 5L")</f>
        <v>30-06 29th Street, Unit 5L</v>
      </c>
      <c r="C3871" s="25" t="s">
        <v>370</v>
      </c>
      <c r="D3871" s="26" t="s">
        <v>23</v>
      </c>
      <c r="E3871" s="27" t="str">
        <f>HYPERLINK("https://www.compass.com/building/the-colony-queens-ny/294848638538499909/","The Colony ")</f>
        <v>The Colony </v>
      </c>
      <c r="F3871" s="25" t="s">
        <v>68</v>
      </c>
      <c r="G3871" s="28">
        <v>779000.0</v>
      </c>
      <c r="H3871" s="28">
        <v>599.0</v>
      </c>
      <c r="I3871" s="28">
        <v>930.0</v>
      </c>
      <c r="J3871" s="29"/>
      <c r="K3871" s="25" t="s">
        <v>25</v>
      </c>
      <c r="L3871" s="26">
        <v>5.0</v>
      </c>
      <c r="M3871" s="26">
        <v>2.0</v>
      </c>
      <c r="N3871" s="26">
        <v>0.0</v>
      </c>
      <c r="O3871" s="26">
        <v>0.0</v>
      </c>
      <c r="P3871" s="34">
        <v>1300.0</v>
      </c>
      <c r="Q3871" s="35">
        <v>37.0</v>
      </c>
      <c r="R3871" s="32">
        <v>45636.0</v>
      </c>
      <c r="S3871" s="32">
        <v>41903.0</v>
      </c>
      <c r="T3871" s="29"/>
      <c r="U3871" s="33"/>
      <c r="V3871" s="1"/>
    </row>
    <row r="3872" ht="24.0" customHeight="1">
      <c r="A3872" s="1"/>
      <c r="B3872" s="24" t="str">
        <f>HYPERLINK("https://www.compass.com/listing/35-16-85th-street-unit-4g-queens-ny-11372/1293116625342728329/view?agent_id=610d3f3370540700019b0833","35-16 85th Street, Unit 4G")</f>
        <v>35-16 85th Street, Unit 4G</v>
      </c>
      <c r="C3872" s="25" t="s">
        <v>365</v>
      </c>
      <c r="D3872" s="26" t="s">
        <v>23</v>
      </c>
      <c r="E3872" s="27" t="str">
        <f>HYPERLINK("https://www.compass.com/building/the-belvedere-east-queens-ny/293418390570142245/","The Belvedere East")</f>
        <v>The Belvedere East</v>
      </c>
      <c r="F3872" s="25" t="s">
        <v>33</v>
      </c>
      <c r="G3872" s="28">
        <v>610000.0</v>
      </c>
      <c r="H3872" s="29"/>
      <c r="I3872" s="28">
        <v>1160.0</v>
      </c>
      <c r="J3872" s="28">
        <v>0.0</v>
      </c>
      <c r="K3872" s="25" t="s">
        <v>25</v>
      </c>
      <c r="L3872" s="26">
        <v>5.0</v>
      </c>
      <c r="M3872" s="26">
        <v>2.0</v>
      </c>
      <c r="N3872" s="26">
        <v>1.0</v>
      </c>
      <c r="O3872" s="26">
        <v>0.0</v>
      </c>
      <c r="P3872" s="30"/>
      <c r="Q3872" s="35">
        <v>40.0</v>
      </c>
      <c r="R3872" s="32">
        <v>45076.0</v>
      </c>
      <c r="S3872" s="32">
        <v>45035.0</v>
      </c>
      <c r="T3872" s="29"/>
      <c r="U3872" s="33"/>
      <c r="V3872" s="1"/>
    </row>
    <row r="3873" ht="24.0" customHeight="1">
      <c r="A3873" s="1"/>
      <c r="B3873" s="24" t="str">
        <f>HYPERLINK("https://www.compass.com/listing/2069-cicero-avenue-bronx-ny-10473/317340870269181697/view?agent_id=610d3f3370540700019b0833","2069 Cicero Ave")</f>
        <v>2069 Cicero Ave</v>
      </c>
      <c r="C3873" s="25" t="s">
        <v>370</v>
      </c>
      <c r="D3873" s="26" t="s">
        <v>23</v>
      </c>
      <c r="E3873" s="27" t="str">
        <f>HYPERLINK("https://www.compass.com/building/2069-cicero-ave-bronx-ny-10473/293528180562615541/","2069 Cicero Ave")</f>
        <v>2069 Cicero Ave</v>
      </c>
      <c r="F3873" s="25" t="s">
        <v>403</v>
      </c>
      <c r="G3873" s="28">
        <v>545000.0</v>
      </c>
      <c r="H3873" s="28">
        <v>234.0</v>
      </c>
      <c r="I3873" s="28">
        <v>397.0</v>
      </c>
      <c r="J3873" s="28">
        <v>4765.0</v>
      </c>
      <c r="K3873" s="25" t="s">
        <v>149</v>
      </c>
      <c r="L3873" s="30"/>
      <c r="M3873" s="26">
        <v>2.0</v>
      </c>
      <c r="N3873" s="26">
        <v>1.0</v>
      </c>
      <c r="O3873" s="30"/>
      <c r="P3873" s="34">
        <v>2325.0</v>
      </c>
      <c r="Q3873" s="35">
        <v>20.0</v>
      </c>
      <c r="R3873" s="32">
        <v>45611.0</v>
      </c>
      <c r="S3873" s="32">
        <v>42734.0</v>
      </c>
      <c r="T3873" s="29"/>
      <c r="U3873" s="33"/>
      <c r="V3873" s="1"/>
    </row>
    <row r="3874" ht="24.0" customHeight="1">
      <c r="A3874" s="1"/>
      <c r="B3874" s="24" t="str">
        <f>HYPERLINK("https://www.compass.com/listing/7609-4th-avenue-unit-b1-brooklyn-ny-11209/1123961137041794561/view?agent_id=610d3f3370540700019b0833","7609 4th Ave, Unit B1")</f>
        <v>7609 4th Ave, Unit B1</v>
      </c>
      <c r="C3874" s="25" t="s">
        <v>365</v>
      </c>
      <c r="D3874" s="26" t="s">
        <v>23</v>
      </c>
      <c r="E3874" s="27" t="str">
        <f>HYPERLINK("https://www.compass.com/building/7609-4th-ave-brooklyn-ny-11209/293531655711282981/","7609 4th Ave")</f>
        <v>7609 4th Ave</v>
      </c>
      <c r="F3874" s="25" t="s">
        <v>55</v>
      </c>
      <c r="G3874" s="28">
        <v>439000.0</v>
      </c>
      <c r="H3874" s="29"/>
      <c r="I3874" s="28">
        <v>944.0</v>
      </c>
      <c r="J3874" s="28">
        <v>0.0</v>
      </c>
      <c r="K3874" s="25" t="s">
        <v>25</v>
      </c>
      <c r="L3874" s="26">
        <v>4.0</v>
      </c>
      <c r="M3874" s="26">
        <v>2.0</v>
      </c>
      <c r="N3874" s="26">
        <v>1.0</v>
      </c>
      <c r="O3874" s="26">
        <v>0.0</v>
      </c>
      <c r="P3874" s="30"/>
      <c r="Q3874" s="35">
        <v>129.0</v>
      </c>
      <c r="R3874" s="32">
        <v>45265.0</v>
      </c>
      <c r="S3874" s="32">
        <v>44803.0</v>
      </c>
      <c r="T3874" s="29"/>
      <c r="U3874" s="33"/>
      <c r="V3874" s="1"/>
    </row>
    <row r="3875" ht="24.0" customHeight="1">
      <c r="A3875" s="1"/>
      <c r="B3875" s="24" t="str">
        <f>HYPERLINK("https://www.compass.com/listing/37-22-80th-street-unit-41-queens-ny-11372/852843989323843025/view?agent_id=610d3f3370540700019b0833","37-22 80th St, Unit 41")</f>
        <v>37-22 80th St, Unit 41</v>
      </c>
      <c r="C3875" s="25" t="s">
        <v>365</v>
      </c>
      <c r="D3875" s="26" t="s">
        <v>23</v>
      </c>
      <c r="E3875" s="27" t="str">
        <f>HYPERLINK("https://www.compass.com/building/37-22-80th-st-queens-ny-11372/294846615718130037/","37-22 80th St")</f>
        <v>37-22 80th St</v>
      </c>
      <c r="F3875" s="25" t="s">
        <v>33</v>
      </c>
      <c r="G3875" s="28">
        <v>795000.0</v>
      </c>
      <c r="H3875" s="29"/>
      <c r="I3875" s="28">
        <v>879.0</v>
      </c>
      <c r="J3875" s="28">
        <v>0.0</v>
      </c>
      <c r="K3875" s="25" t="s">
        <v>25</v>
      </c>
      <c r="L3875" s="26">
        <v>6.0</v>
      </c>
      <c r="M3875" s="26">
        <v>2.0</v>
      </c>
      <c r="N3875" s="26">
        <v>1.0</v>
      </c>
      <c r="O3875" s="30"/>
      <c r="P3875" s="30"/>
      <c r="Q3875" s="35">
        <v>60.0</v>
      </c>
      <c r="R3875" s="32">
        <v>44488.0</v>
      </c>
      <c r="S3875" s="32">
        <v>44428.0</v>
      </c>
      <c r="T3875" s="29"/>
      <c r="U3875" s="33"/>
      <c r="V3875" s="1"/>
    </row>
    <row r="3876" ht="24.0" customHeight="1">
      <c r="A3876" s="1"/>
      <c r="B3876" s="24" t="str">
        <f>HYPERLINK("https://www.compass.com/listing/8901-shore-road-unit-2e-brooklyn-ny-11209/1019015735042946745/view?agent_id=610d3f3370540700019b0833","8901 Shore Rd, Unit 2E")</f>
        <v>8901 Shore Rd, Unit 2E</v>
      </c>
      <c r="C3876" s="25" t="s">
        <v>364</v>
      </c>
      <c r="D3876" s="26" t="s">
        <v>23</v>
      </c>
      <c r="E3876" s="27" t="str">
        <f>HYPERLINK("https://www.compass.com/building/8901-shore-rd-brooklyn-ny-11209/293529520684742965/","8901 Shore Rd")</f>
        <v>8901 Shore Rd</v>
      </c>
      <c r="F3876" s="25" t="s">
        <v>55</v>
      </c>
      <c r="G3876" s="28">
        <v>440000.0</v>
      </c>
      <c r="H3876" s="28">
        <v>518.0</v>
      </c>
      <c r="I3876" s="28">
        <v>1268.0</v>
      </c>
      <c r="J3876" s="28">
        <v>0.0</v>
      </c>
      <c r="K3876" s="25" t="s">
        <v>25</v>
      </c>
      <c r="L3876" s="26">
        <v>4.0</v>
      </c>
      <c r="M3876" s="26">
        <v>2.0</v>
      </c>
      <c r="N3876" s="26">
        <v>1.0</v>
      </c>
      <c r="O3876" s="26">
        <v>0.0</v>
      </c>
      <c r="P3876" s="26">
        <v>850.0</v>
      </c>
      <c r="Q3876" s="35">
        <v>430.0</v>
      </c>
      <c r="R3876" s="32">
        <v>45156.0</v>
      </c>
      <c r="S3876" s="32">
        <v>44658.0</v>
      </c>
      <c r="T3876" s="29"/>
      <c r="U3876" s="33"/>
      <c r="V3876" s="1"/>
    </row>
    <row r="3877" ht="24.0" customHeight="1">
      <c r="A3877" s="1"/>
      <c r="B3877" s="24" t="str">
        <f>HYPERLINK("https://www.compass.com/listing/37-45-84th-street-unit-31-queens-ny-11372/1809626102671279777/view?agent_id=610d3f3370540700019b0833","37-45 84th St, Unit 31")</f>
        <v>37-45 84th St, Unit 31</v>
      </c>
      <c r="C3877" s="25" t="s">
        <v>364</v>
      </c>
      <c r="D3877" s="26" t="s">
        <v>23</v>
      </c>
      <c r="E3877" s="27" t="str">
        <f t="shared" ref="E3877:E3878" si="147">HYPERLINK("https://www.compass.com/building/37-45-84th-st-queens-ny-11372/293535324913655109/","37-45 84th St")</f>
        <v>37-45 84th St</v>
      </c>
      <c r="F3877" s="25" t="s">
        <v>33</v>
      </c>
      <c r="G3877" s="28">
        <v>599000.0</v>
      </c>
      <c r="H3877" s="29"/>
      <c r="I3877" s="28">
        <v>1161.0</v>
      </c>
      <c r="J3877" s="29"/>
      <c r="K3877" s="25" t="s">
        <v>25</v>
      </c>
      <c r="L3877" s="26">
        <v>5.0</v>
      </c>
      <c r="M3877" s="26">
        <v>2.0</v>
      </c>
      <c r="N3877" s="26">
        <v>0.0</v>
      </c>
      <c r="O3877" s="26">
        <v>0.0</v>
      </c>
      <c r="P3877" s="30"/>
      <c r="Q3877" s="35">
        <v>1595.0</v>
      </c>
      <c r="R3877" s="32">
        <v>44581.0</v>
      </c>
      <c r="S3877" s="32">
        <v>42985.0</v>
      </c>
      <c r="T3877" s="29"/>
      <c r="U3877" s="33"/>
      <c r="V3877" s="1"/>
    </row>
    <row r="3878" ht="24.0" customHeight="1">
      <c r="A3878" s="1"/>
      <c r="B3878" s="24" t="str">
        <f>HYPERLINK("https://www.compass.com/listing/37-45-84th-street-unit-31-queens-ny-11372/887174160780570793/view?agent_id=610d3f3370540700019b0833","37-45 84th St, Unit 31")</f>
        <v>37-45 84th St, Unit 31</v>
      </c>
      <c r="C3878" s="25" t="s">
        <v>364</v>
      </c>
      <c r="D3878" s="26" t="s">
        <v>23</v>
      </c>
      <c r="E3878" s="27" t="str">
        <f t="shared" si="147"/>
        <v>37-45 84th St</v>
      </c>
      <c r="F3878" s="25" t="s">
        <v>33</v>
      </c>
      <c r="G3878" s="28">
        <v>599000.0</v>
      </c>
      <c r="H3878" s="29"/>
      <c r="I3878" s="28">
        <v>1161.0</v>
      </c>
      <c r="J3878" s="29"/>
      <c r="K3878" s="25" t="s">
        <v>25</v>
      </c>
      <c r="L3878" s="26">
        <v>5.0</v>
      </c>
      <c r="M3878" s="26">
        <v>2.0</v>
      </c>
      <c r="N3878" s="26">
        <v>0.0</v>
      </c>
      <c r="O3878" s="26">
        <v>0.0</v>
      </c>
      <c r="P3878" s="30"/>
      <c r="Q3878" s="35">
        <v>56.0</v>
      </c>
      <c r="R3878" s="32">
        <v>45636.0</v>
      </c>
      <c r="S3878" s="32">
        <v>42921.0</v>
      </c>
      <c r="T3878" s="29"/>
      <c r="U3878" s="33"/>
      <c r="V3878" s="1"/>
    </row>
    <row r="3879" ht="24.0" customHeight="1">
      <c r="A3879" s="1"/>
      <c r="B3879" s="24" t="str">
        <f>HYPERLINK("https://www.compass.com/listing/37-55-84th-street-unit-3-queens-ny-11372/871107695211717617/view?agent_id=610d3f3370540700019b0833","37-55 84th St, Unit 3")</f>
        <v>37-55 84th St, Unit 3</v>
      </c>
      <c r="C3879" s="25" t="s">
        <v>364</v>
      </c>
      <c r="D3879" s="26" t="s">
        <v>23</v>
      </c>
      <c r="E3879" s="27" t="str">
        <f>HYPERLINK("https://www.compass.com/building/37-55-84th-st-queens-ny-11372/293535040455836165/","37-55 84th St")</f>
        <v>37-55 84th St</v>
      </c>
      <c r="F3879" s="25" t="s">
        <v>33</v>
      </c>
      <c r="G3879" s="28">
        <v>599000.0</v>
      </c>
      <c r="H3879" s="28">
        <v>530.0</v>
      </c>
      <c r="I3879" s="28">
        <v>1090.0</v>
      </c>
      <c r="J3879" s="29"/>
      <c r="K3879" s="25" t="s">
        <v>25</v>
      </c>
      <c r="L3879" s="26">
        <v>5.0</v>
      </c>
      <c r="M3879" s="26">
        <v>2.0</v>
      </c>
      <c r="N3879" s="26">
        <v>1.0</v>
      </c>
      <c r="O3879" s="26">
        <v>0.0</v>
      </c>
      <c r="P3879" s="34">
        <v>1130.0</v>
      </c>
      <c r="Q3879" s="35">
        <v>98.0</v>
      </c>
      <c r="R3879" s="32">
        <v>45636.0</v>
      </c>
      <c r="S3879" s="32">
        <v>44453.0</v>
      </c>
      <c r="T3879" s="29"/>
      <c r="U3879" s="33"/>
      <c r="V3879" s="1"/>
    </row>
    <row r="3880" ht="24.0" customHeight="1">
      <c r="A3880" s="1"/>
      <c r="B3880" s="24" t="str">
        <f>HYPERLINK("https://www.compass.com/listing/160-72nd-street-unit-723-brooklyn-ny-11209/1410152655268297697/view?agent_id=610d3f3370540700019b0833","160 72nd St, Unit 723")</f>
        <v>160 72nd St, Unit 723</v>
      </c>
      <c r="C3880" s="25" t="s">
        <v>365</v>
      </c>
      <c r="D3880" s="26" t="s">
        <v>23</v>
      </c>
      <c r="E3880" s="27" t="str">
        <f>HYPERLINK("https://www.compass.com/building/160-72nd-st-brooklyn-ny-11209/307439639018981909/","160 72nd St")</f>
        <v>160 72nd St</v>
      </c>
      <c r="F3880" s="25" t="s">
        <v>55</v>
      </c>
      <c r="G3880" s="28">
        <v>429000.0</v>
      </c>
      <c r="H3880" s="28">
        <v>477.0</v>
      </c>
      <c r="I3880" s="28">
        <v>1540.0</v>
      </c>
      <c r="J3880" s="28">
        <v>0.0</v>
      </c>
      <c r="K3880" s="25" t="s">
        <v>25</v>
      </c>
      <c r="L3880" s="26">
        <v>4.0</v>
      </c>
      <c r="M3880" s="26">
        <v>2.0</v>
      </c>
      <c r="N3880" s="26">
        <v>1.0</v>
      </c>
      <c r="O3880" s="26">
        <v>0.0</v>
      </c>
      <c r="P3880" s="26">
        <v>900.0</v>
      </c>
      <c r="Q3880" s="35">
        <v>62.0</v>
      </c>
      <c r="R3880" s="32">
        <v>45259.0</v>
      </c>
      <c r="S3880" s="32">
        <v>45197.0</v>
      </c>
      <c r="T3880" s="29"/>
      <c r="U3880" s="33"/>
      <c r="V3880" s="1"/>
    </row>
    <row r="3881" ht="24.0" customHeight="1">
      <c r="A3881" s="1"/>
      <c r="B3881" s="24" t="str">
        <f>HYPERLINK("https://www.compass.com/listing/37-11-84th-street-unit-311-queens-ny-11372/745673147122065009/view?agent_id=610d3f3370540700019b0833","37-11 84th St, Unit 311")</f>
        <v>37-11 84th St, Unit 311</v>
      </c>
      <c r="C3881" s="25" t="s">
        <v>365</v>
      </c>
      <c r="D3881" s="26" t="s">
        <v>23</v>
      </c>
      <c r="E3881" s="27" t="str">
        <f>HYPERLINK("https://www.compass.com/building/37-11-84th-st-queens-ny-11372/293529287800237365/","37-11 84th St")</f>
        <v>37-11 84th St</v>
      </c>
      <c r="F3881" s="25" t="s">
        <v>33</v>
      </c>
      <c r="G3881" s="28">
        <v>675000.0</v>
      </c>
      <c r="H3881" s="29"/>
      <c r="I3881" s="28">
        <v>1006.0</v>
      </c>
      <c r="J3881" s="28">
        <v>0.0</v>
      </c>
      <c r="K3881" s="25" t="s">
        <v>25</v>
      </c>
      <c r="L3881" s="26">
        <v>5.0</v>
      </c>
      <c r="M3881" s="26">
        <v>2.0</v>
      </c>
      <c r="N3881" s="26">
        <v>1.0</v>
      </c>
      <c r="O3881" s="26">
        <v>0.0</v>
      </c>
      <c r="P3881" s="30"/>
      <c r="Q3881" s="35">
        <v>1.0</v>
      </c>
      <c r="R3881" s="32">
        <v>44281.0</v>
      </c>
      <c r="S3881" s="32">
        <v>44280.0</v>
      </c>
      <c r="T3881" s="29"/>
      <c r="U3881" s="33"/>
      <c r="V3881" s="1"/>
    </row>
    <row r="3882" ht="24.0" customHeight="1">
      <c r="A3882" s="1"/>
      <c r="B3882" s="24" t="str">
        <f>HYPERLINK("https://www.compass.com/listing/37-22-80th-street-unit-22-queens-ny-11372/1299510556305018873/view?agent_id=610d3f3370540700019b0833","37-22 80th St, Unit 22")</f>
        <v>37-22 80th St, Unit 22</v>
      </c>
      <c r="C3882" s="25" t="s">
        <v>370</v>
      </c>
      <c r="D3882" s="26" t="s">
        <v>23</v>
      </c>
      <c r="E3882" s="27" t="str">
        <f>HYPERLINK("https://www.compass.com/building/37-22-80th-st-queens-ny-11372/294846615718130037/","37-22 80th St")</f>
        <v>37-22 80th St</v>
      </c>
      <c r="F3882" s="25" t="s">
        <v>33</v>
      </c>
      <c r="G3882" s="28">
        <v>740000.0</v>
      </c>
      <c r="H3882" s="29"/>
      <c r="I3882" s="28">
        <v>827.0</v>
      </c>
      <c r="J3882" s="29"/>
      <c r="K3882" s="25" t="s">
        <v>25</v>
      </c>
      <c r="L3882" s="26">
        <v>4.0</v>
      </c>
      <c r="M3882" s="26">
        <v>2.0</v>
      </c>
      <c r="N3882" s="26">
        <v>1.0</v>
      </c>
      <c r="O3882" s="30"/>
      <c r="P3882" s="30"/>
      <c r="Q3882" s="35">
        <v>2.0</v>
      </c>
      <c r="R3882" s="32">
        <v>44245.0</v>
      </c>
      <c r="S3882" s="32">
        <v>44061.0</v>
      </c>
      <c r="T3882" s="29"/>
      <c r="U3882" s="33"/>
      <c r="V3882" s="1"/>
    </row>
    <row r="3883" ht="24.0" customHeight="1">
      <c r="A3883" s="1"/>
      <c r="B3883" s="24" t="str">
        <f>HYPERLINK("https://www.compass.com/listing/37-11-84th-street-unit-31-queens-ny-11372/619765431408181569/view?agent_id=610d3f3370540700019b0833","37-11 84th St, Unit 31")</f>
        <v>37-11 84th St, Unit 31</v>
      </c>
      <c r="C3883" s="25" t="s">
        <v>364</v>
      </c>
      <c r="D3883" s="26" t="s">
        <v>23</v>
      </c>
      <c r="E3883" s="27" t="str">
        <f>HYPERLINK("https://www.compass.com/building/37-11-84th-st-queens-ny-11372/293529287800237365/","37-11 84th St")</f>
        <v>37-11 84th St</v>
      </c>
      <c r="F3883" s="25" t="s">
        <v>33</v>
      </c>
      <c r="G3883" s="28">
        <v>675000.0</v>
      </c>
      <c r="H3883" s="29"/>
      <c r="I3883" s="28">
        <v>1006.0</v>
      </c>
      <c r="J3883" s="28">
        <v>0.0</v>
      </c>
      <c r="K3883" s="25" t="s">
        <v>25</v>
      </c>
      <c r="L3883" s="26">
        <v>5.0</v>
      </c>
      <c r="M3883" s="26">
        <v>2.0</v>
      </c>
      <c r="N3883" s="26">
        <v>1.0</v>
      </c>
      <c r="O3883" s="30"/>
      <c r="P3883" s="30"/>
      <c r="Q3883" s="35">
        <v>55.0</v>
      </c>
      <c r="R3883" s="32">
        <v>44278.0</v>
      </c>
      <c r="S3883" s="32">
        <v>44109.0</v>
      </c>
      <c r="T3883" s="29"/>
      <c r="U3883" s="33"/>
      <c r="V3883" s="1"/>
    </row>
    <row r="3884" ht="24.0" customHeight="1">
      <c r="A3884" s="1"/>
      <c r="B3884" s="24" t="str">
        <f>HYPERLINK("https://www.compass.com/listing/8901-shore-road-unit-4d-brooklyn-ny-11209/1248232849144649697/view?agent_id=610d3f3370540700019b0833","8901 Shore Rd, Unit 4D")</f>
        <v>8901 Shore Rd, Unit 4D</v>
      </c>
      <c r="C3884" s="25" t="s">
        <v>370</v>
      </c>
      <c r="D3884" s="26" t="s">
        <v>23</v>
      </c>
      <c r="E3884" s="27" t="str">
        <f>HYPERLINK("https://www.compass.com/building/8901-shore-rd-brooklyn-ny-11209/293529520684742965/","8901 Shore Rd")</f>
        <v>8901 Shore Rd</v>
      </c>
      <c r="F3884" s="25" t="s">
        <v>55</v>
      </c>
      <c r="G3884" s="28">
        <v>525000.0</v>
      </c>
      <c r="H3884" s="28">
        <v>477.0</v>
      </c>
      <c r="I3884" s="28">
        <v>1350.0</v>
      </c>
      <c r="J3884" s="29"/>
      <c r="K3884" s="25" t="s">
        <v>25</v>
      </c>
      <c r="L3884" s="26">
        <v>6.0</v>
      </c>
      <c r="M3884" s="26">
        <v>2.0</v>
      </c>
      <c r="N3884" s="26">
        <v>0.0</v>
      </c>
      <c r="O3884" s="26">
        <v>0.0</v>
      </c>
      <c r="P3884" s="34">
        <v>1100.0</v>
      </c>
      <c r="Q3884" s="35">
        <v>0.0</v>
      </c>
      <c r="R3884" s="32">
        <v>44581.0</v>
      </c>
      <c r="S3884" s="32">
        <v>41513.0</v>
      </c>
      <c r="T3884" s="29"/>
      <c r="U3884" s="33"/>
      <c r="V3884" s="1"/>
    </row>
    <row r="3885" ht="24.0" customHeight="1">
      <c r="A3885" s="1"/>
      <c r="B3885" s="24" t="str">
        <f>HYPERLINK("https://www.compass.com/listing/7501-ridge-boulevard-unit-3j-brooklyn-ny-11209/109208841215832993/view?agent_id=610d3f3370540700019b0833","7501 Ridge Blvd, Unit 3J")</f>
        <v>7501 Ridge Blvd, Unit 3J</v>
      </c>
      <c r="C3885" s="25" t="s">
        <v>364</v>
      </c>
      <c r="D3885" s="26" t="s">
        <v>23</v>
      </c>
      <c r="E3885" s="27" t="str">
        <f>HYPERLINK("https://www.compass.com/building/7501-ridge-blvd-brooklyn-ny-11209/293416699603036565/","7501 Ridge Blvd")</f>
        <v>7501 Ridge Blvd</v>
      </c>
      <c r="F3885" s="25" t="s">
        <v>55</v>
      </c>
      <c r="G3885" s="28">
        <v>425000.0</v>
      </c>
      <c r="H3885" s="28">
        <v>425.0</v>
      </c>
      <c r="I3885" s="28">
        <v>864.0</v>
      </c>
      <c r="J3885" s="28">
        <v>0.0</v>
      </c>
      <c r="K3885" s="25" t="s">
        <v>25</v>
      </c>
      <c r="L3885" s="26">
        <v>4.0</v>
      </c>
      <c r="M3885" s="26">
        <v>2.0</v>
      </c>
      <c r="N3885" s="26">
        <v>1.0</v>
      </c>
      <c r="O3885" s="26">
        <v>0.0</v>
      </c>
      <c r="P3885" s="34">
        <v>1000.0</v>
      </c>
      <c r="Q3885" s="35">
        <v>258.0</v>
      </c>
      <c r="R3885" s="32">
        <v>43664.0</v>
      </c>
      <c r="S3885" s="32">
        <v>43406.0</v>
      </c>
      <c r="T3885" s="29"/>
      <c r="U3885" s="33"/>
      <c r="V3885" s="1"/>
    </row>
    <row r="3886" ht="24.0" customHeight="1">
      <c r="A3886" s="1"/>
      <c r="B3886" s="24" t="str">
        <f>HYPERLINK("https://www.compass.com/listing/23-05-24th-avenue-unit-3a-queens-ny-11102/1148015972717056889/view?agent_id=610d3f3370540700019b0833","23-05 24th Ave, Unit 3A")</f>
        <v>23-05 24th Ave, Unit 3A</v>
      </c>
      <c r="C3886" s="25" t="s">
        <v>364</v>
      </c>
      <c r="D3886" s="26" t="s">
        <v>23</v>
      </c>
      <c r="E3886" s="27" t="str">
        <f>HYPERLINK("https://www.compass.com/building/23-05-24th-ave-queens-ny-11102/293535019828367733/","23-05 24th Ave")</f>
        <v>23-05 24th Ave</v>
      </c>
      <c r="F3886" s="25" t="s">
        <v>68</v>
      </c>
      <c r="G3886" s="28">
        <v>888000.0</v>
      </c>
      <c r="H3886" s="29"/>
      <c r="I3886" s="28">
        <v>389.0</v>
      </c>
      <c r="J3886" s="28">
        <v>2736.0</v>
      </c>
      <c r="K3886" s="25" t="s">
        <v>28</v>
      </c>
      <c r="L3886" s="26">
        <v>4.0</v>
      </c>
      <c r="M3886" s="26">
        <v>2.0</v>
      </c>
      <c r="N3886" s="26">
        <v>1.0</v>
      </c>
      <c r="O3886" s="26">
        <v>0.0</v>
      </c>
      <c r="P3886" s="30"/>
      <c r="Q3886" s="35">
        <v>151.0</v>
      </c>
      <c r="R3886" s="32">
        <v>44987.0</v>
      </c>
      <c r="S3886" s="32">
        <v>44835.0</v>
      </c>
      <c r="T3886" s="29"/>
      <c r="U3886" s="33"/>
      <c r="V3886" s="1"/>
    </row>
    <row r="3887" ht="24.0" customHeight="1">
      <c r="A3887" s="1"/>
      <c r="B3887" s="24" t="str">
        <f>HYPERLINK("https://www.compass.com/listing/325-east-201st-street-unit-4h-bronx-ny-10458/1272447720737320113/view?agent_id=610d3f3370540700019b0833","325 E 201st St, Unit 4H")</f>
        <v>325 E 201st St, Unit 4H</v>
      </c>
      <c r="C3887" s="25" t="s">
        <v>364</v>
      </c>
      <c r="D3887" s="26" t="s">
        <v>23</v>
      </c>
      <c r="E3887" s="27" t="str">
        <f>HYPERLINK("https://www.compass.com/building/325-e-201st-st-bronx-ny-10458/293535667168863141/","325 E 201st St")</f>
        <v>325 E 201st St</v>
      </c>
      <c r="F3887" s="25" t="s">
        <v>176</v>
      </c>
      <c r="G3887" s="28">
        <v>250000.0</v>
      </c>
      <c r="H3887" s="28">
        <v>278.0</v>
      </c>
      <c r="I3887" s="28">
        <v>938.0</v>
      </c>
      <c r="J3887" s="28">
        <v>0.0</v>
      </c>
      <c r="K3887" s="25" t="s">
        <v>25</v>
      </c>
      <c r="L3887" s="26">
        <v>5.0</v>
      </c>
      <c r="M3887" s="26">
        <v>2.0</v>
      </c>
      <c r="N3887" s="26">
        <v>1.0</v>
      </c>
      <c r="O3887" s="30"/>
      <c r="P3887" s="26">
        <v>900.0</v>
      </c>
      <c r="Q3887" s="35">
        <v>107.0</v>
      </c>
      <c r="R3887" s="32">
        <v>45121.0</v>
      </c>
      <c r="S3887" s="32">
        <v>45007.0</v>
      </c>
      <c r="T3887" s="29"/>
      <c r="U3887" s="33"/>
      <c r="V3887" s="1"/>
    </row>
    <row r="3888" ht="24.0" customHeight="1">
      <c r="A3888" s="1"/>
      <c r="B3888" s="24" t="str">
        <f>HYPERLINK("https://www.compass.com/listing/23-05-24th-avenue-unit-3c-queens-ny-11102/1262442575396919401/view?agent_id=610d3f3370540700019b0833","23-05 24th Ave, Unit 3C")</f>
        <v>23-05 24th Ave, Unit 3C</v>
      </c>
      <c r="C3888" s="25" t="s">
        <v>364</v>
      </c>
      <c r="D3888" s="26" t="s">
        <v>23</v>
      </c>
      <c r="E3888" s="27" t="str">
        <f t="shared" ref="E3888:E3889" si="148">HYPERLINK("https://www.compass.com/building/23-05-24th-ave-queens-ny-11102/293535019828367733/","23-05 24th Ave")</f>
        <v>23-05 24th Ave</v>
      </c>
      <c r="F3888" s="25" t="s">
        <v>68</v>
      </c>
      <c r="G3888" s="28">
        <v>848000.0</v>
      </c>
      <c r="H3888" s="29"/>
      <c r="I3888" s="28">
        <v>391.0</v>
      </c>
      <c r="J3888" s="28">
        <v>2760.0</v>
      </c>
      <c r="K3888" s="25" t="s">
        <v>28</v>
      </c>
      <c r="L3888" s="26">
        <v>4.0</v>
      </c>
      <c r="M3888" s="26">
        <v>2.0</v>
      </c>
      <c r="N3888" s="26">
        <v>1.0</v>
      </c>
      <c r="O3888" s="26">
        <v>0.0</v>
      </c>
      <c r="P3888" s="30"/>
      <c r="Q3888" s="35">
        <v>82.0</v>
      </c>
      <c r="R3888" s="32">
        <v>45076.0</v>
      </c>
      <c r="S3888" s="32">
        <v>44993.0</v>
      </c>
      <c r="T3888" s="29"/>
      <c r="U3888" s="33"/>
      <c r="V3888" s="1"/>
    </row>
    <row r="3889" ht="24.0" customHeight="1">
      <c r="A3889" s="1"/>
      <c r="B3889" s="24" t="str">
        <f>HYPERLINK("https://www.compass.com/listing/23-05-24th-avenue-unit-2c-queens-ny-11102/1303719714388994753/view?agent_id=610d3f3370540700019b0833","23-05 24th Ave, Unit 2C")</f>
        <v>23-05 24th Ave, Unit 2C</v>
      </c>
      <c r="C3889" s="25" t="s">
        <v>365</v>
      </c>
      <c r="D3889" s="26" t="s">
        <v>23</v>
      </c>
      <c r="E3889" s="27" t="str">
        <f t="shared" si="148"/>
        <v>23-05 24th Ave</v>
      </c>
      <c r="F3889" s="25" t="s">
        <v>68</v>
      </c>
      <c r="G3889" s="28">
        <v>798000.0</v>
      </c>
      <c r="H3889" s="29"/>
      <c r="I3889" s="28">
        <v>365.0</v>
      </c>
      <c r="J3889" s="28">
        <v>2460.0</v>
      </c>
      <c r="K3889" s="25" t="s">
        <v>28</v>
      </c>
      <c r="L3889" s="26">
        <v>1.0</v>
      </c>
      <c r="M3889" s="26">
        <v>2.0</v>
      </c>
      <c r="N3889" s="26">
        <v>1.0</v>
      </c>
      <c r="O3889" s="26">
        <v>0.0</v>
      </c>
      <c r="P3889" s="30"/>
      <c r="Q3889" s="35">
        <v>25.0</v>
      </c>
      <c r="R3889" s="32">
        <v>45076.0</v>
      </c>
      <c r="S3889" s="32">
        <v>45050.0</v>
      </c>
      <c r="T3889" s="29"/>
      <c r="U3889" s="33"/>
      <c r="V3889" s="1"/>
    </row>
    <row r="3890" ht="24.0" customHeight="1">
      <c r="A3890" s="1"/>
      <c r="B3890" s="24" t="str">
        <f>HYPERLINK("https://www.compass.com/listing/25-40-shore-boulevard-unit-f-queens-ny-11102/4829943460444244241/view?agent_id=610d3f3370540700019b0833","25-40 Shore Blvd, Unit F")</f>
        <v>25-40 Shore Blvd, Unit F</v>
      </c>
      <c r="C3890" s="25" t="s">
        <v>364</v>
      </c>
      <c r="D3890" s="26" t="s">
        <v>23</v>
      </c>
      <c r="E3890" s="27" t="str">
        <f>HYPERLINK("https://www.compass.com/building/shore-towers-condominium-queens-ny/293534503031317525/","Shore Towers Condominium")</f>
        <v>Shore Towers Condominium</v>
      </c>
      <c r="F3890" s="25" t="s">
        <v>68</v>
      </c>
      <c r="G3890" s="28">
        <v>675000.0</v>
      </c>
      <c r="H3890" s="28">
        <v>786.0</v>
      </c>
      <c r="I3890" s="28">
        <v>522.0</v>
      </c>
      <c r="J3890" s="29"/>
      <c r="K3890" s="25" t="s">
        <v>28</v>
      </c>
      <c r="L3890" s="26">
        <v>5.0</v>
      </c>
      <c r="M3890" s="26">
        <v>2.0</v>
      </c>
      <c r="N3890" s="26">
        <v>0.0</v>
      </c>
      <c r="O3890" s="26">
        <v>0.0</v>
      </c>
      <c r="P3890" s="26">
        <v>859.0</v>
      </c>
      <c r="Q3890" s="35">
        <v>3.0</v>
      </c>
      <c r="R3890" s="32">
        <v>45636.0</v>
      </c>
      <c r="S3890" s="32">
        <v>43013.0</v>
      </c>
      <c r="T3890" s="29"/>
      <c r="U3890" s="33"/>
      <c r="V3890" s="1"/>
    </row>
    <row r="3891" ht="24.0" customHeight="1">
      <c r="A3891" s="1"/>
      <c r="B3891" s="24" t="str">
        <f>HYPERLINK("https://www.compass.com/listing/402-bay-ridge-parkway-unit-42-brooklyn-ny-11209/1222498427648279673/view?agent_id=610d3f3370540700019b0833","402 Bay Ridge Pkwy, Unit 42")</f>
        <v>402 Bay Ridge Pkwy, Unit 42</v>
      </c>
      <c r="C3891" s="25" t="s">
        <v>365</v>
      </c>
      <c r="D3891" s="26" t="s">
        <v>23</v>
      </c>
      <c r="E3891" s="27" t="str">
        <f>HYPERLINK("https://www.compass.com/building/402-bay-ridge-pkwy-brooklyn-ny-11209/307452965832723877/","402 Bay Ridge Pkwy")</f>
        <v>402 Bay Ridge Pkwy</v>
      </c>
      <c r="F3891" s="25" t="s">
        <v>55</v>
      </c>
      <c r="G3891" s="28">
        <v>350000.0</v>
      </c>
      <c r="H3891" s="28">
        <v>362.0</v>
      </c>
      <c r="I3891" s="28">
        <v>1147.0</v>
      </c>
      <c r="J3891" s="28">
        <v>0.0</v>
      </c>
      <c r="K3891" s="25" t="s">
        <v>25</v>
      </c>
      <c r="L3891" s="26">
        <v>4.0</v>
      </c>
      <c r="M3891" s="26">
        <v>2.0</v>
      </c>
      <c r="N3891" s="26">
        <v>1.0</v>
      </c>
      <c r="O3891" s="30"/>
      <c r="P3891" s="26">
        <v>968.0</v>
      </c>
      <c r="Q3891" s="35">
        <v>99.0</v>
      </c>
      <c r="R3891" s="32">
        <v>45054.0</v>
      </c>
      <c r="S3891" s="32">
        <v>44938.0</v>
      </c>
      <c r="T3891" s="29"/>
      <c r="U3891" s="33"/>
      <c r="V3891" s="1"/>
    </row>
    <row r="3892" ht="24.0" customHeight="1">
      <c r="A3892" s="1"/>
      <c r="B3892" s="24" t="str">
        <f>HYPERLINK("https://www.compass.com/listing/4313-9th-avenue-unit-2d-brooklyn-ny-11219/1689813189029582473/view?agent_id=610d3f3370540700019b0833","4313 9th Ave, Unit 2D")</f>
        <v>4313 9th Ave, Unit 2D</v>
      </c>
      <c r="C3892" s="25" t="s">
        <v>365</v>
      </c>
      <c r="D3892" s="26" t="s">
        <v>23</v>
      </c>
      <c r="E3892" s="27" t="str">
        <f>HYPERLINK("https://www.compass.com/building/4313-9th-ave-brooklyn-ny-11219/293530225420127573/","4313 9th Ave")</f>
        <v>4313 9th Ave</v>
      </c>
      <c r="F3892" s="25" t="s">
        <v>319</v>
      </c>
      <c r="G3892" s="28">
        <v>440000.0</v>
      </c>
      <c r="H3892" s="29"/>
      <c r="I3892" s="28">
        <v>832.0</v>
      </c>
      <c r="J3892" s="28">
        <v>0.0</v>
      </c>
      <c r="K3892" s="25" t="s">
        <v>25</v>
      </c>
      <c r="L3892" s="26">
        <v>4.0</v>
      </c>
      <c r="M3892" s="26">
        <v>2.0</v>
      </c>
      <c r="N3892" s="26">
        <v>1.0</v>
      </c>
      <c r="O3892" s="30"/>
      <c r="P3892" s="30"/>
      <c r="Q3892" s="35">
        <v>130.0</v>
      </c>
      <c r="R3892" s="32">
        <v>45761.0</v>
      </c>
      <c r="S3892" s="32">
        <v>45583.0</v>
      </c>
      <c r="T3892" s="29"/>
      <c r="U3892" s="33"/>
      <c r="V3892" s="1"/>
    </row>
    <row r="3893" ht="24.0" customHeight="1">
      <c r="A3893" s="1"/>
      <c r="B3893" s="24" t="str">
        <f>HYPERLINK("https://www.compass.com/listing/9281-shore-road-unit-527-brooklyn-ny-11209/455722642411488321/view?agent_id=610d3f3370540700019b0833","9281 Shore Rd, Unit 527")</f>
        <v>9281 Shore Rd, Unit 527</v>
      </c>
      <c r="C3893" s="25" t="s">
        <v>364</v>
      </c>
      <c r="D3893" s="26" t="s">
        <v>23</v>
      </c>
      <c r="E3893" s="27" t="str">
        <f>HYPERLINK("https://www.compass.com/building/9281-shore-rd-brooklyn-ny-11209/293527153822147493/","9281 Shore Rd")</f>
        <v>9281 Shore Rd</v>
      </c>
      <c r="F3893" s="25" t="s">
        <v>55</v>
      </c>
      <c r="G3893" s="28">
        <v>485000.0</v>
      </c>
      <c r="H3893" s="29"/>
      <c r="I3893" s="28">
        <v>1143.0</v>
      </c>
      <c r="J3893" s="28">
        <v>0.0</v>
      </c>
      <c r="K3893" s="25" t="s">
        <v>25</v>
      </c>
      <c r="L3893" s="26">
        <v>4.0</v>
      </c>
      <c r="M3893" s="26">
        <v>2.0</v>
      </c>
      <c r="N3893" s="26">
        <v>1.0</v>
      </c>
      <c r="O3893" s="30"/>
      <c r="P3893" s="30"/>
      <c r="Q3893" s="35">
        <v>88.0</v>
      </c>
      <c r="R3893" s="32">
        <v>44062.0</v>
      </c>
      <c r="S3893" s="32">
        <v>43880.0</v>
      </c>
      <c r="T3893" s="29"/>
      <c r="U3893" s="33"/>
      <c r="V3893" s="1"/>
    </row>
    <row r="3894" ht="24.0" customHeight="1">
      <c r="A3894" s="1"/>
      <c r="B3894" s="24" t="str">
        <f>HYPERLINK("https://www.compass.com/listing/2866-marion-avenue-unit-5c-bronx-ny-10458/1215967274630130945/view?agent_id=610d3f3370540700019b0833","2866 Marion Ave, Unit 5C")</f>
        <v>2866 Marion Ave, Unit 5C</v>
      </c>
      <c r="C3894" s="25" t="s">
        <v>364</v>
      </c>
      <c r="D3894" s="26" t="s">
        <v>23</v>
      </c>
      <c r="E3894" s="27" t="str">
        <f>HYPERLINK("https://www.compass.com/building/2866-marion-ave-bronx-ny-10458/293535370765670485/","2866 Marion Ave")</f>
        <v>2866 Marion Ave</v>
      </c>
      <c r="F3894" s="25" t="s">
        <v>176</v>
      </c>
      <c r="G3894" s="28">
        <v>265000.0</v>
      </c>
      <c r="H3894" s="29"/>
      <c r="I3894" s="28">
        <v>1036.0</v>
      </c>
      <c r="J3894" s="28">
        <v>0.0</v>
      </c>
      <c r="K3894" s="25" t="s">
        <v>25</v>
      </c>
      <c r="L3894" s="26">
        <v>7.0</v>
      </c>
      <c r="M3894" s="26">
        <v>2.0</v>
      </c>
      <c r="N3894" s="26">
        <v>1.0</v>
      </c>
      <c r="O3894" s="30"/>
      <c r="P3894" s="30"/>
      <c r="Q3894" s="35">
        <v>319.0</v>
      </c>
      <c r="R3894" s="32">
        <v>45292.0</v>
      </c>
      <c r="S3894" s="32">
        <v>44929.0</v>
      </c>
      <c r="T3894" s="29"/>
      <c r="U3894" s="33"/>
      <c r="V3894" s="1"/>
    </row>
    <row r="3895" ht="24.0" customHeight="1">
      <c r="A3895" s="1"/>
      <c r="B3895" s="24" t="str">
        <f>HYPERLINK("https://www.compass.com/listing/512-east-159th-street-unit-8c-bronx-ny-10451/558002040436398361/view?agent_id=610d3f3370540700019b0833","512 E 159th St, Unit 8C")</f>
        <v>512 E 159th St, Unit 8C</v>
      </c>
      <c r="C3895" s="25" t="s">
        <v>364</v>
      </c>
      <c r="D3895" s="26" t="s">
        <v>23</v>
      </c>
      <c r="E3895" s="27" t="str">
        <f>HYPERLINK("https://www.compass.com/building/512-e-159th-st-bronx-ny-10451/405245949845630613/","512 E 159th St")</f>
        <v>512 E 159th St</v>
      </c>
      <c r="F3895" s="25" t="s">
        <v>225</v>
      </c>
      <c r="G3895" s="28">
        <v>275000.0</v>
      </c>
      <c r="H3895" s="28">
        <v>330.0</v>
      </c>
      <c r="I3895" s="28">
        <v>566.0</v>
      </c>
      <c r="J3895" s="28">
        <v>924.0</v>
      </c>
      <c r="K3895" s="25" t="s">
        <v>28</v>
      </c>
      <c r="L3895" s="26">
        <v>5.0</v>
      </c>
      <c r="M3895" s="26">
        <v>2.0</v>
      </c>
      <c r="N3895" s="26">
        <v>1.0</v>
      </c>
      <c r="O3895" s="26">
        <v>0.0</v>
      </c>
      <c r="P3895" s="26">
        <v>833.0</v>
      </c>
      <c r="Q3895" s="35">
        <v>79.0</v>
      </c>
      <c r="R3895" s="32">
        <v>44109.0</v>
      </c>
      <c r="S3895" s="32">
        <v>44029.0</v>
      </c>
      <c r="T3895" s="29"/>
      <c r="U3895" s="33"/>
      <c r="V3895" s="1"/>
    </row>
    <row r="3896" ht="24.0" customHeight="1">
      <c r="A3896" s="1"/>
      <c r="B3896" s="24" t="str">
        <f>HYPERLINK("https://www.compass.com/listing/249-36-60th-avenue-unit-uppr-queens-ny-11362/775525913167365545/view?agent_id=610d3f3370540700019b0833","249-36 60th Ave, Unit UPPR")</f>
        <v>249-36 60th Ave, Unit UPPR</v>
      </c>
      <c r="C3896" s="25" t="s">
        <v>370</v>
      </c>
      <c r="D3896" s="26" t="s">
        <v>23</v>
      </c>
      <c r="E3896" s="27" t="str">
        <f>HYPERLINK("https://www.compass.com/building/249-36-60th-ave-queens-ny-11362/307450066914380885/","249-36 60th Ave")</f>
        <v>249-36 60th Ave</v>
      </c>
      <c r="F3896" s="25" t="s">
        <v>158</v>
      </c>
      <c r="G3896" s="28">
        <v>299000.0</v>
      </c>
      <c r="H3896" s="29"/>
      <c r="I3896" s="28">
        <v>0.0</v>
      </c>
      <c r="J3896" s="28">
        <v>0.0</v>
      </c>
      <c r="K3896" s="25" t="s">
        <v>25</v>
      </c>
      <c r="L3896" s="26">
        <v>4.0</v>
      </c>
      <c r="M3896" s="26">
        <v>2.0</v>
      </c>
      <c r="N3896" s="26">
        <v>1.0</v>
      </c>
      <c r="O3896" s="30"/>
      <c r="P3896" s="30"/>
      <c r="Q3896" s="35">
        <v>176.0</v>
      </c>
      <c r="R3896" s="32">
        <v>45597.0</v>
      </c>
      <c r="S3896" s="32">
        <v>44329.0</v>
      </c>
      <c r="T3896" s="29"/>
      <c r="U3896" s="33"/>
      <c r="V3896" s="1"/>
    </row>
    <row r="3897" ht="24.0" customHeight="1">
      <c r="A3897" s="1"/>
      <c r="B3897" s="24" t="str">
        <f>HYPERLINK("https://www.compass.com/listing/7901-4th-avenue-unit-b2-brooklyn-ny-11209/1059371686080214817/view?agent_id=610d3f3370540700019b0833","7901 4th Ave, Unit B2")</f>
        <v>7901 4th Ave, Unit B2</v>
      </c>
      <c r="C3897" s="25" t="s">
        <v>364</v>
      </c>
      <c r="D3897" s="26" t="s">
        <v>23</v>
      </c>
      <c r="E3897" s="27" t="str">
        <f>HYPERLINK("https://www.compass.com/building/the-embassy-brooklyn-ny/294836580308791061/","The Embassy")</f>
        <v>The Embassy</v>
      </c>
      <c r="F3897" s="25" t="s">
        <v>55</v>
      </c>
      <c r="G3897" s="28">
        <v>358000.0</v>
      </c>
      <c r="H3897" s="28">
        <v>398.0</v>
      </c>
      <c r="I3897" s="28">
        <v>770.0</v>
      </c>
      <c r="J3897" s="28">
        <v>0.0</v>
      </c>
      <c r="K3897" s="25" t="s">
        <v>25</v>
      </c>
      <c r="L3897" s="26">
        <v>3.0</v>
      </c>
      <c r="M3897" s="26">
        <v>2.0</v>
      </c>
      <c r="N3897" s="26">
        <v>1.0</v>
      </c>
      <c r="O3897" s="26">
        <v>0.0</v>
      </c>
      <c r="P3897" s="26">
        <v>900.0</v>
      </c>
      <c r="Q3897" s="35">
        <v>14.0</v>
      </c>
      <c r="R3897" s="32">
        <v>44753.0</v>
      </c>
      <c r="S3897" s="32">
        <v>44714.0</v>
      </c>
      <c r="T3897" s="29"/>
      <c r="U3897" s="33"/>
      <c r="V3897" s="1"/>
    </row>
    <row r="3898" ht="24.0" customHeight="1">
      <c r="A3898" s="1"/>
      <c r="B3898" s="24" t="str">
        <f>HYPERLINK("https://www.compass.com/listing/32-43-88th-street-unit-b504-queens-ny-11369/1292238352756943241/view?agent_id=610d3f3370540700019b0833","32-43 88th St, Unit B504")</f>
        <v>32-43 88th St, Unit B504</v>
      </c>
      <c r="C3898" s="25" t="s">
        <v>370</v>
      </c>
      <c r="D3898" s="26" t="s">
        <v>23</v>
      </c>
      <c r="E3898" s="27" t="str">
        <f>HYPERLINK("https://www.compass.com/building/northridge-cooperative-queens-ny/294837004797799525/","Northridge Cooperative")</f>
        <v>Northridge Cooperative</v>
      </c>
      <c r="F3898" s="25" t="s">
        <v>33</v>
      </c>
      <c r="G3898" s="28">
        <v>315000.0</v>
      </c>
      <c r="H3898" s="29"/>
      <c r="I3898" s="28">
        <v>0.0</v>
      </c>
      <c r="J3898" s="28">
        <v>0.0</v>
      </c>
      <c r="K3898" s="25" t="s">
        <v>25</v>
      </c>
      <c r="L3898" s="26">
        <v>4.0</v>
      </c>
      <c r="M3898" s="26">
        <v>2.0</v>
      </c>
      <c r="N3898" s="26">
        <v>1.0</v>
      </c>
      <c r="O3898" s="30"/>
      <c r="P3898" s="30"/>
      <c r="Q3898" s="35">
        <v>168.0</v>
      </c>
      <c r="R3898" s="32">
        <v>45637.0</v>
      </c>
      <c r="S3898" s="32">
        <v>43578.0</v>
      </c>
      <c r="T3898" s="29"/>
      <c r="U3898" s="33"/>
      <c r="V3898" s="1"/>
    </row>
    <row r="3899" ht="24.0" customHeight="1">
      <c r="A3899" s="1"/>
      <c r="B3899" s="24" t="str">
        <f>HYPERLINK("https://www.compass.com/listing/16-71-summerfield-street-unit-3g-queens-ny-11385/1045775771380703409/view?agent_id=610d3f3370540700019b0833","16-71 Summerfield St, Unit 3G")</f>
        <v>16-71 Summerfield St, Unit 3G</v>
      </c>
      <c r="C3899" s="25" t="s">
        <v>370</v>
      </c>
      <c r="D3899" s="26" t="s">
        <v>23</v>
      </c>
      <c r="E3899" s="27" t="str">
        <f>HYPERLINK("https://www.compass.com/building/16-71-summerfield-st-queens-ny-11385/989046880017587229/","16-71 Summerfield St")</f>
        <v>16-71 Summerfield St</v>
      </c>
      <c r="F3899" s="25" t="s">
        <v>404</v>
      </c>
      <c r="G3899" s="28">
        <v>699000.0</v>
      </c>
      <c r="H3899" s="28">
        <v>885.0</v>
      </c>
      <c r="I3899" s="28">
        <v>452.0</v>
      </c>
      <c r="J3899" s="28">
        <v>120.0</v>
      </c>
      <c r="K3899" s="25" t="s">
        <v>28</v>
      </c>
      <c r="L3899" s="26">
        <v>4.0</v>
      </c>
      <c r="M3899" s="26">
        <v>2.0</v>
      </c>
      <c r="N3899" s="26">
        <v>1.0</v>
      </c>
      <c r="O3899" s="30"/>
      <c r="P3899" s="26">
        <v>790.0</v>
      </c>
      <c r="Q3899" s="35">
        <v>229.0</v>
      </c>
      <c r="R3899" s="32">
        <v>44928.0</v>
      </c>
      <c r="S3899" s="32">
        <v>44698.0</v>
      </c>
      <c r="T3899" s="29"/>
      <c r="U3899" s="33"/>
      <c r="V3899" s="1"/>
    </row>
    <row r="3900" ht="24.0" customHeight="1">
      <c r="A3900" s="1"/>
      <c r="B3900" s="24" t="str">
        <f>HYPERLINK("https://www.compass.com/listing/9801-shore-road-unit-1g-brooklyn-ny-11209/1516765481610501905/view?agent_id=610d3f3370540700019b0833","9801 Shore Rd, Unit 1G")</f>
        <v>9801 Shore Rd, Unit 1G</v>
      </c>
      <c r="C3900" s="25" t="s">
        <v>365</v>
      </c>
      <c r="D3900" s="26" t="s">
        <v>23</v>
      </c>
      <c r="E3900" s="27" t="str">
        <f>HYPERLINK("https://www.compass.com/building/9801-shore-rd-brooklyn-ny-11209/293533202125984421/","9801 Shore Rd")</f>
        <v>9801 Shore Rd</v>
      </c>
      <c r="F3900" s="25" t="s">
        <v>55</v>
      </c>
      <c r="G3900" s="28">
        <v>399000.0</v>
      </c>
      <c r="H3900" s="28">
        <v>392.0</v>
      </c>
      <c r="I3900" s="28">
        <v>1221.0</v>
      </c>
      <c r="J3900" s="28">
        <v>0.0</v>
      </c>
      <c r="K3900" s="25" t="s">
        <v>25</v>
      </c>
      <c r="L3900" s="26">
        <v>4.0</v>
      </c>
      <c r="M3900" s="26">
        <v>2.0</v>
      </c>
      <c r="N3900" s="26">
        <v>1.0</v>
      </c>
      <c r="O3900" s="26">
        <v>0.0</v>
      </c>
      <c r="P3900" s="34">
        <v>1018.0</v>
      </c>
      <c r="Q3900" s="35">
        <v>88.0</v>
      </c>
      <c r="R3900" s="32">
        <v>45463.0</v>
      </c>
      <c r="S3900" s="32">
        <v>45370.0</v>
      </c>
      <c r="T3900" s="29"/>
      <c r="U3900" s="33"/>
      <c r="V3900" s="1"/>
    </row>
    <row r="3901" ht="24.0" customHeight="1">
      <c r="A3901" s="1"/>
      <c r="B3901" s="24" t="str">
        <f>HYPERLINK("https://www.compass.com/listing/32-43-88th-street-unit-b504-queens-ny-11369/1292238352756943233/view?agent_id=610d3f3370540700019b0833","32-43 88th St, Unit B504")</f>
        <v>32-43 88th St, Unit B504</v>
      </c>
      <c r="C3901" s="25" t="s">
        <v>370</v>
      </c>
      <c r="D3901" s="26" t="s">
        <v>23</v>
      </c>
      <c r="E3901" s="27" t="str">
        <f>HYPERLINK("https://www.compass.com/building/northridge-cooperative-queens-ny/294837004797799525/","Northridge Cooperative")</f>
        <v>Northridge Cooperative</v>
      </c>
      <c r="F3901" s="25" t="s">
        <v>33</v>
      </c>
      <c r="G3901" s="28">
        <v>315000.0</v>
      </c>
      <c r="H3901" s="28">
        <v>350.0</v>
      </c>
      <c r="I3901" s="28">
        <v>0.0</v>
      </c>
      <c r="J3901" s="28">
        <v>0.0</v>
      </c>
      <c r="K3901" s="25" t="s">
        <v>25</v>
      </c>
      <c r="L3901" s="26">
        <v>5.0</v>
      </c>
      <c r="M3901" s="26">
        <v>2.0</v>
      </c>
      <c r="N3901" s="26">
        <v>1.0</v>
      </c>
      <c r="O3901" s="30"/>
      <c r="P3901" s="26">
        <v>900.0</v>
      </c>
      <c r="Q3901" s="35">
        <v>67.0</v>
      </c>
      <c r="R3901" s="32">
        <v>45637.0</v>
      </c>
      <c r="S3901" s="32">
        <v>43762.0</v>
      </c>
      <c r="T3901" s="29"/>
      <c r="U3901" s="33"/>
      <c r="V3901" s="1"/>
    </row>
    <row r="3902" ht="24.0" customHeight="1">
      <c r="A3902" s="1"/>
      <c r="B3902" s="24" t="str">
        <f>HYPERLINK("https://www.compass.com/listing/9801-shore-road-unit-1g-brooklyn-ny-11209/1597885662000496385/view?agent_id=610d3f3370540700019b0833","9801 Shore Rd, Unit 1G")</f>
        <v>9801 Shore Rd, Unit 1G</v>
      </c>
      <c r="C3902" s="25" t="s">
        <v>365</v>
      </c>
      <c r="D3902" s="26" t="s">
        <v>23</v>
      </c>
      <c r="E3902" s="27" t="str">
        <f>HYPERLINK("https://www.compass.com/building/9801-shore-rd-brooklyn-ny-11209/293533202125984421/","9801 Shore Rd")</f>
        <v>9801 Shore Rd</v>
      </c>
      <c r="F3902" s="25" t="s">
        <v>55</v>
      </c>
      <c r="G3902" s="28">
        <v>379000.0</v>
      </c>
      <c r="H3902" s="28">
        <v>372.0</v>
      </c>
      <c r="I3902" s="28">
        <v>1221.0</v>
      </c>
      <c r="J3902" s="29"/>
      <c r="K3902" s="25" t="s">
        <v>25</v>
      </c>
      <c r="L3902" s="26">
        <v>4.0</v>
      </c>
      <c r="M3902" s="26">
        <v>2.0</v>
      </c>
      <c r="N3902" s="26">
        <v>1.0</v>
      </c>
      <c r="O3902" s="30"/>
      <c r="P3902" s="34">
        <v>1018.0</v>
      </c>
      <c r="Q3902" s="35">
        <v>8.0</v>
      </c>
      <c r="R3902" s="32">
        <v>45484.0</v>
      </c>
      <c r="S3902" s="32">
        <v>45456.0</v>
      </c>
      <c r="T3902" s="29"/>
      <c r="U3902" s="33"/>
      <c r="V3902" s="1"/>
    </row>
    <row r="3903" ht="24.0" customHeight="1">
      <c r="A3903" s="1"/>
      <c r="B3903" s="24" t="str">
        <f>HYPERLINK("https://www.compass.com/listing/2610-third-avenue-bronx-ny-10454/1838916497578181241/view?agent_id=610d3f3370540700019b0833","2610 Third Ave")</f>
        <v>2610 Third Ave</v>
      </c>
      <c r="C3903" s="25" t="s">
        <v>364</v>
      </c>
      <c r="D3903" s="26" t="s">
        <v>23</v>
      </c>
      <c r="E3903" s="26" t="s">
        <v>405</v>
      </c>
      <c r="F3903" s="25" t="s">
        <v>278</v>
      </c>
      <c r="G3903" s="28">
        <v>2100000.0</v>
      </c>
      <c r="H3903" s="28">
        <v>288.0</v>
      </c>
      <c r="I3903" s="28">
        <v>0.0</v>
      </c>
      <c r="J3903" s="29"/>
      <c r="K3903" s="25" t="s">
        <v>374</v>
      </c>
      <c r="L3903" s="26">
        <v>6.0</v>
      </c>
      <c r="M3903" s="26">
        <v>2.0</v>
      </c>
      <c r="N3903" s="26">
        <v>0.0</v>
      </c>
      <c r="O3903" s="26">
        <v>0.0</v>
      </c>
      <c r="P3903" s="34">
        <v>7285.0</v>
      </c>
      <c r="Q3903" s="35">
        <v>635.0</v>
      </c>
      <c r="R3903" s="32">
        <v>44581.0</v>
      </c>
      <c r="S3903" s="32">
        <v>41537.0</v>
      </c>
      <c r="T3903" s="29"/>
      <c r="U3903" s="33"/>
      <c r="V3903" s="1"/>
    </row>
    <row r="3904" ht="24.0" customHeight="1">
      <c r="A3904" s="1"/>
      <c r="B3904" s="24" t="str">
        <f>HYPERLINK("https://www.compass.com/listing/220-edgewater-park-unit-b-bronx-ny-10465/1797242120427541057/view?agent_id=610d3f3370540700019b0833","220 Edgewater Park, Unit B")</f>
        <v>220 Edgewater Park, Unit B</v>
      </c>
      <c r="C3904" s="25" t="s">
        <v>370</v>
      </c>
      <c r="D3904" s="26" t="s">
        <v>23</v>
      </c>
      <c r="E3904" s="26" t="s">
        <v>406</v>
      </c>
      <c r="F3904" s="25" t="s">
        <v>204</v>
      </c>
      <c r="G3904" s="28">
        <v>225000.0</v>
      </c>
      <c r="H3904" s="28">
        <v>250.0</v>
      </c>
      <c r="I3904" s="28">
        <v>335.0</v>
      </c>
      <c r="J3904" s="28">
        <v>0.0</v>
      </c>
      <c r="K3904" s="25" t="s">
        <v>25</v>
      </c>
      <c r="L3904" s="26">
        <v>5.0</v>
      </c>
      <c r="M3904" s="26">
        <v>2.0</v>
      </c>
      <c r="N3904" s="26">
        <v>1.0</v>
      </c>
      <c r="O3904" s="26">
        <v>0.0</v>
      </c>
      <c r="P3904" s="26">
        <v>900.0</v>
      </c>
      <c r="Q3904" s="31"/>
      <c r="R3904" s="32">
        <v>45734.0</v>
      </c>
      <c r="S3904" s="33"/>
      <c r="T3904" s="29"/>
      <c r="U3904" s="33"/>
      <c r="V3904" s="1"/>
    </row>
    <row r="3905" ht="24.0" customHeight="1">
      <c r="A3905" s="1"/>
      <c r="B3905" s="24" t="str">
        <f>HYPERLINK("https://www.compass.com/listing/3368-shore-parkway-unit-ph7b-brooklyn-ny-11235/288181608802949921/view?agent_id=610d3f3370540700019b0833","3368 Shore Pkwy, Unit PH7B")</f>
        <v>3368 Shore Pkwy, Unit PH7B</v>
      </c>
      <c r="C3905" s="25" t="s">
        <v>364</v>
      </c>
      <c r="D3905" s="26" t="s">
        <v>23</v>
      </c>
      <c r="E3905" s="27" t="str">
        <f>HYPERLINK("https://www.compass.com/building/3368-shore-pkwy-brooklyn-ny-11235/293534224957372133/","3368 Shore Pkwy")</f>
        <v>3368 Shore Pkwy</v>
      </c>
      <c r="F3905" s="25" t="s">
        <v>70</v>
      </c>
      <c r="G3905" s="28">
        <v>579999.0</v>
      </c>
      <c r="H3905" s="28">
        <v>682.0</v>
      </c>
      <c r="I3905" s="28">
        <v>463.0</v>
      </c>
      <c r="J3905" s="28">
        <v>1860.0</v>
      </c>
      <c r="K3905" s="25" t="s">
        <v>28</v>
      </c>
      <c r="L3905" s="26">
        <v>5.0</v>
      </c>
      <c r="M3905" s="26">
        <v>2.0</v>
      </c>
      <c r="N3905" s="26">
        <v>1.0</v>
      </c>
      <c r="O3905" s="26">
        <v>0.0</v>
      </c>
      <c r="P3905" s="26">
        <v>850.0</v>
      </c>
      <c r="Q3905" s="35">
        <v>13.0</v>
      </c>
      <c r="R3905" s="32">
        <v>43902.0</v>
      </c>
      <c r="S3905" s="32">
        <v>43669.0</v>
      </c>
      <c r="T3905" s="29"/>
      <c r="U3905" s="33"/>
      <c r="V3905" s="1"/>
    </row>
    <row r="3906" ht="24.0" customHeight="1">
      <c r="A3906" s="1"/>
      <c r="B3906" s="24" t="str">
        <f>HYPERLINK("https://www.compass.com/listing/66-10-149th-street-unit-3c-queens-ny-11367/1292135484485175161/view?agent_id=610d3f3370540700019b0833","66-10 149th St, Unit 3C")</f>
        <v>66-10 149th St, Unit 3C</v>
      </c>
      <c r="C3906" s="25" t="s">
        <v>370</v>
      </c>
      <c r="D3906" s="26" t="s">
        <v>23</v>
      </c>
      <c r="E3906" s="27" t="str">
        <f>HYPERLINK("https://www.compass.com/building/66-10-149th-st-queens-ny-11367/307454210408571989/","66-10 149th St")</f>
        <v>66-10 149th St</v>
      </c>
      <c r="F3906" s="25" t="s">
        <v>142</v>
      </c>
      <c r="G3906" s="28">
        <v>280000.0</v>
      </c>
      <c r="H3906" s="28">
        <v>329.0</v>
      </c>
      <c r="I3906" s="28">
        <v>0.0</v>
      </c>
      <c r="J3906" s="28">
        <v>0.0</v>
      </c>
      <c r="K3906" s="25" t="s">
        <v>25</v>
      </c>
      <c r="L3906" s="26">
        <v>5.0</v>
      </c>
      <c r="M3906" s="26">
        <v>2.0</v>
      </c>
      <c r="N3906" s="26">
        <v>1.0</v>
      </c>
      <c r="O3906" s="30"/>
      <c r="P3906" s="26">
        <v>850.0</v>
      </c>
      <c r="Q3906" s="35">
        <v>180.0</v>
      </c>
      <c r="R3906" s="32">
        <v>45597.0</v>
      </c>
      <c r="S3906" s="32">
        <v>43409.0</v>
      </c>
      <c r="T3906" s="29"/>
      <c r="U3906" s="33"/>
      <c r="V3906" s="1"/>
    </row>
    <row r="3907" ht="24.0" customHeight="1">
      <c r="A3907" s="1"/>
      <c r="B3907" s="24" t="str">
        <f>HYPERLINK("https://www.compass.com/listing/32-43-88th-street-unit-504b-queens-ny-11369/231013195077164113/view?agent_id=610d3f3370540700019b0833","32-43 88th St, Unit 504B")</f>
        <v>32-43 88th St, Unit 504B</v>
      </c>
      <c r="C3907" s="25" t="s">
        <v>364</v>
      </c>
      <c r="D3907" s="26" t="s">
        <v>23</v>
      </c>
      <c r="E3907" s="27" t="str">
        <f>HYPERLINK("https://www.compass.com/building/northridge-cooperative-queens-ny/294837004797799525/","Northridge Cooperative")</f>
        <v>Northridge Cooperative</v>
      </c>
      <c r="F3907" s="25" t="s">
        <v>33</v>
      </c>
      <c r="G3907" s="28">
        <v>315000.0</v>
      </c>
      <c r="H3907" s="28">
        <v>350.0</v>
      </c>
      <c r="I3907" s="28">
        <v>726.0</v>
      </c>
      <c r="J3907" s="28">
        <v>0.0</v>
      </c>
      <c r="K3907" s="25" t="s">
        <v>25</v>
      </c>
      <c r="L3907" s="26">
        <v>4.0</v>
      </c>
      <c r="M3907" s="26">
        <v>2.0</v>
      </c>
      <c r="N3907" s="26">
        <v>1.0</v>
      </c>
      <c r="O3907" s="30"/>
      <c r="P3907" s="26">
        <v>900.0</v>
      </c>
      <c r="Q3907" s="35">
        <v>234.0</v>
      </c>
      <c r="R3907" s="32">
        <v>43914.0</v>
      </c>
      <c r="S3907" s="32">
        <v>43581.0</v>
      </c>
      <c r="T3907" s="29"/>
      <c r="U3907" s="33"/>
      <c r="V3907" s="1"/>
    </row>
    <row r="3908" ht="24.0" customHeight="1">
      <c r="A3908" s="1"/>
      <c r="B3908" s="24" t="str">
        <f>HYPERLINK("https://www.compass.com/listing/150-29-72nd-road-unit-3a-queens-ny-11367/1043539259930588713/view?agent_id=610d3f3370540700019b0833","150-29 72nd Rd, Unit 3A")</f>
        <v>150-29 72nd Rd, Unit 3A</v>
      </c>
      <c r="C3908" s="25" t="s">
        <v>370</v>
      </c>
      <c r="D3908" s="26" t="s">
        <v>23</v>
      </c>
      <c r="E3908" s="27" t="str">
        <f>HYPERLINK("https://www.compass.com/building/150-29-72nd-rd-queens-ny-11367/294841301417693765/","150-29 72nd Rd")</f>
        <v>150-29 72nd Rd</v>
      </c>
      <c r="F3908" s="25" t="s">
        <v>142</v>
      </c>
      <c r="G3908" s="28">
        <v>379900.0</v>
      </c>
      <c r="H3908" s="29"/>
      <c r="I3908" s="28">
        <v>859.0</v>
      </c>
      <c r="J3908" s="28">
        <v>0.0</v>
      </c>
      <c r="K3908" s="25" t="s">
        <v>25</v>
      </c>
      <c r="L3908" s="26">
        <v>5.0</v>
      </c>
      <c r="M3908" s="26">
        <v>2.0</v>
      </c>
      <c r="N3908" s="26">
        <v>1.0</v>
      </c>
      <c r="O3908" s="26">
        <v>0.0</v>
      </c>
      <c r="P3908" s="30"/>
      <c r="Q3908" s="35">
        <v>248.0</v>
      </c>
      <c r="R3908" s="32">
        <v>44943.0</v>
      </c>
      <c r="S3908" s="32">
        <v>44693.0</v>
      </c>
      <c r="T3908" s="29"/>
      <c r="U3908" s="33"/>
      <c r="V3908" s="1"/>
    </row>
    <row r="3909" ht="24.0" customHeight="1">
      <c r="A3909" s="1"/>
      <c r="B3909" s="24" t="str">
        <f>HYPERLINK("https://www.compass.com/listing/10-12-church-street-queens-ny-11414/1845116837988327401/view?agent_id=610d3f3370540700019b0833","10-12 Church St")</f>
        <v>10-12 Church St</v>
      </c>
      <c r="C3909" s="25" t="s">
        <v>365</v>
      </c>
      <c r="D3909" s="26" t="s">
        <v>23</v>
      </c>
      <c r="E3909" s="26" t="s">
        <v>407</v>
      </c>
      <c r="F3909" s="25" t="s">
        <v>220</v>
      </c>
      <c r="G3909" s="28">
        <v>649000.0</v>
      </c>
      <c r="H3909" s="28">
        <v>893.0</v>
      </c>
      <c r="I3909" s="28">
        <v>135.0</v>
      </c>
      <c r="J3909" s="28">
        <v>1622.0</v>
      </c>
      <c r="K3909" s="25" t="s">
        <v>36</v>
      </c>
      <c r="L3909" s="26">
        <v>2.0</v>
      </c>
      <c r="M3909" s="26">
        <v>2.0</v>
      </c>
      <c r="N3909" s="26">
        <v>1.0</v>
      </c>
      <c r="O3909" s="30"/>
      <c r="P3909" s="26">
        <v>727.0</v>
      </c>
      <c r="Q3909" s="35">
        <v>37.0</v>
      </c>
      <c r="R3909" s="32">
        <v>45834.0</v>
      </c>
      <c r="S3909" s="32">
        <v>45797.0</v>
      </c>
      <c r="T3909" s="29"/>
      <c r="U3909" s="33"/>
      <c r="V3909" s="1"/>
    </row>
    <row r="3910" ht="24.0" customHeight="1">
      <c r="A3910" s="1"/>
      <c r="B3910" s="24" t="str">
        <f>HYPERLINK("https://www.compass.com/listing/144-10-77th-road-unit-3c-queens-ny-11367/841309627249720281/view?agent_id=610d3f3370540700019b0833","144-10 77th Rd, Unit 3C")</f>
        <v>144-10 77th Rd, Unit 3C</v>
      </c>
      <c r="C3910" s="25" t="s">
        <v>364</v>
      </c>
      <c r="D3910" s="26" t="s">
        <v>23</v>
      </c>
      <c r="E3910" s="27" t="str">
        <f>HYPERLINK("https://www.compass.com/building/144-10-77th-rd-queens-ny-11367/307459777827306069/","144-10 77th Rd")</f>
        <v>144-10 77th Rd</v>
      </c>
      <c r="F3910" s="25" t="s">
        <v>142</v>
      </c>
      <c r="G3910" s="28">
        <v>260000.0</v>
      </c>
      <c r="H3910" s="29"/>
      <c r="I3910" s="28">
        <v>922.0</v>
      </c>
      <c r="J3910" s="28">
        <v>0.0</v>
      </c>
      <c r="K3910" s="25" t="s">
        <v>25</v>
      </c>
      <c r="L3910" s="26">
        <v>5.0</v>
      </c>
      <c r="M3910" s="26">
        <v>2.0</v>
      </c>
      <c r="N3910" s="26">
        <v>1.0</v>
      </c>
      <c r="O3910" s="26">
        <v>0.0</v>
      </c>
      <c r="P3910" s="30"/>
      <c r="Q3910" s="35">
        <v>258.0</v>
      </c>
      <c r="R3910" s="32">
        <v>44670.0</v>
      </c>
      <c r="S3910" s="32">
        <v>44412.0</v>
      </c>
      <c r="T3910" s="29"/>
      <c r="U3910" s="33"/>
      <c r="V3910" s="1"/>
    </row>
    <row r="3911" ht="24.0" customHeight="1">
      <c r="A3911" s="1"/>
      <c r="B3911" s="24" t="str">
        <f>HYPERLINK("https://www.compass.com/listing/144-40-71st-avenue-unit-2-queens-ny-11367/1596489812116491289/view?agent_id=610d3f3370540700019b0833","144-40 71st Ave, Unit 2")</f>
        <v>144-40 71st Ave, Unit 2</v>
      </c>
      <c r="C3911" s="25" t="s">
        <v>370</v>
      </c>
      <c r="D3911" s="26" t="s">
        <v>23</v>
      </c>
      <c r="E3911" s="27" t="str">
        <f>HYPERLINK("https://www.compass.com/building/144-40-71st-ave-queens-ny-11367/307439153108941829/","144-40 71st Ave")</f>
        <v>144-40 71st Ave</v>
      </c>
      <c r="F3911" s="25" t="s">
        <v>142</v>
      </c>
      <c r="G3911" s="28">
        <v>379000.0</v>
      </c>
      <c r="H3911" s="28">
        <v>421.0</v>
      </c>
      <c r="I3911" s="28">
        <v>0.0</v>
      </c>
      <c r="J3911" s="28">
        <v>0.0</v>
      </c>
      <c r="K3911" s="25" t="s">
        <v>25</v>
      </c>
      <c r="L3911" s="26">
        <v>4.0</v>
      </c>
      <c r="M3911" s="26">
        <v>2.0</v>
      </c>
      <c r="N3911" s="26">
        <v>1.0</v>
      </c>
      <c r="O3911" s="30"/>
      <c r="P3911" s="26">
        <v>900.0</v>
      </c>
      <c r="Q3911" s="35">
        <v>128.0</v>
      </c>
      <c r="R3911" s="32">
        <v>45597.0</v>
      </c>
      <c r="S3911" s="32">
        <v>45454.0</v>
      </c>
      <c r="T3911" s="29"/>
      <c r="U3911" s="33"/>
      <c r="V3911" s="1"/>
    </row>
    <row r="3912" ht="24.0" customHeight="1">
      <c r="A3912" s="1"/>
      <c r="B3912" s="24" t="str">
        <f>HYPERLINK("https://www.compass.com/listing/83-11-139th-street-unit-6e-queens-ny-11435/893521808124227657/view?agent_id=610d3f3370540700019b0833","83-11 139th St, Unit 6E")</f>
        <v>83-11 139th St, Unit 6E</v>
      </c>
      <c r="C3912" s="25" t="s">
        <v>365</v>
      </c>
      <c r="D3912" s="26" t="s">
        <v>23</v>
      </c>
      <c r="E3912" s="27" t="str">
        <f>HYPERLINK("https://www.compass.com/building/83-11-139th-st-queens-ny-11435/307443750116410821/","83-11 139th St")</f>
        <v>83-11 139th St</v>
      </c>
      <c r="F3912" s="25" t="s">
        <v>146</v>
      </c>
      <c r="G3912" s="28">
        <v>369000.0</v>
      </c>
      <c r="H3912" s="29"/>
      <c r="I3912" s="28">
        <v>880.0</v>
      </c>
      <c r="J3912" s="28">
        <v>0.0</v>
      </c>
      <c r="K3912" s="25" t="s">
        <v>25</v>
      </c>
      <c r="L3912" s="26">
        <v>4.0</v>
      </c>
      <c r="M3912" s="26">
        <v>2.0</v>
      </c>
      <c r="N3912" s="26">
        <v>1.0</v>
      </c>
      <c r="O3912" s="26">
        <v>0.0</v>
      </c>
      <c r="P3912" s="30"/>
      <c r="Q3912" s="35">
        <v>69.0</v>
      </c>
      <c r="R3912" s="32">
        <v>44554.0</v>
      </c>
      <c r="S3912" s="32">
        <v>44484.0</v>
      </c>
      <c r="T3912" s="29"/>
      <c r="U3912" s="33"/>
      <c r="V3912" s="1"/>
    </row>
    <row r="3913" ht="24.0" customHeight="1">
      <c r="A3913" s="1"/>
      <c r="B3913" s="24" t="str">
        <f>HYPERLINK("https://www.compass.com/listing/1110-stadium-avenue-unit-lj-bronx-ny-10465/1170522290434040817/view?agent_id=610d3f3370540700019b0833","1110 Stadium Ave, Unit LJ")</f>
        <v>1110 Stadium Ave, Unit LJ</v>
      </c>
      <c r="C3913" s="25" t="s">
        <v>364</v>
      </c>
      <c r="D3913" s="26" t="s">
        <v>23</v>
      </c>
      <c r="E3913" s="27" t="str">
        <f>HYPERLINK("https://www.compass.com/building/1110-stadium-ave-bronx-ny-10465/293528405117363621/","1110 Stadium Ave")</f>
        <v>1110 Stadium Ave</v>
      </c>
      <c r="F3913" s="25" t="s">
        <v>408</v>
      </c>
      <c r="G3913" s="28">
        <v>375000.0</v>
      </c>
      <c r="H3913" s="29"/>
      <c r="I3913" s="28">
        <v>849.0</v>
      </c>
      <c r="J3913" s="28">
        <v>0.0</v>
      </c>
      <c r="K3913" s="25" t="s">
        <v>25</v>
      </c>
      <c r="L3913" s="26">
        <v>4.0</v>
      </c>
      <c r="M3913" s="26">
        <v>2.0</v>
      </c>
      <c r="N3913" s="26">
        <v>1.0</v>
      </c>
      <c r="O3913" s="30"/>
      <c r="P3913" s="30"/>
      <c r="Q3913" s="35">
        <v>77.0</v>
      </c>
      <c r="R3913" s="32">
        <v>44943.0</v>
      </c>
      <c r="S3913" s="32">
        <v>44866.0</v>
      </c>
      <c r="T3913" s="29"/>
      <c r="U3913" s="33"/>
      <c r="V3913" s="1"/>
    </row>
    <row r="3914" ht="24.0" customHeight="1">
      <c r="A3914" s="1"/>
      <c r="B3914" s="24" t="str">
        <f>HYPERLINK("https://www.compass.com/listing/112-30-northern-boulevard-unit-4g-queens-ny-11368/1068972329059541121/view?agent_id=610d3f3370540700019b0833","112-30 Northern Blvd, Unit 4G")</f>
        <v>112-30 Northern Blvd, Unit 4G</v>
      </c>
      <c r="C3914" s="25" t="s">
        <v>365</v>
      </c>
      <c r="D3914" s="26" t="s">
        <v>23</v>
      </c>
      <c r="E3914" s="27" t="str">
        <f>HYPERLINK("https://www.compass.com/building/112-30-northern-blvd-queens-ny-11368/307455150201287173/","112-30 Northern Blvd")</f>
        <v>112-30 Northern Blvd</v>
      </c>
      <c r="F3914" s="25" t="s">
        <v>230</v>
      </c>
      <c r="G3914" s="28">
        <v>195000.0</v>
      </c>
      <c r="H3914" s="29"/>
      <c r="I3914" s="28">
        <v>1058.0</v>
      </c>
      <c r="J3914" s="28">
        <v>0.0</v>
      </c>
      <c r="K3914" s="25" t="s">
        <v>25</v>
      </c>
      <c r="L3914" s="26">
        <v>5.0</v>
      </c>
      <c r="M3914" s="26">
        <v>2.0</v>
      </c>
      <c r="N3914" s="26">
        <v>1.0</v>
      </c>
      <c r="O3914" s="30"/>
      <c r="P3914" s="30"/>
      <c r="Q3914" s="35">
        <v>273.0</v>
      </c>
      <c r="R3914" s="32">
        <v>45000.0</v>
      </c>
      <c r="S3914" s="32">
        <v>44726.0</v>
      </c>
      <c r="T3914" s="29"/>
      <c r="U3914" s="33"/>
      <c r="V3914" s="1"/>
    </row>
    <row r="3915" ht="24.0" customHeight="1">
      <c r="A3915" s="1"/>
      <c r="B3915" s="24" t="str">
        <f>HYPERLINK("https://www.compass.com/listing/229-04-hillside-avenue-unit-lowr-queens-ny-11427/1730610261422538281/view?agent_id=610d3f3370540700019b0833","229-04 Hillside Ave, Unit LOWR")</f>
        <v>229-04 Hillside Ave, Unit LOWR</v>
      </c>
      <c r="C3915" s="25" t="s">
        <v>370</v>
      </c>
      <c r="D3915" s="26" t="s">
        <v>23</v>
      </c>
      <c r="E3915" s="27" t="str">
        <f>HYPERLINK("https://www.compass.com/building/229-04-hillside-ave-queens-ny-11427/307450649151108197/","229-04 Hillside Ave")</f>
        <v>229-04 Hillside Ave</v>
      </c>
      <c r="F3915" s="25" t="s">
        <v>98</v>
      </c>
      <c r="G3915" s="28">
        <v>127000.0</v>
      </c>
      <c r="H3915" s="29"/>
      <c r="I3915" s="28">
        <v>0.0</v>
      </c>
      <c r="J3915" s="28">
        <v>0.0</v>
      </c>
      <c r="K3915" s="25" t="s">
        <v>25</v>
      </c>
      <c r="L3915" s="26">
        <v>4.0</v>
      </c>
      <c r="M3915" s="26">
        <v>2.0</v>
      </c>
      <c r="N3915" s="26">
        <v>1.0</v>
      </c>
      <c r="O3915" s="30"/>
      <c r="P3915" s="30"/>
      <c r="Q3915" s="35">
        <v>289.0</v>
      </c>
      <c r="R3915" s="32">
        <v>45597.0</v>
      </c>
      <c r="S3915" s="32">
        <v>41016.0</v>
      </c>
      <c r="T3915" s="29"/>
      <c r="U3915" s="33"/>
      <c r="V3915" s="1"/>
    </row>
    <row r="3916" ht="24.0" customHeight="1">
      <c r="A3916" s="1"/>
      <c r="B3916" s="24" t="str">
        <f>HYPERLINK("https://www.compass.com/listing/182-25-wexford-terrace-unit-316-queens-ny-11432/1805316370753473081/view?agent_id=610d3f3370540700019b0833","182-25 Wexford Ter, Unit 316")</f>
        <v>182-25 Wexford Ter, Unit 316</v>
      </c>
      <c r="C3916" s="25" t="s">
        <v>370</v>
      </c>
      <c r="D3916" s="26" t="s">
        <v>23</v>
      </c>
      <c r="E3916" s="27" t="str">
        <f>HYPERLINK("https://www.compass.com/building/182-25-wexford-ter-queens-ny-11432/293526291842376517/","182-25 Wexford Ter")</f>
        <v>182-25 Wexford Ter</v>
      </c>
      <c r="F3916" s="25" t="s">
        <v>328</v>
      </c>
      <c r="G3916" s="28">
        <v>299000.0</v>
      </c>
      <c r="H3916" s="28">
        <v>369.0</v>
      </c>
      <c r="I3916" s="28">
        <v>1157.0</v>
      </c>
      <c r="J3916" s="28">
        <v>0.0</v>
      </c>
      <c r="K3916" s="25" t="s">
        <v>25</v>
      </c>
      <c r="L3916" s="26">
        <v>4.0</v>
      </c>
      <c r="M3916" s="26">
        <v>2.0</v>
      </c>
      <c r="N3916" s="26">
        <v>1.0</v>
      </c>
      <c r="O3916" s="26">
        <v>0.0</v>
      </c>
      <c r="P3916" s="26">
        <v>810.0</v>
      </c>
      <c r="Q3916" s="35">
        <v>49.0</v>
      </c>
      <c r="R3916" s="32">
        <v>45792.0</v>
      </c>
      <c r="S3916" s="32">
        <v>45742.0</v>
      </c>
      <c r="T3916" s="29"/>
      <c r="U3916" s="33"/>
      <c r="V3916" s="1"/>
    </row>
    <row r="3917" ht="24.0" customHeight="1">
      <c r="A3917" s="1"/>
      <c r="B3917" s="24" t="str">
        <f>HYPERLINK("https://www.compass.com/listing/9411-shore-road-unit-3j-brooklyn-ny-11209/1248198726360226961/view?agent_id=610d3f3370540700019b0833","9411 Shore Rd, Unit 3J")</f>
        <v>9411 Shore Rd, Unit 3J</v>
      </c>
      <c r="C3917" s="25" t="s">
        <v>370</v>
      </c>
      <c r="D3917" s="26" t="s">
        <v>23</v>
      </c>
      <c r="E3917" s="27" t="str">
        <f>HYPERLINK("https://www.compass.com/building/9411-shore-rd-brooklyn-ny-11209/293528738262420165/","9411 Shore Rd")</f>
        <v>9411 Shore Rd</v>
      </c>
      <c r="F3917" s="25" t="s">
        <v>55</v>
      </c>
      <c r="G3917" s="28">
        <v>321000.0</v>
      </c>
      <c r="H3917" s="28">
        <v>340.0</v>
      </c>
      <c r="I3917" s="28">
        <v>696.0</v>
      </c>
      <c r="J3917" s="29"/>
      <c r="K3917" s="25" t="s">
        <v>25</v>
      </c>
      <c r="L3917" s="26">
        <v>4.0</v>
      </c>
      <c r="M3917" s="26">
        <v>2.0</v>
      </c>
      <c r="N3917" s="26">
        <v>1.0</v>
      </c>
      <c r="O3917" s="26">
        <v>0.0</v>
      </c>
      <c r="P3917" s="26">
        <v>944.0</v>
      </c>
      <c r="Q3917" s="35">
        <v>154.0</v>
      </c>
      <c r="R3917" s="32">
        <v>44581.0</v>
      </c>
      <c r="S3917" s="32">
        <v>41360.0</v>
      </c>
      <c r="T3917" s="29"/>
      <c r="U3917" s="33"/>
      <c r="V3917" s="1"/>
    </row>
    <row r="3918" ht="24.0" customHeight="1">
      <c r="A3918" s="1"/>
      <c r="B3918" s="24" t="str">
        <f>HYPERLINK("https://www.compass.com/listing/144-40-72nd-avenue-unit-1-queens-ny-11367/1730722746800733849/view?agent_id=610d3f3370540700019b0833","144-40 72nd Ave, Unit 1")</f>
        <v>144-40 72nd Ave, Unit 1</v>
      </c>
      <c r="C3918" s="25" t="s">
        <v>370</v>
      </c>
      <c r="D3918" s="26" t="s">
        <v>23</v>
      </c>
      <c r="E3918" s="27" t="str">
        <f>HYPERLINK("https://www.compass.com/building/144-40-72nd-ave-queens-ny-11367/307436960108666037/","144-40 72nd Ave")</f>
        <v>144-40 72nd Ave</v>
      </c>
      <c r="F3918" s="25" t="s">
        <v>142</v>
      </c>
      <c r="G3918" s="28">
        <v>220000.0</v>
      </c>
      <c r="H3918" s="29"/>
      <c r="I3918" s="28">
        <v>0.0</v>
      </c>
      <c r="J3918" s="28">
        <v>0.0</v>
      </c>
      <c r="K3918" s="25" t="s">
        <v>25</v>
      </c>
      <c r="L3918" s="26">
        <v>4.0</v>
      </c>
      <c r="M3918" s="26">
        <v>2.0</v>
      </c>
      <c r="N3918" s="26">
        <v>1.0</v>
      </c>
      <c r="O3918" s="30"/>
      <c r="P3918" s="30"/>
      <c r="Q3918" s="35">
        <v>362.0</v>
      </c>
      <c r="R3918" s="32">
        <v>45597.0</v>
      </c>
      <c r="S3918" s="32">
        <v>41932.0</v>
      </c>
      <c r="T3918" s="29"/>
      <c r="U3918" s="33"/>
      <c r="V3918" s="1"/>
    </row>
    <row r="3919" ht="24.0" customHeight="1">
      <c r="A3919" s="1"/>
      <c r="B3919" s="24" t="str">
        <f>HYPERLINK("https://www.compass.com/listing/77-30-main-street-unit-3b-queens-ny-11367/29114743448940721/view?agent_id=610d3f3370540700019b0833","77-30 Main St, Unit 3B")</f>
        <v>77-30 Main St, Unit 3B</v>
      </c>
      <c r="C3919" s="25" t="s">
        <v>364</v>
      </c>
      <c r="D3919" s="26" t="s">
        <v>23</v>
      </c>
      <c r="E3919" s="27" t="str">
        <f>HYPERLINK("https://www.compass.com/building/77-30-main-st-queens-ny-11367/293529082010816229/","77-30 Main St")</f>
        <v>77-30 Main St</v>
      </c>
      <c r="F3919" s="25" t="s">
        <v>142</v>
      </c>
      <c r="G3919" s="28">
        <v>195000.0</v>
      </c>
      <c r="H3919" s="29"/>
      <c r="I3919" s="28">
        <v>703.0</v>
      </c>
      <c r="J3919" s="29"/>
      <c r="K3919" s="25" t="s">
        <v>25</v>
      </c>
      <c r="L3919" s="26">
        <v>4.0</v>
      </c>
      <c r="M3919" s="26">
        <v>2.0</v>
      </c>
      <c r="N3919" s="26">
        <v>1.0</v>
      </c>
      <c r="O3919" s="26">
        <v>0.0</v>
      </c>
      <c r="P3919" s="30"/>
      <c r="Q3919" s="35">
        <v>5.0</v>
      </c>
      <c r="R3919" s="32">
        <v>44581.0</v>
      </c>
      <c r="S3919" s="32">
        <v>41948.0</v>
      </c>
      <c r="T3919" s="29"/>
      <c r="U3919" s="33"/>
      <c r="V3919" s="1"/>
    </row>
    <row r="3920" ht="24.0" customHeight="1">
      <c r="A3920" s="1"/>
      <c r="B3920" s="24" t="str">
        <f>HYPERLINK("https://www.compass.com/listing/1200-woodycrest-avenue-unit-5c-bronx-ny-10452/29514942302412145/view?agent_id=610d3f3370540700019b0833","1200 Woodycrest Ave, Unit 5C")</f>
        <v>1200 Woodycrest Ave, Unit 5C</v>
      </c>
      <c r="C3920" s="25" t="s">
        <v>364</v>
      </c>
      <c r="D3920" s="26" t="s">
        <v>23</v>
      </c>
      <c r="E3920" s="27" t="str">
        <f>HYPERLINK("https://www.compass.com/building/1200-woodycrest-ave-bronx-ny-10452/293417430468819029/","1200 Woodycrest Ave")</f>
        <v>1200 Woodycrest Ave</v>
      </c>
      <c r="F3920" s="25" t="s">
        <v>293</v>
      </c>
      <c r="G3920" s="28">
        <v>175000.0</v>
      </c>
      <c r="H3920" s="28">
        <v>233.0</v>
      </c>
      <c r="I3920" s="28">
        <v>984.0</v>
      </c>
      <c r="J3920" s="28">
        <v>0.0</v>
      </c>
      <c r="K3920" s="25" t="s">
        <v>25</v>
      </c>
      <c r="L3920" s="26">
        <v>5.0</v>
      </c>
      <c r="M3920" s="26">
        <v>2.0</v>
      </c>
      <c r="N3920" s="30"/>
      <c r="O3920" s="30"/>
      <c r="P3920" s="26">
        <v>750.0</v>
      </c>
      <c r="Q3920" s="35">
        <v>209.0</v>
      </c>
      <c r="R3920" s="32">
        <v>43431.0</v>
      </c>
      <c r="S3920" s="32">
        <v>43222.0</v>
      </c>
      <c r="T3920" s="29"/>
      <c r="U3920" s="33"/>
      <c r="V3920" s="1"/>
    </row>
    <row r="3921" ht="24.0" customHeight="1">
      <c r="A3921" s="1"/>
      <c r="B3921" s="24" t="str">
        <f>HYPERLINK("https://www.compass.com/listing/225-06-stronghurst-avenue-unit-lowr-queens-ny-11427/1730716832303300489/view?agent_id=610d3f3370540700019b0833","225-06 Stronghurst Ave, Unit LOWR")</f>
        <v>225-06 Stronghurst Ave, Unit LOWR</v>
      </c>
      <c r="C3921" s="25" t="s">
        <v>370</v>
      </c>
      <c r="D3921" s="26" t="s">
        <v>23</v>
      </c>
      <c r="E3921" s="27" t="str">
        <f>HYPERLINK("https://www.compass.com/building/225-06-stronghurst-ave-queens-ny-11427/567600167358430533/","225-06 Stronghurst Ave")</f>
        <v>225-06 Stronghurst Ave</v>
      </c>
      <c r="F3921" s="25" t="s">
        <v>69</v>
      </c>
      <c r="G3921" s="28">
        <v>153000.0</v>
      </c>
      <c r="H3921" s="29"/>
      <c r="I3921" s="28">
        <v>0.0</v>
      </c>
      <c r="J3921" s="28">
        <v>0.0</v>
      </c>
      <c r="K3921" s="25" t="s">
        <v>25</v>
      </c>
      <c r="L3921" s="26">
        <v>5.0</v>
      </c>
      <c r="M3921" s="26">
        <v>2.0</v>
      </c>
      <c r="N3921" s="26">
        <v>1.0</v>
      </c>
      <c r="O3921" s="30"/>
      <c r="P3921" s="30"/>
      <c r="Q3921" s="35">
        <v>365.0</v>
      </c>
      <c r="R3921" s="32">
        <v>45597.0</v>
      </c>
      <c r="S3921" s="32">
        <v>41189.0</v>
      </c>
      <c r="T3921" s="29"/>
      <c r="U3921" s="33"/>
      <c r="V3921" s="1"/>
    </row>
    <row r="3922" ht="24.0" customHeight="1">
      <c r="A3922" s="1"/>
      <c r="B3922" s="24" t="str">
        <f>HYPERLINK("https://www.compass.com/listing/25-02-brookhaven-avenue-queens-ny-11691/329520261468411601/view?agent_id=610d3f3370540700019b0833","25-02 Brookhaven Ave")</f>
        <v>25-02 Brookhaven Ave</v>
      </c>
      <c r="C3922" s="25" t="s">
        <v>365</v>
      </c>
      <c r="D3922" s="26" t="s">
        <v>23</v>
      </c>
      <c r="E3922" s="27" t="str">
        <f>HYPERLINK("https://www.compass.com/building/25-02-brookhaven-ave-queens-ny-11691/293535335416193157/","25-02 Brookhaven Ave")</f>
        <v>25-02 Brookhaven Ave</v>
      </c>
      <c r="F3922" s="25" t="s">
        <v>409</v>
      </c>
      <c r="G3922" s="28">
        <v>295000.0</v>
      </c>
      <c r="H3922" s="28">
        <v>630.0</v>
      </c>
      <c r="I3922" s="28">
        <v>112.0</v>
      </c>
      <c r="J3922" s="28">
        <v>1344.0</v>
      </c>
      <c r="K3922" s="25" t="s">
        <v>410</v>
      </c>
      <c r="L3922" s="26">
        <v>3.0</v>
      </c>
      <c r="M3922" s="26">
        <v>2.0</v>
      </c>
      <c r="N3922" s="26">
        <v>1.0</v>
      </c>
      <c r="O3922" s="30"/>
      <c r="P3922" s="26">
        <v>468.0</v>
      </c>
      <c r="Q3922" s="35">
        <v>325.0</v>
      </c>
      <c r="R3922" s="32">
        <v>44126.0</v>
      </c>
      <c r="S3922" s="32">
        <v>43706.0</v>
      </c>
      <c r="T3922" s="29"/>
      <c r="U3922" s="33"/>
      <c r="V3922" s="1"/>
    </row>
    <row r="3923" ht="24.0" customHeight="1">
      <c r="A3923" s="1"/>
      <c r="B3923" s="24" t="str">
        <f>HYPERLINK("https://www.compass.com/listing/2705-kings-highway-unit-1f-brooklyn-ny-11229/29517642939245121/view?agent_id=610d3f3370540700019b0833","2705 Kings Hwy, Unit 1F")</f>
        <v>2705 Kings Hwy, Unit 1F</v>
      </c>
      <c r="C3923" s="25" t="s">
        <v>370</v>
      </c>
      <c r="D3923" s="26" t="s">
        <v>23</v>
      </c>
      <c r="E3923" s="26" t="s">
        <v>411</v>
      </c>
      <c r="F3923" s="25" t="s">
        <v>34</v>
      </c>
      <c r="G3923" s="28">
        <v>185000.0</v>
      </c>
      <c r="H3923" s="29"/>
      <c r="I3923" s="28">
        <v>522.0</v>
      </c>
      <c r="J3923" s="29"/>
      <c r="K3923" s="25" t="s">
        <v>25</v>
      </c>
      <c r="L3923" s="26">
        <v>4.0</v>
      </c>
      <c r="M3923" s="26">
        <v>2.0</v>
      </c>
      <c r="N3923" s="26">
        <v>0.0</v>
      </c>
      <c r="O3923" s="26">
        <v>0.0</v>
      </c>
      <c r="P3923" s="30"/>
      <c r="Q3923" s="35">
        <v>141.0</v>
      </c>
      <c r="R3923" s="32">
        <v>44581.0</v>
      </c>
      <c r="S3923" s="32">
        <v>41309.0</v>
      </c>
      <c r="T3923" s="29"/>
      <c r="U3923" s="33"/>
      <c r="V3923" s="1"/>
    </row>
    <row r="3924" ht="24.0" customHeight="1">
      <c r="A3924" s="1"/>
      <c r="B3924" s="24" t="str">
        <f>HYPERLINK("https://www.compass.com/listing/675-walton-avenue-unit-60-bronx-ny-10451/774793565190414313/view?agent_id=610d3f3370540700019b0833","675 Walton Ave, Unit 60")</f>
        <v>675 Walton Ave, Unit 60</v>
      </c>
      <c r="C3924" s="25" t="s">
        <v>365</v>
      </c>
      <c r="D3924" s="26" t="s">
        <v>23</v>
      </c>
      <c r="E3924" s="27" t="str">
        <f>HYPERLINK("https://www.compass.com/building/675-walton-ave-bronx-ny-10451/294845800085220165/","675 Walton Ave")</f>
        <v>675 Walton Ave</v>
      </c>
      <c r="F3924" s="25" t="s">
        <v>217</v>
      </c>
      <c r="G3924" s="28">
        <v>398000.0</v>
      </c>
      <c r="H3924" s="28">
        <v>360.0</v>
      </c>
      <c r="I3924" s="28">
        <v>1343.0</v>
      </c>
      <c r="J3924" s="28">
        <v>0.0</v>
      </c>
      <c r="K3924" s="25" t="s">
        <v>25</v>
      </c>
      <c r="L3924" s="26">
        <v>5.0</v>
      </c>
      <c r="M3924" s="26">
        <v>2.0</v>
      </c>
      <c r="N3924" s="26">
        <v>1.0</v>
      </c>
      <c r="O3924" s="30"/>
      <c r="P3924" s="34">
        <v>1105.0</v>
      </c>
      <c r="Q3924" s="35">
        <v>174.0</v>
      </c>
      <c r="R3924" s="32">
        <v>44495.0</v>
      </c>
      <c r="S3924" s="32">
        <v>44320.0</v>
      </c>
      <c r="T3924" s="29"/>
      <c r="U3924" s="33"/>
      <c r="V3924" s="1"/>
    </row>
    <row r="3925" ht="24.0" customHeight="1">
      <c r="A3925" s="1"/>
      <c r="B3925" s="24" t="str">
        <f>HYPERLINK("https://www.compass.com/listing/800-grand-concourse-unit-gms-bronx-ny-10451/1460229733240976441/view?agent_id=610d3f3370540700019b0833","800 Grand Concourse, Unit GMS")</f>
        <v>800 Grand Concourse, Unit GMS</v>
      </c>
      <c r="C3925" s="25" t="s">
        <v>364</v>
      </c>
      <c r="D3925" s="26" t="s">
        <v>23</v>
      </c>
      <c r="E3925" s="27" t="str">
        <f>HYPERLINK("https://www.compass.com/building/800-grand-concourse-bronx-ny-10451/293534286068403877/","800 Grand Concourse")</f>
        <v>800 Grand Concourse</v>
      </c>
      <c r="F3925" s="25" t="s">
        <v>217</v>
      </c>
      <c r="G3925" s="28">
        <v>275000.0</v>
      </c>
      <c r="H3925" s="28">
        <v>337.0</v>
      </c>
      <c r="I3925" s="28">
        <v>1085.0</v>
      </c>
      <c r="J3925" s="28">
        <v>0.0</v>
      </c>
      <c r="K3925" s="25" t="s">
        <v>25</v>
      </c>
      <c r="L3925" s="26">
        <v>6.0</v>
      </c>
      <c r="M3925" s="26">
        <v>2.0</v>
      </c>
      <c r="N3925" s="26">
        <v>1.0</v>
      </c>
      <c r="O3925" s="30"/>
      <c r="P3925" s="26">
        <v>815.0</v>
      </c>
      <c r="Q3925" s="35">
        <v>102.0</v>
      </c>
      <c r="R3925" s="32">
        <v>45525.0</v>
      </c>
      <c r="S3925" s="32">
        <v>45266.0</v>
      </c>
      <c r="T3925" s="29"/>
      <c r="U3925" s="33"/>
      <c r="V3925" s="1"/>
    </row>
    <row r="3926" ht="24.0" customHeight="1">
      <c r="A3926" s="1"/>
      <c r="B3926" s="24" t="str">
        <f>HYPERLINK("https://www.compass.com/listing/2833-ford-street-unit-3a-brooklyn-ny-11235/4852305937236492433/view?agent_id=610d3f3370540700019b0833","2833 Ford St, Unit 3A")</f>
        <v>2833 Ford St, Unit 3A</v>
      </c>
      <c r="C3926" s="25" t="s">
        <v>370</v>
      </c>
      <c r="D3926" s="26" t="s">
        <v>23</v>
      </c>
      <c r="E3926" s="27" t="str">
        <f>HYPERLINK("https://www.compass.com/building/2833-ford-st-brooklyn-ny-11235/293526325589760789/","2833 Ford St")</f>
        <v>2833 Ford St</v>
      </c>
      <c r="F3926" s="25" t="s">
        <v>70</v>
      </c>
      <c r="G3926" s="28">
        <v>550000.0</v>
      </c>
      <c r="H3926" s="28">
        <v>542.0</v>
      </c>
      <c r="I3926" s="28">
        <v>241.0</v>
      </c>
      <c r="J3926" s="28">
        <v>348.0</v>
      </c>
      <c r="K3926" s="25" t="s">
        <v>28</v>
      </c>
      <c r="L3926" s="26">
        <v>4.0</v>
      </c>
      <c r="M3926" s="26">
        <v>2.0</v>
      </c>
      <c r="N3926" s="26">
        <v>0.0</v>
      </c>
      <c r="O3926" s="26">
        <v>0.0</v>
      </c>
      <c r="P3926" s="34">
        <v>1014.0</v>
      </c>
      <c r="Q3926" s="35">
        <v>0.0</v>
      </c>
      <c r="R3926" s="32">
        <v>44581.0</v>
      </c>
      <c r="S3926" s="32">
        <v>41538.0</v>
      </c>
      <c r="T3926" s="29"/>
      <c r="U3926" s="33"/>
      <c r="V3926" s="1"/>
    </row>
    <row r="3927" ht="24.0" customHeight="1">
      <c r="A3927" s="1"/>
      <c r="B3927" s="24" t="str">
        <f>HYPERLINK("https://www.compass.com/listing/87-03-springfield-boulevard-unit-lowr-queens-ny-11427/1729962307681946305/view?agent_id=610d3f3370540700019b0833","87-03 Springfield Blvd, Unit LOWR")</f>
        <v>87-03 Springfield Blvd, Unit LOWR</v>
      </c>
      <c r="C3927" s="25" t="s">
        <v>370</v>
      </c>
      <c r="D3927" s="26" t="s">
        <v>23</v>
      </c>
      <c r="E3927" s="27" t="str">
        <f t="shared" ref="E3927:E3928" si="149">HYPERLINK("https://www.compass.com/building/87-03-springfield-blvd-queens-ny-11427/467392165262797429/","87-03 Springfield Blvd")</f>
        <v>87-03 Springfield Blvd</v>
      </c>
      <c r="F3927" s="25" t="s">
        <v>98</v>
      </c>
      <c r="G3927" s="28">
        <v>250000.0</v>
      </c>
      <c r="H3927" s="29"/>
      <c r="I3927" s="28">
        <v>0.0</v>
      </c>
      <c r="J3927" s="28">
        <v>0.0</v>
      </c>
      <c r="K3927" s="25" t="s">
        <v>25</v>
      </c>
      <c r="L3927" s="26">
        <v>4.0</v>
      </c>
      <c r="M3927" s="26">
        <v>2.0</v>
      </c>
      <c r="N3927" s="26">
        <v>1.0</v>
      </c>
      <c r="O3927" s="30"/>
      <c r="P3927" s="30"/>
      <c r="Q3927" s="31"/>
      <c r="R3927" s="32">
        <v>45597.0</v>
      </c>
      <c r="S3927" s="33"/>
      <c r="T3927" s="29"/>
      <c r="U3927" s="33"/>
      <c r="V3927" s="1"/>
    </row>
    <row r="3928" ht="24.0" customHeight="1">
      <c r="A3928" s="1"/>
      <c r="B3928" s="24" t="str">
        <f>HYPERLINK("https://www.compass.com/listing/87-03-springfield-boulevard-unit-lowr-queens-ny-11427/1299494396473664817/view?agent_id=610d3f3370540700019b0833","87-03 Springfield Blvd, Unit LOWR")</f>
        <v>87-03 Springfield Blvd, Unit LOWR</v>
      </c>
      <c r="C3928" s="25" t="s">
        <v>370</v>
      </c>
      <c r="D3928" s="26" t="s">
        <v>23</v>
      </c>
      <c r="E3928" s="27" t="str">
        <f t="shared" si="149"/>
        <v>87-03 Springfield Blvd</v>
      </c>
      <c r="F3928" s="25" t="s">
        <v>98</v>
      </c>
      <c r="G3928" s="28">
        <v>250000.0</v>
      </c>
      <c r="H3928" s="29"/>
      <c r="I3928" s="28">
        <v>709.0</v>
      </c>
      <c r="J3928" s="28">
        <v>0.0</v>
      </c>
      <c r="K3928" s="25" t="s">
        <v>25</v>
      </c>
      <c r="L3928" s="26">
        <v>4.0</v>
      </c>
      <c r="M3928" s="26">
        <v>2.0</v>
      </c>
      <c r="N3928" s="26">
        <v>1.0</v>
      </c>
      <c r="O3928" s="30"/>
      <c r="P3928" s="30"/>
      <c r="Q3928" s="31"/>
      <c r="R3928" s="32">
        <v>45538.0</v>
      </c>
      <c r="S3928" s="33"/>
      <c r="T3928" s="29"/>
      <c r="U3928" s="33"/>
      <c r="V3928" s="1"/>
    </row>
    <row r="3929" ht="24.0" customHeight="1">
      <c r="A3929" s="1"/>
      <c r="B3929" s="24" t="str">
        <f>HYPERLINK("https://www.compass.com/listing/2833-ford-street-unit-1b-brooklyn-ny-11235/4852329647033024657/view?agent_id=610d3f3370540700019b0833","2833 Ford St, Unit 1B")</f>
        <v>2833 Ford St, Unit 1B</v>
      </c>
      <c r="C3929" s="25" t="s">
        <v>370</v>
      </c>
      <c r="D3929" s="26" t="s">
        <v>23</v>
      </c>
      <c r="E3929" s="27" t="str">
        <f>HYPERLINK("https://www.compass.com/building/2833-ford-st-brooklyn-ny-11235/293526325589760789/","2833 Ford St")</f>
        <v>2833 Ford St</v>
      </c>
      <c r="F3929" s="25" t="s">
        <v>70</v>
      </c>
      <c r="G3929" s="28">
        <v>449000.0</v>
      </c>
      <c r="H3929" s="28">
        <v>345.0</v>
      </c>
      <c r="I3929" s="28">
        <v>303.0</v>
      </c>
      <c r="J3929" s="28">
        <v>444.0</v>
      </c>
      <c r="K3929" s="25" t="s">
        <v>28</v>
      </c>
      <c r="L3929" s="26">
        <v>4.0</v>
      </c>
      <c r="M3929" s="26">
        <v>2.0</v>
      </c>
      <c r="N3929" s="26">
        <v>0.0</v>
      </c>
      <c r="O3929" s="26">
        <v>0.0</v>
      </c>
      <c r="P3929" s="34">
        <v>1300.0</v>
      </c>
      <c r="Q3929" s="35">
        <v>0.0</v>
      </c>
      <c r="R3929" s="32">
        <v>44581.0</v>
      </c>
      <c r="S3929" s="32">
        <v>41538.0</v>
      </c>
      <c r="T3929" s="29"/>
      <c r="U3929" s="33"/>
      <c r="V3929" s="1"/>
    </row>
    <row r="3930" ht="24.0" customHeight="1">
      <c r="A3930" s="1"/>
      <c r="B3930" s="24" t="str">
        <f>HYPERLINK("https://www.compass.com/listing/1138-ocean-avenue-unit-7e-brooklyn-ny-11230/192565445625228801/view?agent_id=610d3f3370540700019b0833","1138 Ocean Ave, Unit 7E")</f>
        <v>1138 Ocean Ave, Unit 7E</v>
      </c>
      <c r="C3930" s="25" t="s">
        <v>364</v>
      </c>
      <c r="D3930" s="26" t="s">
        <v>23</v>
      </c>
      <c r="E3930" s="27" t="str">
        <f>HYPERLINK("https://www.compass.com/building/the-waterfalls-brooklyn-ny/293417536022708325/","The Waterfalls")</f>
        <v>The Waterfalls</v>
      </c>
      <c r="F3930" s="25" t="s">
        <v>412</v>
      </c>
      <c r="G3930" s="28">
        <v>490000.0</v>
      </c>
      <c r="H3930" s="29"/>
      <c r="I3930" s="28">
        <v>353.0</v>
      </c>
      <c r="J3930" s="28">
        <v>204.0</v>
      </c>
      <c r="K3930" s="25" t="s">
        <v>28</v>
      </c>
      <c r="L3930" s="26">
        <v>3.0</v>
      </c>
      <c r="M3930" s="26">
        <v>2.0</v>
      </c>
      <c r="N3930" s="26">
        <v>0.0</v>
      </c>
      <c r="O3930" s="26">
        <v>0.0</v>
      </c>
      <c r="P3930" s="30"/>
      <c r="Q3930" s="35">
        <v>3388.0</v>
      </c>
      <c r="R3930" s="32">
        <v>44581.0</v>
      </c>
      <c r="S3930" s="32">
        <v>41192.0</v>
      </c>
      <c r="T3930" s="29"/>
      <c r="U3930" s="33"/>
      <c r="V3930" s="1"/>
    </row>
    <row r="3931" ht="24.0" customHeight="1">
      <c r="A3931" s="1"/>
      <c r="B3931" s="24" t="str">
        <f>HYPERLINK("https://www.compass.com/listing/138-06-whitelaw-street-queens-ny-11417/1730625853227506513/view?agent_id=610d3f3370540700019b0833","138-06 Whitelaw St")</f>
        <v>138-06 Whitelaw St</v>
      </c>
      <c r="C3931" s="25" t="s">
        <v>370</v>
      </c>
      <c r="D3931" s="26" t="s">
        <v>23</v>
      </c>
      <c r="E3931" s="27" t="str">
        <f>HYPERLINK("https://www.compass.com/building/138-06-whitelaw-st-queens-ny-11417/293528330676825877/","138-06 Whitelaw St")</f>
        <v>138-06 Whitelaw St</v>
      </c>
      <c r="F3931" s="25" t="s">
        <v>323</v>
      </c>
      <c r="G3931" s="28">
        <v>459000.0</v>
      </c>
      <c r="H3931" s="28">
        <v>438.0</v>
      </c>
      <c r="I3931" s="28">
        <v>142.0</v>
      </c>
      <c r="J3931" s="28">
        <v>1700.0</v>
      </c>
      <c r="K3931" s="25" t="s">
        <v>97</v>
      </c>
      <c r="L3931" s="26">
        <v>6.0</v>
      </c>
      <c r="M3931" s="26">
        <v>2.0</v>
      </c>
      <c r="N3931" s="26">
        <v>1.0</v>
      </c>
      <c r="O3931" s="30"/>
      <c r="P3931" s="34">
        <v>1048.0</v>
      </c>
      <c r="Q3931" s="35">
        <v>153.0</v>
      </c>
      <c r="R3931" s="32">
        <v>45597.0</v>
      </c>
      <c r="S3931" s="32">
        <v>41169.0</v>
      </c>
      <c r="T3931" s="29"/>
      <c r="U3931" s="33"/>
      <c r="V3931" s="1"/>
    </row>
    <row r="3932" ht="24.0" customHeight="1">
      <c r="A3932" s="1"/>
      <c r="B3932" s="24" t="str">
        <f>HYPERLINK("https://www.compass.com/listing/144-park-unit-1-brooklyn-ny-11217/1299583251923731049/view?agent_id=610d3f3370540700019b0833","144 Park, Unit 1")</f>
        <v>144 Park, Unit 1</v>
      </c>
      <c r="C3932" s="25" t="s">
        <v>370</v>
      </c>
      <c r="D3932" s="26" t="s">
        <v>23</v>
      </c>
      <c r="E3932" s="26" t="s">
        <v>413</v>
      </c>
      <c r="F3932" s="25" t="s">
        <v>40</v>
      </c>
      <c r="G3932" s="28">
        <v>1195000.0</v>
      </c>
      <c r="H3932" s="29"/>
      <c r="I3932" s="28">
        <v>491.0</v>
      </c>
      <c r="J3932" s="29"/>
      <c r="K3932" s="25" t="s">
        <v>25</v>
      </c>
      <c r="L3932" s="26">
        <v>5.0</v>
      </c>
      <c r="M3932" s="26">
        <v>2.0</v>
      </c>
      <c r="N3932" s="26">
        <v>1.0</v>
      </c>
      <c r="O3932" s="30"/>
      <c r="P3932" s="30"/>
      <c r="Q3932" s="35">
        <v>22.0</v>
      </c>
      <c r="R3932" s="32">
        <v>44512.0</v>
      </c>
      <c r="S3932" s="32">
        <v>44259.0</v>
      </c>
      <c r="T3932" s="29"/>
      <c r="U3932" s="33"/>
      <c r="V3932" s="1"/>
    </row>
    <row r="3933" ht="24.0" customHeight="1">
      <c r="A3933" s="1"/>
      <c r="B3933" s="24" t="str">
        <f>HYPERLINK("https://www.compass.com/listing/1412-outlook-avenue-unit-1-bronx-ny-10465/1292167048930628185/view?agent_id=610d3f3370540700019b0833","1412 Outlook Ave, Unit 1")</f>
        <v>1412 Outlook Ave, Unit 1</v>
      </c>
      <c r="C3933" s="25" t="s">
        <v>370</v>
      </c>
      <c r="D3933" s="26" t="s">
        <v>23</v>
      </c>
      <c r="E3933" s="27" t="str">
        <f>HYPERLINK("https://www.compass.com/building/1412-outlook-ave-bronx-ny-10465/307433362360370709/","1412 Outlook Ave")</f>
        <v>1412 Outlook Ave</v>
      </c>
      <c r="F3933" s="25" t="s">
        <v>414</v>
      </c>
      <c r="G3933" s="28">
        <v>439000.0</v>
      </c>
      <c r="H3933" s="28">
        <v>424.0</v>
      </c>
      <c r="I3933" s="28">
        <v>413.0</v>
      </c>
      <c r="J3933" s="28">
        <v>546.0</v>
      </c>
      <c r="K3933" s="25" t="s">
        <v>28</v>
      </c>
      <c r="L3933" s="26">
        <v>6.0</v>
      </c>
      <c r="M3933" s="26">
        <v>2.0</v>
      </c>
      <c r="N3933" s="26">
        <v>1.0</v>
      </c>
      <c r="O3933" s="30"/>
      <c r="P3933" s="34">
        <v>1036.0</v>
      </c>
      <c r="Q3933" s="35">
        <v>76.0</v>
      </c>
      <c r="R3933" s="32">
        <v>45612.0</v>
      </c>
      <c r="S3933" s="32">
        <v>43005.0</v>
      </c>
      <c r="T3933" s="29"/>
      <c r="U3933" s="33"/>
      <c r="V3933" s="1"/>
    </row>
    <row r="3934" ht="24.0" customHeight="1">
      <c r="A3934" s="1"/>
      <c r="B3934" s="24" t="str">
        <f>HYPERLINK("https://www.compass.com/listing/214-25-hillside-avenue-unit-b-queens-ny-11427/1303771283943505353/view?agent_id=610d3f3370540700019b0833","214-25 Hillside Ave, Unit B")</f>
        <v>214-25 Hillside Ave, Unit B</v>
      </c>
      <c r="C3934" s="25" t="s">
        <v>365</v>
      </c>
      <c r="D3934" s="26" t="s">
        <v>23</v>
      </c>
      <c r="E3934" s="27" t="str">
        <f>HYPERLINK("https://www.compass.com/building/214-25-hillside-ave-queens-ny-11427/405237995113251733/","214-25 Hillside Ave")</f>
        <v>214-25 Hillside Ave</v>
      </c>
      <c r="F3934" s="25" t="s">
        <v>98</v>
      </c>
      <c r="G3934" s="28">
        <v>200000.0</v>
      </c>
      <c r="H3934" s="28">
        <v>234.0</v>
      </c>
      <c r="I3934" s="28">
        <v>905.0</v>
      </c>
      <c r="J3934" s="28">
        <v>0.0</v>
      </c>
      <c r="K3934" s="25" t="s">
        <v>25</v>
      </c>
      <c r="L3934" s="26">
        <v>5.0</v>
      </c>
      <c r="M3934" s="26">
        <v>2.0</v>
      </c>
      <c r="N3934" s="26">
        <v>1.0</v>
      </c>
      <c r="O3934" s="26">
        <v>0.0</v>
      </c>
      <c r="P3934" s="26">
        <v>854.0</v>
      </c>
      <c r="Q3934" s="35">
        <v>88.0</v>
      </c>
      <c r="R3934" s="32">
        <v>45139.0</v>
      </c>
      <c r="S3934" s="32">
        <v>45050.0</v>
      </c>
      <c r="T3934" s="29"/>
      <c r="U3934" s="33"/>
      <c r="V3934" s="1"/>
    </row>
    <row r="3935" ht="24.0" customHeight="1">
      <c r="A3935" s="1"/>
      <c r="B3935" s="24" t="str">
        <f>HYPERLINK("https://www.compass.com/listing/115-dahlgren-place-unit-2d-brooklyn-ny-11228/567850835756293561/view?agent_id=610d3f3370540700019b0833","115 Dahlgren Pl, Unit 2D")</f>
        <v>115 Dahlgren Pl, Unit 2D</v>
      </c>
      <c r="C3935" s="25" t="s">
        <v>365</v>
      </c>
      <c r="D3935" s="26" t="s">
        <v>23</v>
      </c>
      <c r="E3935" s="27" t="str">
        <f>HYPERLINK("https://www.compass.com/building/115-dahlgren-pl-brooklyn-ny-11228/293535031807308453/","115 Dahlgren Pl")</f>
        <v>115 Dahlgren Pl</v>
      </c>
      <c r="F3935" s="25" t="s">
        <v>197</v>
      </c>
      <c r="G3935" s="28">
        <v>600000.0</v>
      </c>
      <c r="H3935" s="28">
        <v>693.0</v>
      </c>
      <c r="I3935" s="28">
        <v>684.0</v>
      </c>
      <c r="J3935" s="28">
        <v>5304.0</v>
      </c>
      <c r="K3935" s="25" t="s">
        <v>28</v>
      </c>
      <c r="L3935" s="26">
        <v>5.0</v>
      </c>
      <c r="M3935" s="26">
        <v>2.0</v>
      </c>
      <c r="N3935" s="26">
        <v>1.0</v>
      </c>
      <c r="O3935" s="30"/>
      <c r="P3935" s="26">
        <v>866.0</v>
      </c>
      <c r="Q3935" s="31"/>
      <c r="R3935" s="32">
        <v>44047.0</v>
      </c>
      <c r="S3935" s="33"/>
      <c r="T3935" s="29"/>
      <c r="U3935" s="33"/>
      <c r="V3935" s="1"/>
    </row>
    <row r="3936" ht="24.0" customHeight="1">
      <c r="A3936" s="1"/>
      <c r="B3936" s="24" t="str">
        <f>HYPERLINK("https://www.compass.com/listing/279-bay-13th-street-brooklyn-ny-11214/1838906573997562753/view?agent_id=610d3f3370540700019b0833","279 Bay 13th St")</f>
        <v>279 Bay 13th St</v>
      </c>
      <c r="C3936" s="25" t="s">
        <v>364</v>
      </c>
      <c r="D3936" s="26" t="s">
        <v>23</v>
      </c>
      <c r="E3936" s="27" t="str">
        <f>HYPERLINK("https://www.compass.com/building/279-bay-13th-st-brooklyn-ny-11214/293418355791090341/","279 Bay 13th St")</f>
        <v>279 Bay 13th St</v>
      </c>
      <c r="F3936" s="25" t="s">
        <v>214</v>
      </c>
      <c r="G3936" s="28">
        <v>835000.0</v>
      </c>
      <c r="H3936" s="29"/>
      <c r="I3936" s="28">
        <v>499.0</v>
      </c>
      <c r="J3936" s="28">
        <v>5985.0</v>
      </c>
      <c r="K3936" s="25" t="s">
        <v>159</v>
      </c>
      <c r="L3936" s="26">
        <v>5.0</v>
      </c>
      <c r="M3936" s="26">
        <v>2.0</v>
      </c>
      <c r="N3936" s="26">
        <v>0.0</v>
      </c>
      <c r="O3936" s="26">
        <v>0.0</v>
      </c>
      <c r="P3936" s="30"/>
      <c r="Q3936" s="35">
        <v>27.0</v>
      </c>
      <c r="R3936" s="32">
        <v>45636.0</v>
      </c>
      <c r="S3936" s="32">
        <v>43271.0</v>
      </c>
      <c r="T3936" s="29"/>
      <c r="U3936" s="33"/>
      <c r="V3936" s="1"/>
    </row>
    <row r="3937" ht="24.0" customHeight="1">
      <c r="A3937" s="1"/>
      <c r="B3937" s="24" t="str">
        <f>HYPERLINK("https://www.compass.com/listing/90-83-98th-street-unit-4d-queens-ny-11421/652977167215896121/view?agent_id=610d3f3370540700019b0833","90-83 98th St, Unit 4D")</f>
        <v>90-83 98th St, Unit 4D</v>
      </c>
      <c r="C3937" s="25" t="s">
        <v>364</v>
      </c>
      <c r="D3937" s="26" t="s">
        <v>23</v>
      </c>
      <c r="E3937" s="26" t="s">
        <v>415</v>
      </c>
      <c r="F3937" s="25" t="s">
        <v>324</v>
      </c>
      <c r="G3937" s="28">
        <v>339000.0</v>
      </c>
      <c r="H3937" s="29"/>
      <c r="I3937" s="28">
        <v>625.0</v>
      </c>
      <c r="J3937" s="28">
        <v>0.0</v>
      </c>
      <c r="K3937" s="25" t="s">
        <v>25</v>
      </c>
      <c r="L3937" s="26">
        <v>5.0</v>
      </c>
      <c r="M3937" s="26">
        <v>2.0</v>
      </c>
      <c r="N3937" s="26">
        <v>1.0</v>
      </c>
      <c r="O3937" s="26">
        <v>0.0</v>
      </c>
      <c r="P3937" s="30"/>
      <c r="Q3937" s="35">
        <v>1.0</v>
      </c>
      <c r="R3937" s="32">
        <v>44153.0</v>
      </c>
      <c r="S3937" s="32">
        <v>44152.0</v>
      </c>
      <c r="T3937" s="29"/>
      <c r="U3937" s="33"/>
      <c r="V3937" s="1"/>
    </row>
    <row r="3938" ht="24.0" customHeight="1">
      <c r="A3938" s="1"/>
      <c r="B3938" s="24" t="str">
        <f>HYPERLINK("https://www.compass.com/listing/2695-shell-road-unit-1e-brooklyn-ny-11223/920577698157536897/view?agent_id=610d3f3370540700019b0833","2695 Shell Rd, Unit 1E")</f>
        <v>2695 Shell Rd, Unit 1E</v>
      </c>
      <c r="C3938" s="25" t="s">
        <v>364</v>
      </c>
      <c r="D3938" s="26" t="s">
        <v>23</v>
      </c>
      <c r="E3938" s="27" t="str">
        <f>HYPERLINK("https://www.compass.com/building/2695-shell-rd-brooklyn-ny-11223/293531476295793221/","2695 Shell Rd")</f>
        <v>2695 Shell Rd</v>
      </c>
      <c r="F3938" s="25" t="s">
        <v>173</v>
      </c>
      <c r="G3938" s="28">
        <v>359000.0</v>
      </c>
      <c r="H3938" s="28">
        <v>408.0</v>
      </c>
      <c r="I3938" s="28">
        <v>243.0</v>
      </c>
      <c r="J3938" s="28">
        <v>156.0</v>
      </c>
      <c r="K3938" s="25" t="s">
        <v>28</v>
      </c>
      <c r="L3938" s="26">
        <v>3.0</v>
      </c>
      <c r="M3938" s="26">
        <v>2.0</v>
      </c>
      <c r="N3938" s="26">
        <v>1.0</v>
      </c>
      <c r="O3938" s="26">
        <v>0.0</v>
      </c>
      <c r="P3938" s="26">
        <v>880.0</v>
      </c>
      <c r="Q3938" s="35">
        <v>307.0</v>
      </c>
      <c r="R3938" s="32">
        <v>45636.0</v>
      </c>
      <c r="S3938" s="32">
        <v>41445.0</v>
      </c>
      <c r="T3938" s="29"/>
      <c r="U3938" s="33"/>
      <c r="V3938" s="1"/>
    </row>
    <row r="3939" ht="24.0" customHeight="1">
      <c r="A3939" s="1"/>
      <c r="B3939" s="24" t="str">
        <f>HYPERLINK("https://www.compass.com/listing/230-park-unit-4e-brooklyn-ny-11238/1299518966790655401/view?agent_id=610d3f3370540700019b0833","230 Park, Unit 4E")</f>
        <v>230 Park, Unit 4E</v>
      </c>
      <c r="C3939" s="25" t="s">
        <v>370</v>
      </c>
      <c r="D3939" s="26" t="s">
        <v>23</v>
      </c>
      <c r="E3939" s="27" t="str">
        <f>HYPERLINK("https://www.compass.com/building/230-park-brooklyn-ny-11238/567652522850406053/","230 Park")</f>
        <v>230 Park</v>
      </c>
      <c r="F3939" s="25" t="s">
        <v>113</v>
      </c>
      <c r="G3939" s="28">
        <v>865000.0</v>
      </c>
      <c r="H3939" s="29"/>
      <c r="I3939" s="28">
        <v>1446.0</v>
      </c>
      <c r="J3939" s="29"/>
      <c r="K3939" s="25" t="s">
        <v>25</v>
      </c>
      <c r="L3939" s="26">
        <v>5.0</v>
      </c>
      <c r="M3939" s="26">
        <v>2.0</v>
      </c>
      <c r="N3939" s="26">
        <v>1.0</v>
      </c>
      <c r="O3939" s="30"/>
      <c r="P3939" s="30"/>
      <c r="Q3939" s="35">
        <v>67.0</v>
      </c>
      <c r="R3939" s="32">
        <v>44258.0</v>
      </c>
      <c r="S3939" s="32">
        <v>44054.0</v>
      </c>
      <c r="T3939" s="29"/>
      <c r="U3939" s="33"/>
      <c r="V3939" s="1"/>
    </row>
    <row r="3940" ht="24.0" customHeight="1">
      <c r="A3940" s="1"/>
      <c r="B3940" s="24" t="str">
        <f>HYPERLINK("https://www.compass.com/listing/115-dahlgren-place-unit-2d-brooklyn-ny-11228/1187043948386846537/view?agent_id=610d3f3370540700019b0833","115 Dahlgren Pl, Unit 2D")</f>
        <v>115 Dahlgren Pl, Unit 2D</v>
      </c>
      <c r="C3940" s="25" t="s">
        <v>370</v>
      </c>
      <c r="D3940" s="26" t="s">
        <v>23</v>
      </c>
      <c r="E3940" s="27" t="str">
        <f>HYPERLINK("https://www.compass.com/building/115-dahlgren-pl-brooklyn-ny-11228/293535031807308453/","115 Dahlgren Pl")</f>
        <v>115 Dahlgren Pl</v>
      </c>
      <c r="F3940" s="25" t="s">
        <v>197</v>
      </c>
      <c r="G3940" s="28">
        <v>616888.0</v>
      </c>
      <c r="H3940" s="28">
        <v>805.0</v>
      </c>
      <c r="I3940" s="28">
        <v>787.0</v>
      </c>
      <c r="J3940" s="28">
        <v>5640.0</v>
      </c>
      <c r="K3940" s="25" t="s">
        <v>28</v>
      </c>
      <c r="L3940" s="26">
        <v>5.0</v>
      </c>
      <c r="M3940" s="26">
        <v>2.0</v>
      </c>
      <c r="N3940" s="26">
        <v>1.0</v>
      </c>
      <c r="O3940" s="30"/>
      <c r="P3940" s="26">
        <v>766.0</v>
      </c>
      <c r="Q3940" s="35">
        <v>294.0</v>
      </c>
      <c r="R3940" s="32">
        <v>45201.0</v>
      </c>
      <c r="S3940" s="32">
        <v>44894.0</v>
      </c>
      <c r="T3940" s="29"/>
      <c r="U3940" s="33"/>
      <c r="V3940" s="1"/>
    </row>
    <row r="3941" ht="24.0" customHeight="1">
      <c r="A3941" s="1"/>
      <c r="B3941" s="24" t="str">
        <f>HYPERLINK("https://www.compass.com/listing/260-beach-81st-street-unit-4p-queens-ny-11693/1248183695601885097/view?agent_id=610d3f3370540700019b0833","260 Beach 81st St, Unit 4P")</f>
        <v>260 Beach 81st St, Unit 4P</v>
      </c>
      <c r="C3941" s="25" t="s">
        <v>364</v>
      </c>
      <c r="D3941" s="26" t="s">
        <v>23</v>
      </c>
      <c r="E3941" s="27" t="str">
        <f>HYPERLINK("https://www.compass.com/building/260-beach-81st-st-queens-ny-11693/307435657970099941/","260 Beach 81st St")</f>
        <v>260 Beach 81st St</v>
      </c>
      <c r="F3941" s="25" t="s">
        <v>35</v>
      </c>
      <c r="G3941" s="28">
        <v>259000.0</v>
      </c>
      <c r="H3941" s="28">
        <v>288.0</v>
      </c>
      <c r="I3941" s="28">
        <v>418.0</v>
      </c>
      <c r="J3941" s="28">
        <v>84.0</v>
      </c>
      <c r="K3941" s="25" t="s">
        <v>28</v>
      </c>
      <c r="L3941" s="26">
        <v>4.0</v>
      </c>
      <c r="M3941" s="26">
        <v>2.0</v>
      </c>
      <c r="N3941" s="26">
        <v>0.0</v>
      </c>
      <c r="O3941" s="26">
        <v>0.0</v>
      </c>
      <c r="P3941" s="26">
        <v>900.0</v>
      </c>
      <c r="Q3941" s="35">
        <v>68.0</v>
      </c>
      <c r="R3941" s="32">
        <v>45636.0</v>
      </c>
      <c r="S3941" s="32">
        <v>41593.0</v>
      </c>
      <c r="T3941" s="29"/>
      <c r="U3941" s="33"/>
      <c r="V3941" s="1"/>
    </row>
    <row r="3942" ht="24.0" customHeight="1">
      <c r="A3942" s="1"/>
      <c r="B3942" s="24" t="str">
        <f>HYPERLINK("https://www.compass.com/listing/2695-shell-road-unit-1e-brooklyn-ny-11223/886954554154221121/view?agent_id=610d3f3370540700019b0833","2695 Shell Rd, Unit 1E")</f>
        <v>2695 Shell Rd, Unit 1E</v>
      </c>
      <c r="C3942" s="25" t="s">
        <v>364</v>
      </c>
      <c r="D3942" s="26" t="s">
        <v>23</v>
      </c>
      <c r="E3942" s="27" t="str">
        <f>HYPERLINK("https://www.compass.com/building/2695-shell-rd-brooklyn-ny-11223/293531476295793221/","2695 Shell Rd")</f>
        <v>2695 Shell Rd</v>
      </c>
      <c r="F3942" s="25" t="s">
        <v>173</v>
      </c>
      <c r="G3942" s="28">
        <v>359000.0</v>
      </c>
      <c r="H3942" s="28">
        <v>408.0</v>
      </c>
      <c r="I3942" s="28">
        <v>243.0</v>
      </c>
      <c r="J3942" s="28">
        <v>156.0</v>
      </c>
      <c r="K3942" s="25" t="s">
        <v>28</v>
      </c>
      <c r="L3942" s="26">
        <v>3.0</v>
      </c>
      <c r="M3942" s="26">
        <v>2.0</v>
      </c>
      <c r="N3942" s="26">
        <v>1.0</v>
      </c>
      <c r="O3942" s="26">
        <v>0.0</v>
      </c>
      <c r="P3942" s="26">
        <v>880.0</v>
      </c>
      <c r="Q3942" s="31"/>
      <c r="R3942" s="32">
        <v>44581.0</v>
      </c>
      <c r="S3942" s="33"/>
      <c r="T3942" s="29"/>
      <c r="U3942" s="33"/>
      <c r="V3942" s="1"/>
    </row>
    <row r="3943" ht="24.0" customHeight="1">
      <c r="A3943" s="1"/>
      <c r="B3943" s="24" t="str">
        <f>HYPERLINK("https://www.compass.com/listing/171-19-crocheron-avenue-unit-53-queens-ny-11358/1144997238447093833/view?agent_id=610d3f3370540700019b0833","171-19 Crocheron Ave, Unit 53")</f>
        <v>171-19 Crocheron Ave, Unit 53</v>
      </c>
      <c r="C3943" s="25" t="s">
        <v>370</v>
      </c>
      <c r="D3943" s="26" t="s">
        <v>23</v>
      </c>
      <c r="E3943" s="27" t="str">
        <f>HYPERLINK("https://www.compass.com/building/171-19-crocheron-ave-queens-ny-11358/307456310060582453/","171-19 Crocheron Ave")</f>
        <v>171-19 Crocheron Ave</v>
      </c>
      <c r="F3943" s="25" t="s">
        <v>160</v>
      </c>
      <c r="G3943" s="28">
        <v>320000.0</v>
      </c>
      <c r="H3943" s="29"/>
      <c r="I3943" s="28">
        <v>1165.0</v>
      </c>
      <c r="J3943" s="28">
        <v>0.0</v>
      </c>
      <c r="K3943" s="25" t="s">
        <v>25</v>
      </c>
      <c r="L3943" s="26">
        <v>5.0</v>
      </c>
      <c r="M3943" s="26">
        <v>2.0</v>
      </c>
      <c r="N3943" s="26">
        <v>1.0</v>
      </c>
      <c r="O3943" s="26">
        <v>0.0</v>
      </c>
      <c r="P3943" s="30"/>
      <c r="Q3943" s="35">
        <v>185.0</v>
      </c>
      <c r="R3943" s="32">
        <v>45017.0</v>
      </c>
      <c r="S3943" s="32">
        <v>44831.0</v>
      </c>
      <c r="T3943" s="29"/>
      <c r="U3943" s="33"/>
      <c r="V3943" s="1"/>
    </row>
    <row r="3944" ht="24.0" customHeight="1">
      <c r="A3944" s="1"/>
      <c r="B3944" s="24" t="str">
        <f>HYPERLINK("https://www.compass.com/listing/135-28th-avenue-unit-3b-brooklyn-ny-11214/29512759259486337/view?agent_id=610d3f3370540700019b0833","135 28th Ave, Unit 3B")</f>
        <v>135 28th Ave, Unit 3B</v>
      </c>
      <c r="C3944" s="25" t="s">
        <v>370</v>
      </c>
      <c r="D3944" s="26" t="s">
        <v>23</v>
      </c>
      <c r="E3944" s="27" t="str">
        <f>HYPERLINK("https://www.compass.com/building/135-28th-ave-brooklyn-ny-11214/293530250535630629/","135 28th Ave")</f>
        <v>135 28th Ave</v>
      </c>
      <c r="F3944" s="25" t="s">
        <v>173</v>
      </c>
      <c r="G3944" s="28">
        <v>499000.0</v>
      </c>
      <c r="H3944" s="28">
        <v>454.0</v>
      </c>
      <c r="I3944" s="28">
        <v>200.0</v>
      </c>
      <c r="J3944" s="29"/>
      <c r="K3944" s="25" t="s">
        <v>28</v>
      </c>
      <c r="L3944" s="26">
        <v>5.0</v>
      </c>
      <c r="M3944" s="26">
        <v>2.0</v>
      </c>
      <c r="N3944" s="26">
        <v>0.0</v>
      </c>
      <c r="O3944" s="26">
        <v>0.0</v>
      </c>
      <c r="P3944" s="34">
        <v>1100.0</v>
      </c>
      <c r="Q3944" s="35">
        <v>0.0</v>
      </c>
      <c r="R3944" s="32">
        <v>44581.0</v>
      </c>
      <c r="S3944" s="32">
        <v>41513.0</v>
      </c>
      <c r="T3944" s="29"/>
      <c r="U3944" s="33"/>
      <c r="V3944" s="1"/>
    </row>
    <row r="3945" ht="24.0" customHeight="1">
      <c r="A3945" s="1"/>
      <c r="B3945" s="24" t="str">
        <f>HYPERLINK("https://www.compass.com/listing/2695-shell-road-unit-1f-brooklyn-ny-11223/1248218205932338697/view?agent_id=610d3f3370540700019b0833","2695 Shell Rd, Unit 1F")</f>
        <v>2695 Shell Rd, Unit 1F</v>
      </c>
      <c r="C3945" s="25" t="s">
        <v>364</v>
      </c>
      <c r="D3945" s="26" t="s">
        <v>23</v>
      </c>
      <c r="E3945" s="27" t="str">
        <f>HYPERLINK("https://www.compass.com/building/2695-shell-rd-brooklyn-ny-11223/293531476295793221/","2695 Shell Rd")</f>
        <v>2695 Shell Rd</v>
      </c>
      <c r="F3945" s="25" t="s">
        <v>173</v>
      </c>
      <c r="G3945" s="28">
        <v>385000.0</v>
      </c>
      <c r="H3945" s="28">
        <v>461.0</v>
      </c>
      <c r="I3945" s="28">
        <v>243.0</v>
      </c>
      <c r="J3945" s="28">
        <v>156.0</v>
      </c>
      <c r="K3945" s="25" t="s">
        <v>28</v>
      </c>
      <c r="L3945" s="26">
        <v>3.0</v>
      </c>
      <c r="M3945" s="26">
        <v>2.0</v>
      </c>
      <c r="N3945" s="26">
        <v>1.0</v>
      </c>
      <c r="O3945" s="26">
        <v>0.0</v>
      </c>
      <c r="P3945" s="26">
        <v>835.0</v>
      </c>
      <c r="Q3945" s="35">
        <v>307.0</v>
      </c>
      <c r="R3945" s="32">
        <v>45636.0</v>
      </c>
      <c r="S3945" s="32">
        <v>41445.0</v>
      </c>
      <c r="T3945" s="29"/>
      <c r="U3945" s="33"/>
      <c r="V3945" s="1"/>
    </row>
    <row r="3946" ht="24.0" customHeight="1">
      <c r="A3946" s="1"/>
      <c r="B3946" s="24" t="str">
        <f>HYPERLINK("https://www.compass.com/listing/909-east-29th-street-unit-6d-brooklyn-ny-11210/333352934640938033/view?agent_id=610d3f3370540700019b0833","909 E 29th St, Unit 6D")</f>
        <v>909 E 29th St, Unit 6D</v>
      </c>
      <c r="C3946" s="25" t="s">
        <v>364</v>
      </c>
      <c r="D3946" s="26" t="s">
        <v>23</v>
      </c>
      <c r="E3946" s="27" t="str">
        <f>HYPERLINK("https://www.compass.com/building/909-e-29th-st-brooklyn-ny-11210/293529122150322469/","909 E 29th St")</f>
        <v>909 E 29th St</v>
      </c>
      <c r="F3946" s="25" t="s">
        <v>34</v>
      </c>
      <c r="G3946" s="28">
        <v>369000.0</v>
      </c>
      <c r="H3946" s="29"/>
      <c r="I3946" s="28">
        <v>745.0</v>
      </c>
      <c r="J3946" s="29"/>
      <c r="K3946" s="25" t="s">
        <v>25</v>
      </c>
      <c r="L3946" s="26">
        <v>5.0</v>
      </c>
      <c r="M3946" s="26">
        <v>2.0</v>
      </c>
      <c r="N3946" s="26">
        <v>1.0</v>
      </c>
      <c r="O3946" s="26">
        <v>0.0</v>
      </c>
      <c r="P3946" s="30"/>
      <c r="Q3946" s="35">
        <v>22.0</v>
      </c>
      <c r="R3946" s="32">
        <v>45636.0</v>
      </c>
      <c r="S3946" s="32">
        <v>43711.0</v>
      </c>
      <c r="T3946" s="29"/>
      <c r="U3946" s="33"/>
      <c r="V3946" s="1"/>
    </row>
    <row r="3947" ht="24.0" customHeight="1">
      <c r="A3947" s="1"/>
      <c r="B3947" s="24" t="str">
        <f>HYPERLINK("https://www.compass.com/listing/167-park-unit-4-brooklyn-ny-11238/1299489755686286209/view?agent_id=610d3f3370540700019b0833","167 Park, Unit 4")</f>
        <v>167 Park, Unit 4</v>
      </c>
      <c r="C3947" s="25" t="s">
        <v>370</v>
      </c>
      <c r="D3947" s="26" t="s">
        <v>23</v>
      </c>
      <c r="E3947" s="26" t="s">
        <v>416</v>
      </c>
      <c r="F3947" s="25" t="s">
        <v>113</v>
      </c>
      <c r="G3947" s="28">
        <v>550000.0</v>
      </c>
      <c r="H3947" s="29"/>
      <c r="I3947" s="28">
        <v>1345.0</v>
      </c>
      <c r="J3947" s="29"/>
      <c r="K3947" s="25" t="s">
        <v>25</v>
      </c>
      <c r="L3947" s="26">
        <v>4.0</v>
      </c>
      <c r="M3947" s="26">
        <v>2.0</v>
      </c>
      <c r="N3947" s="26">
        <v>1.0</v>
      </c>
      <c r="O3947" s="30"/>
      <c r="P3947" s="30"/>
      <c r="Q3947" s="35">
        <v>92.0</v>
      </c>
      <c r="R3947" s="32">
        <v>45027.0</v>
      </c>
      <c r="S3947" s="32">
        <v>44148.0</v>
      </c>
      <c r="T3947" s="29"/>
      <c r="U3947" s="33"/>
      <c r="V3947" s="1"/>
    </row>
    <row r="3948" ht="24.0" customHeight="1">
      <c r="A3948" s="1"/>
      <c r="B3948" s="24" t="str">
        <f>HYPERLINK("https://www.compass.com/listing/2695-shell-road-unit-1g-brooklyn-ny-11223/1110818172699039057/view?agent_id=610d3f3370540700019b0833","2695 Shell Rd, Unit 1G")</f>
        <v>2695 Shell Rd, Unit 1G</v>
      </c>
      <c r="C3948" s="25" t="s">
        <v>364</v>
      </c>
      <c r="D3948" s="26" t="s">
        <v>23</v>
      </c>
      <c r="E3948" s="27" t="str">
        <f t="shared" ref="E3948:E3949" si="150">HYPERLINK("https://www.compass.com/building/2695-shell-rd-brooklyn-ny-11223/293531476295793221/","2695 Shell Rd")</f>
        <v>2695 Shell Rd</v>
      </c>
      <c r="F3948" s="25" t="s">
        <v>173</v>
      </c>
      <c r="G3948" s="28">
        <v>385000.0</v>
      </c>
      <c r="H3948" s="29"/>
      <c r="I3948" s="28">
        <v>243.0</v>
      </c>
      <c r="J3948" s="28">
        <v>156.0</v>
      </c>
      <c r="K3948" s="25" t="s">
        <v>28</v>
      </c>
      <c r="L3948" s="26">
        <v>3.0</v>
      </c>
      <c r="M3948" s="26">
        <v>2.0</v>
      </c>
      <c r="N3948" s="26">
        <v>1.0</v>
      </c>
      <c r="O3948" s="26">
        <v>0.0</v>
      </c>
      <c r="P3948" s="30"/>
      <c r="Q3948" s="31"/>
      <c r="R3948" s="32">
        <v>44581.0</v>
      </c>
      <c r="S3948" s="33"/>
      <c r="T3948" s="29"/>
      <c r="U3948" s="33"/>
      <c r="V3948" s="1"/>
    </row>
    <row r="3949" ht="24.0" customHeight="1">
      <c r="A3949" s="1"/>
      <c r="B3949" s="24" t="str">
        <f>HYPERLINK("https://www.compass.com/listing/2695-shell-road-unit-1g-brooklyn-ny-11223/1838955062114611441/view?agent_id=610d3f3370540700019b0833","2695 Shell Rd, Unit 1G")</f>
        <v>2695 Shell Rd, Unit 1G</v>
      </c>
      <c r="C3949" s="25" t="s">
        <v>364</v>
      </c>
      <c r="D3949" s="26" t="s">
        <v>23</v>
      </c>
      <c r="E3949" s="27" t="str">
        <f t="shared" si="150"/>
        <v>2695 Shell Rd</v>
      </c>
      <c r="F3949" s="25" t="s">
        <v>173</v>
      </c>
      <c r="G3949" s="28">
        <v>385000.0</v>
      </c>
      <c r="H3949" s="29"/>
      <c r="I3949" s="28">
        <v>243.0</v>
      </c>
      <c r="J3949" s="28">
        <v>156.0</v>
      </c>
      <c r="K3949" s="25" t="s">
        <v>28</v>
      </c>
      <c r="L3949" s="26">
        <v>3.0</v>
      </c>
      <c r="M3949" s="26">
        <v>2.0</v>
      </c>
      <c r="N3949" s="26">
        <v>1.0</v>
      </c>
      <c r="O3949" s="26">
        <v>0.0</v>
      </c>
      <c r="P3949" s="30"/>
      <c r="Q3949" s="35">
        <v>307.0</v>
      </c>
      <c r="R3949" s="32">
        <v>45636.0</v>
      </c>
      <c r="S3949" s="32">
        <v>41445.0</v>
      </c>
      <c r="T3949" s="29"/>
      <c r="U3949" s="33"/>
      <c r="V3949" s="1"/>
    </row>
    <row r="3950" ht="24.0" customHeight="1">
      <c r="A3950" s="1"/>
      <c r="B3950" s="24" t="str">
        <f>HYPERLINK("https://www.compass.com/listing/90-50-union-turnpike-unit-9j-queens-ny-11385/1727044401209405657/view?agent_id=610d3f3370540700019b0833","90-50 Union Tpke, Unit 9J")</f>
        <v>90-50 Union Tpke, Unit 9J</v>
      </c>
      <c r="C3950" s="25" t="s">
        <v>370</v>
      </c>
      <c r="D3950" s="26" t="s">
        <v>23</v>
      </c>
      <c r="E3950" s="27" t="str">
        <f>HYPERLINK("https://www.compass.com/building/90-50-union-tpke-queens-ny-11385/307460653790633365/","90-50 Union Tpke")</f>
        <v>90-50 Union Tpke</v>
      </c>
      <c r="F3950" s="25" t="s">
        <v>168</v>
      </c>
      <c r="G3950" s="28">
        <v>300000.0</v>
      </c>
      <c r="H3950" s="29"/>
      <c r="I3950" s="28">
        <v>211.0</v>
      </c>
      <c r="J3950" s="28">
        <v>0.0</v>
      </c>
      <c r="K3950" s="25" t="s">
        <v>25</v>
      </c>
      <c r="L3950" s="26">
        <v>5.0</v>
      </c>
      <c r="M3950" s="26">
        <v>2.0</v>
      </c>
      <c r="N3950" s="26">
        <v>1.0</v>
      </c>
      <c r="O3950" s="30"/>
      <c r="P3950" s="30"/>
      <c r="Q3950" s="35">
        <v>184.0</v>
      </c>
      <c r="R3950" s="32">
        <v>45634.0</v>
      </c>
      <c r="S3950" s="32">
        <v>42242.0</v>
      </c>
      <c r="T3950" s="29"/>
      <c r="U3950" s="33"/>
      <c r="V3950" s="1"/>
    </row>
    <row r="3951" ht="24.0" customHeight="1">
      <c r="A3951" s="1"/>
      <c r="B3951" s="24" t="str">
        <f>HYPERLINK("https://www.compass.com/listing/2483-west-16th-street-unit-12e-brooklyn-ny-11214/1248206349137668353/view?agent_id=610d3f3370540700019b0833","2483 W 16th St, Unit 12E")</f>
        <v>2483 W 16th St, Unit 12E</v>
      </c>
      <c r="C3951" s="25" t="s">
        <v>364</v>
      </c>
      <c r="D3951" s="26" t="s">
        <v>23</v>
      </c>
      <c r="E3951" s="27" t="str">
        <f>HYPERLINK("https://www.compass.com/building/2483-w-16th-st-brooklyn-ny-11214/307458531313475429/","2483 W 16th St")</f>
        <v>2483 W 16th St</v>
      </c>
      <c r="F3951" s="25" t="s">
        <v>173</v>
      </c>
      <c r="G3951" s="28">
        <v>289000.0</v>
      </c>
      <c r="H3951" s="28">
        <v>289.0</v>
      </c>
      <c r="I3951" s="28">
        <v>850.0</v>
      </c>
      <c r="J3951" s="29"/>
      <c r="K3951" s="25" t="s">
        <v>25</v>
      </c>
      <c r="L3951" s="26">
        <v>5.0</v>
      </c>
      <c r="M3951" s="26">
        <v>2.0</v>
      </c>
      <c r="N3951" s="26">
        <v>1.0</v>
      </c>
      <c r="O3951" s="26">
        <v>0.0</v>
      </c>
      <c r="P3951" s="34">
        <v>1000.0</v>
      </c>
      <c r="Q3951" s="35">
        <v>0.0</v>
      </c>
      <c r="R3951" s="32">
        <v>44581.0</v>
      </c>
      <c r="S3951" s="32">
        <v>43474.0</v>
      </c>
      <c r="T3951" s="29"/>
      <c r="U3951" s="33"/>
      <c r="V3951" s="1"/>
    </row>
    <row r="3952" ht="24.0" customHeight="1">
      <c r="A3952" s="1"/>
      <c r="B3952" s="24" t="str">
        <f>HYPERLINK("https://www.compass.com/listing/1212-ocean-avenue-unit-3h-brooklyn-ny-11230/197112552927281025/view?agent_id=610d3f3370540700019b0833","1212 Ocean Ave, Unit 3H")</f>
        <v>1212 Ocean Ave, Unit 3H</v>
      </c>
      <c r="C3952" s="25" t="s">
        <v>364</v>
      </c>
      <c r="D3952" s="26" t="s">
        <v>23</v>
      </c>
      <c r="E3952" s="27" t="str">
        <f t="shared" ref="E3952:E3953" si="151">HYPERLINK("https://www.compass.com/building/leon-hall-brooklyn-ny/293416830423379093/","Leon Hall")</f>
        <v>Leon Hall</v>
      </c>
      <c r="F3952" s="25" t="s">
        <v>417</v>
      </c>
      <c r="G3952" s="28">
        <v>350000.0</v>
      </c>
      <c r="H3952" s="29"/>
      <c r="I3952" s="28">
        <v>572.0</v>
      </c>
      <c r="J3952" s="29"/>
      <c r="K3952" s="25" t="s">
        <v>25</v>
      </c>
      <c r="L3952" s="26">
        <v>4.0</v>
      </c>
      <c r="M3952" s="26">
        <v>2.0</v>
      </c>
      <c r="N3952" s="26">
        <v>1.0</v>
      </c>
      <c r="O3952" s="26">
        <v>0.0</v>
      </c>
      <c r="P3952" s="30"/>
      <c r="Q3952" s="35">
        <v>31.0</v>
      </c>
      <c r="R3952" s="32">
        <v>45636.0</v>
      </c>
      <c r="S3952" s="32">
        <v>43528.0</v>
      </c>
      <c r="T3952" s="29"/>
      <c r="U3952" s="33"/>
      <c r="V3952" s="1"/>
    </row>
    <row r="3953" ht="24.0" customHeight="1">
      <c r="A3953" s="1"/>
      <c r="B3953" s="24" t="str">
        <f>HYPERLINK("https://www.compass.com/listing/1212-ocean-avenue-unit-3h-brooklyn-ny-11230/284238265756681393/view?agent_id=610d3f3370540700019b0833","1212 Ocean Ave, Unit 3H")</f>
        <v>1212 Ocean Ave, Unit 3H</v>
      </c>
      <c r="C3953" s="25" t="s">
        <v>364</v>
      </c>
      <c r="D3953" s="26" t="s">
        <v>23</v>
      </c>
      <c r="E3953" s="27" t="str">
        <f t="shared" si="151"/>
        <v>Leon Hall</v>
      </c>
      <c r="F3953" s="25" t="s">
        <v>417</v>
      </c>
      <c r="G3953" s="28">
        <v>325000.0</v>
      </c>
      <c r="H3953" s="29"/>
      <c r="I3953" s="28">
        <v>571.0</v>
      </c>
      <c r="J3953" s="28">
        <v>0.0</v>
      </c>
      <c r="K3953" s="25" t="s">
        <v>25</v>
      </c>
      <c r="L3953" s="26">
        <v>4.0</v>
      </c>
      <c r="M3953" s="26">
        <v>2.0</v>
      </c>
      <c r="N3953" s="26">
        <v>1.0</v>
      </c>
      <c r="O3953" s="26">
        <v>0.0</v>
      </c>
      <c r="P3953" s="30"/>
      <c r="Q3953" s="35">
        <v>74.0</v>
      </c>
      <c r="R3953" s="32">
        <v>43718.0</v>
      </c>
      <c r="S3953" s="32">
        <v>43644.0</v>
      </c>
      <c r="T3953" s="29"/>
      <c r="U3953" s="33"/>
      <c r="V3953" s="1"/>
    </row>
    <row r="3954" ht="24.0" customHeight="1">
      <c r="A3954" s="1"/>
      <c r="B3954" s="24" t="str">
        <f>HYPERLINK("https://www.compass.com/listing/222-park-unit-4c-brooklyn-ny-11238/1299550505691560121/view?agent_id=610d3f3370540700019b0833","222 Park, Unit 4C")</f>
        <v>222 Park, Unit 4C</v>
      </c>
      <c r="C3954" s="25" t="s">
        <v>370</v>
      </c>
      <c r="D3954" s="26" t="s">
        <v>23</v>
      </c>
      <c r="E3954" s="27" t="str">
        <f>HYPERLINK("https://www.compass.com/building/222-park-brooklyn-ny-11238/567494692465958157/","222 Park")</f>
        <v>222 Park</v>
      </c>
      <c r="F3954" s="25" t="s">
        <v>113</v>
      </c>
      <c r="G3954" s="28">
        <v>1600000.0</v>
      </c>
      <c r="H3954" s="28">
        <v>1067.0</v>
      </c>
      <c r="I3954" s="28">
        <v>937.0</v>
      </c>
      <c r="J3954" s="28">
        <v>84.0</v>
      </c>
      <c r="K3954" s="25" t="s">
        <v>28</v>
      </c>
      <c r="L3954" s="26">
        <v>5.0</v>
      </c>
      <c r="M3954" s="26">
        <v>2.0</v>
      </c>
      <c r="N3954" s="26">
        <v>1.0</v>
      </c>
      <c r="O3954" s="30"/>
      <c r="P3954" s="34">
        <v>1500.0</v>
      </c>
      <c r="Q3954" s="35">
        <v>36.0</v>
      </c>
      <c r="R3954" s="32">
        <v>43877.0</v>
      </c>
      <c r="S3954" s="32">
        <v>43790.0</v>
      </c>
      <c r="T3954" s="29"/>
      <c r="U3954" s="33"/>
      <c r="V3954" s="1"/>
    </row>
    <row r="3955" ht="24.0" customHeight="1">
      <c r="A3955" s="1"/>
      <c r="B3955" s="24" t="str">
        <f>HYPERLINK("https://www.compass.com/listing/21-37-east-33rd-street-unit-5b-brooklyn-ny-11234/1517567264624449401/view?agent_id=610d3f3370540700019b0833","21-37 E 33rd St, Unit 5B")</f>
        <v>21-37 E 33rd St, Unit 5B</v>
      </c>
      <c r="C3955" s="25" t="s">
        <v>365</v>
      </c>
      <c r="D3955" s="26" t="s">
        <v>23</v>
      </c>
      <c r="E3955" s="26" t="s">
        <v>418</v>
      </c>
      <c r="F3955" s="25" t="s">
        <v>303</v>
      </c>
      <c r="G3955" s="28">
        <v>260000.0</v>
      </c>
      <c r="H3955" s="28">
        <v>347.0</v>
      </c>
      <c r="I3955" s="28">
        <v>1200.0</v>
      </c>
      <c r="J3955" s="29"/>
      <c r="K3955" s="25" t="s">
        <v>25</v>
      </c>
      <c r="L3955" s="26">
        <v>4.0</v>
      </c>
      <c r="M3955" s="26">
        <v>2.0</v>
      </c>
      <c r="N3955" s="26">
        <v>1.0</v>
      </c>
      <c r="O3955" s="30"/>
      <c r="P3955" s="26">
        <v>750.0</v>
      </c>
      <c r="Q3955" s="35">
        <v>286.0</v>
      </c>
      <c r="R3955" s="32">
        <v>45807.0</v>
      </c>
      <c r="S3955" s="32">
        <v>45345.0</v>
      </c>
      <c r="T3955" s="29"/>
      <c r="U3955" s="33"/>
      <c r="V3955" s="1"/>
    </row>
    <row r="3956" ht="24.0" customHeight="1">
      <c r="A3956" s="1"/>
      <c r="B3956" s="24" t="str">
        <f>HYPERLINK("https://www.compass.com/listing/1195-ocean-parkway-unit-6a-brooklyn-ny-11230/79553230194882353/view?agent_id=610d3f3370540700019b0833","1195 Ocean Pkwy, Unit 6A")</f>
        <v>1195 Ocean Pkwy, Unit 6A</v>
      </c>
      <c r="C3956" s="25" t="s">
        <v>364</v>
      </c>
      <c r="D3956" s="26" t="s">
        <v>23</v>
      </c>
      <c r="E3956" s="27" t="str">
        <f>HYPERLINK("https://www.compass.com/building/1195-ocean-pkwy-brooklyn-ny-11230/307457039047408517/","1195 Ocean Pkwy")</f>
        <v>1195 Ocean Pkwy</v>
      </c>
      <c r="F3956" s="25" t="s">
        <v>34</v>
      </c>
      <c r="G3956" s="28">
        <v>1250000.0</v>
      </c>
      <c r="H3956" s="28">
        <v>794.0</v>
      </c>
      <c r="I3956" s="28">
        <v>1117.0</v>
      </c>
      <c r="J3956" s="28">
        <v>540.0</v>
      </c>
      <c r="K3956" s="25" t="s">
        <v>28</v>
      </c>
      <c r="L3956" s="26">
        <v>5.0</v>
      </c>
      <c r="M3956" s="26">
        <v>2.0</v>
      </c>
      <c r="N3956" s="26">
        <v>0.0</v>
      </c>
      <c r="O3956" s="26">
        <v>0.0</v>
      </c>
      <c r="P3956" s="34">
        <v>1574.0</v>
      </c>
      <c r="Q3956" s="35">
        <v>86.0</v>
      </c>
      <c r="R3956" s="32">
        <v>44581.0</v>
      </c>
      <c r="S3956" s="32">
        <v>42084.0</v>
      </c>
      <c r="T3956" s="29"/>
      <c r="U3956" s="33"/>
      <c r="V3956" s="1"/>
    </row>
    <row r="3957" ht="24.0" customHeight="1">
      <c r="A3957" s="1"/>
      <c r="B3957" s="24" t="str">
        <f>HYPERLINK("https://www.compass.com/listing/1855-east-12th-street-unit-6j-brooklyn-ny-11229/1260806028581018993/view?agent_id=610d3f3370540700019b0833","1855 E 12th St, Unit 6J")</f>
        <v>1855 E 12th St, Unit 6J</v>
      </c>
      <c r="C3957" s="25" t="s">
        <v>364</v>
      </c>
      <c r="D3957" s="26" t="s">
        <v>23</v>
      </c>
      <c r="E3957" s="27" t="str">
        <f>HYPERLINK("https://www.compass.com/building/1855-e-12th-st-brooklyn-ny-11229/293417708962314373/","1855 E 12th St")</f>
        <v>1855 E 12th St</v>
      </c>
      <c r="F3957" s="25" t="s">
        <v>318</v>
      </c>
      <c r="G3957" s="28">
        <v>435000.0</v>
      </c>
      <c r="H3957" s="29"/>
      <c r="I3957" s="28">
        <v>728.0</v>
      </c>
      <c r="J3957" s="28">
        <v>0.0</v>
      </c>
      <c r="K3957" s="25" t="s">
        <v>25</v>
      </c>
      <c r="L3957" s="26">
        <v>4.0</v>
      </c>
      <c r="M3957" s="26">
        <v>2.0</v>
      </c>
      <c r="N3957" s="26">
        <v>1.0</v>
      </c>
      <c r="O3957" s="30"/>
      <c r="P3957" s="30"/>
      <c r="Q3957" s="35">
        <v>120.0</v>
      </c>
      <c r="R3957" s="32">
        <v>45112.0</v>
      </c>
      <c r="S3957" s="32">
        <v>44991.0</v>
      </c>
      <c r="T3957" s="29"/>
      <c r="U3957" s="33"/>
      <c r="V3957" s="1"/>
    </row>
    <row r="3958" ht="24.0" customHeight="1">
      <c r="A3958" s="1"/>
      <c r="B3958" s="24" t="str">
        <f>HYPERLINK("https://www.compass.com/listing/151-31-88th-street-unit-3b-queens-ny-11414/551511827568284553/view?agent_id=610d3f3370540700019b0833","151-31 88th St, Unit 3B")</f>
        <v>151-31 88th St, Unit 3B</v>
      </c>
      <c r="C3958" s="25" t="s">
        <v>370</v>
      </c>
      <c r="D3958" s="26" t="s">
        <v>23</v>
      </c>
      <c r="E3958" s="27" t="str">
        <f>HYPERLINK("https://www.compass.com/building/151-31-88th-st-queens-ny-11414/307434779716381125/","151-31 88th St")</f>
        <v>151-31 88th St</v>
      </c>
      <c r="F3958" s="25" t="s">
        <v>212</v>
      </c>
      <c r="G3958" s="28">
        <v>234990.0</v>
      </c>
      <c r="H3958" s="29"/>
      <c r="I3958" s="28">
        <v>968.0</v>
      </c>
      <c r="J3958" s="28">
        <v>0.0</v>
      </c>
      <c r="K3958" s="25" t="s">
        <v>25</v>
      </c>
      <c r="L3958" s="26">
        <v>4.0</v>
      </c>
      <c r="M3958" s="26">
        <v>2.0</v>
      </c>
      <c r="N3958" s="26">
        <v>1.0</v>
      </c>
      <c r="O3958" s="30"/>
      <c r="P3958" s="30"/>
      <c r="Q3958" s="35">
        <v>178.0</v>
      </c>
      <c r="R3958" s="32">
        <v>45597.0</v>
      </c>
      <c r="S3958" s="32">
        <v>44012.0</v>
      </c>
      <c r="T3958" s="29"/>
      <c r="U3958" s="33"/>
      <c r="V3958" s="1"/>
    </row>
    <row r="3959" ht="24.0" customHeight="1">
      <c r="A3959" s="1"/>
      <c r="B3959" s="24" t="str">
        <f>HYPERLINK("https://www.compass.com/listing/88-08-151st-avenue-unit-3b-queens-ny-11414/1034887963092332617/view?agent_id=610d3f3370540700019b0833","88-08 151st Ave, Unit 3B")</f>
        <v>88-08 151st Ave, Unit 3B</v>
      </c>
      <c r="C3959" s="25" t="s">
        <v>370</v>
      </c>
      <c r="D3959" s="26" t="s">
        <v>23</v>
      </c>
      <c r="E3959" s="27" t="str">
        <f>HYPERLINK("https://www.compass.com/building/88-08-151st-ave-queens-ny-11414/293531537993899541/","88-08 151st Ave")</f>
        <v>88-08 151st Ave</v>
      </c>
      <c r="F3959" s="25" t="s">
        <v>212</v>
      </c>
      <c r="G3959" s="28">
        <v>259999.0</v>
      </c>
      <c r="H3959" s="28">
        <v>277.0</v>
      </c>
      <c r="I3959" s="28">
        <v>0.0</v>
      </c>
      <c r="J3959" s="28">
        <v>0.0</v>
      </c>
      <c r="K3959" s="25" t="s">
        <v>25</v>
      </c>
      <c r="L3959" s="26">
        <v>5.0</v>
      </c>
      <c r="M3959" s="26">
        <v>2.0</v>
      </c>
      <c r="N3959" s="26">
        <v>1.0</v>
      </c>
      <c r="O3959" s="30"/>
      <c r="P3959" s="26">
        <v>940.0</v>
      </c>
      <c r="Q3959" s="35">
        <v>180.0</v>
      </c>
      <c r="R3959" s="32">
        <v>45822.0</v>
      </c>
      <c r="S3959" s="32">
        <v>44685.0</v>
      </c>
      <c r="T3959" s="29"/>
      <c r="U3959" s="33"/>
      <c r="V3959" s="1"/>
    </row>
    <row r="3960" ht="24.0" customHeight="1">
      <c r="A3960" s="1"/>
      <c r="B3960" s="24" t="str">
        <f>HYPERLINK("https://www.compass.com/listing/1912-avenue-unit-4b-brooklyn-ny-11230/1299573383824601897/view?agent_id=610d3f3370540700019b0833","1912 Avenue, Unit 4B")</f>
        <v>1912 Avenue, Unit 4B</v>
      </c>
      <c r="C3960" s="25" t="s">
        <v>370</v>
      </c>
      <c r="D3960" s="26" t="s">
        <v>23</v>
      </c>
      <c r="E3960" s="26" t="s">
        <v>419</v>
      </c>
      <c r="F3960" s="25" t="s">
        <v>34</v>
      </c>
      <c r="G3960" s="28">
        <v>590000.0</v>
      </c>
      <c r="H3960" s="28">
        <v>658.0</v>
      </c>
      <c r="I3960" s="28">
        <v>811.0</v>
      </c>
      <c r="J3960" s="28">
        <v>4440.0</v>
      </c>
      <c r="K3960" s="25" t="s">
        <v>28</v>
      </c>
      <c r="L3960" s="26">
        <v>4.0</v>
      </c>
      <c r="M3960" s="26">
        <v>2.0</v>
      </c>
      <c r="N3960" s="26">
        <v>1.0</v>
      </c>
      <c r="O3960" s="30"/>
      <c r="P3960" s="26">
        <v>897.0</v>
      </c>
      <c r="Q3960" s="35">
        <v>20.0</v>
      </c>
      <c r="R3960" s="32">
        <v>45027.0</v>
      </c>
      <c r="S3960" s="32">
        <v>44491.0</v>
      </c>
      <c r="T3960" s="29"/>
      <c r="U3960" s="33"/>
      <c r="V3960" s="1"/>
    </row>
    <row r="3961" ht="24.0" customHeight="1">
      <c r="A3961" s="1"/>
      <c r="B3961" s="24" t="str">
        <f>HYPERLINK("https://www.compass.com/listing/153-25-88th-street-unit-1j-queens-ny-11414/1237082979272821521/view?agent_id=610d3f3370540700019b0833","153-25 88th St, Unit 1J")</f>
        <v>153-25 88th St, Unit 1J</v>
      </c>
      <c r="C3961" s="25" t="s">
        <v>364</v>
      </c>
      <c r="D3961" s="26" t="s">
        <v>23</v>
      </c>
      <c r="E3961" s="27" t="str">
        <f>HYPERLINK("https://www.compass.com/building/153-25-88th-st-queens-ny-11414/293528303900376149/","153-25 88th St")</f>
        <v>153-25 88th St</v>
      </c>
      <c r="F3961" s="25" t="s">
        <v>212</v>
      </c>
      <c r="G3961" s="28">
        <v>250000.0</v>
      </c>
      <c r="H3961" s="29"/>
      <c r="I3961" s="28">
        <v>1056.0</v>
      </c>
      <c r="J3961" s="28">
        <v>0.0</v>
      </c>
      <c r="K3961" s="25" t="s">
        <v>25</v>
      </c>
      <c r="L3961" s="26">
        <v>4.0</v>
      </c>
      <c r="M3961" s="26">
        <v>2.0</v>
      </c>
      <c r="N3961" s="26">
        <v>1.0</v>
      </c>
      <c r="O3961" s="26">
        <v>0.0</v>
      </c>
      <c r="P3961" s="30"/>
      <c r="Q3961" s="35">
        <v>147.0</v>
      </c>
      <c r="R3961" s="32">
        <v>45167.0</v>
      </c>
      <c r="S3961" s="32">
        <v>44958.0</v>
      </c>
      <c r="T3961" s="29"/>
      <c r="U3961" s="33"/>
      <c r="V3961" s="1"/>
    </row>
    <row r="3962" ht="24.0" customHeight="1">
      <c r="A3962" s="1"/>
      <c r="B3962" s="24" t="str">
        <f>HYPERLINK("https://www.compass.com/listing/1912-avenue-h-unit-3d-brooklyn-ny-11230/27109433972721825/view?agent_id=610d3f3370540700019b0833","1912 Avenue H, Unit 3D")</f>
        <v>1912 Avenue H, Unit 3D</v>
      </c>
      <c r="C3962" s="25" t="s">
        <v>364</v>
      </c>
      <c r="D3962" s="26" t="s">
        <v>23</v>
      </c>
      <c r="E3962" s="27" t="str">
        <f>HYPERLINK("https://www.compass.com/building/1912-avenue-h-brooklyn-ny-11230/389280160170951189/","1912 Avenue H")</f>
        <v>1912 Avenue H</v>
      </c>
      <c r="F3962" s="25" t="s">
        <v>34</v>
      </c>
      <c r="G3962" s="28">
        <v>405000.0</v>
      </c>
      <c r="H3962" s="28">
        <v>438.0</v>
      </c>
      <c r="I3962" s="28">
        <v>573.0</v>
      </c>
      <c r="J3962" s="28">
        <v>1704.0</v>
      </c>
      <c r="K3962" s="25" t="s">
        <v>28</v>
      </c>
      <c r="L3962" s="26">
        <v>4.0</v>
      </c>
      <c r="M3962" s="26">
        <v>2.0</v>
      </c>
      <c r="N3962" s="26">
        <v>1.0</v>
      </c>
      <c r="O3962" s="26">
        <v>0.0</v>
      </c>
      <c r="P3962" s="26">
        <v>924.0</v>
      </c>
      <c r="Q3962" s="35">
        <v>2540.0</v>
      </c>
      <c r="R3962" s="32">
        <v>45636.0</v>
      </c>
      <c r="S3962" s="32">
        <v>41907.0</v>
      </c>
      <c r="T3962" s="29"/>
      <c r="U3962" s="33"/>
      <c r="V3962" s="1"/>
    </row>
    <row r="3963" ht="24.0" customHeight="1">
      <c r="A3963" s="1"/>
      <c r="B3963" s="24" t="str">
        <f>HYPERLINK("https://www.compass.com/listing/87-70-173rd-street-unit-4d-queens-ny-11432/1598570084065967001/view?agent_id=610d3f3370540700019b0833","87-70 173rd St, Unit 4D")</f>
        <v>87-70 173rd St, Unit 4D</v>
      </c>
      <c r="C3963" s="25" t="s">
        <v>370</v>
      </c>
      <c r="D3963" s="26" t="s">
        <v>23</v>
      </c>
      <c r="E3963" s="27" t="str">
        <f t="shared" ref="E3963:E3964" si="152">HYPERLINK("https://www.compass.com/building/87-70-173rd-st-queens-ny-11432/293417969093019925/","87-70 173rd St")</f>
        <v>87-70 173rd St</v>
      </c>
      <c r="F3963" s="25" t="s">
        <v>275</v>
      </c>
      <c r="G3963" s="28">
        <v>225000.0</v>
      </c>
      <c r="H3963" s="28">
        <v>225.0</v>
      </c>
      <c r="I3963" s="28">
        <v>910.0</v>
      </c>
      <c r="J3963" s="28">
        <v>0.0</v>
      </c>
      <c r="K3963" s="25" t="s">
        <v>25</v>
      </c>
      <c r="L3963" s="26">
        <v>5.0</v>
      </c>
      <c r="M3963" s="26">
        <v>2.0</v>
      </c>
      <c r="N3963" s="26">
        <v>1.0</v>
      </c>
      <c r="O3963" s="30"/>
      <c r="P3963" s="34">
        <v>1000.0</v>
      </c>
      <c r="Q3963" s="31"/>
      <c r="R3963" s="32">
        <v>45470.0</v>
      </c>
      <c r="S3963" s="33"/>
      <c r="T3963" s="29"/>
      <c r="U3963" s="33"/>
      <c r="V3963" s="1"/>
    </row>
    <row r="3964" ht="24.0" customHeight="1">
      <c r="A3964" s="1"/>
      <c r="B3964" s="24" t="str">
        <f>HYPERLINK("https://www.compass.com/listing/87-70-173rd-street-unit-4d-queens-ny-11432/1239565452518267305/view?agent_id=610d3f3370540700019b0833","87-70 173rd St, Unit 4D")</f>
        <v>87-70 173rd St, Unit 4D</v>
      </c>
      <c r="C3964" s="25" t="s">
        <v>370</v>
      </c>
      <c r="D3964" s="26" t="s">
        <v>23</v>
      </c>
      <c r="E3964" s="27" t="str">
        <f t="shared" si="152"/>
        <v>87-70 173rd St</v>
      </c>
      <c r="F3964" s="25" t="s">
        <v>275</v>
      </c>
      <c r="G3964" s="28">
        <v>225000.0</v>
      </c>
      <c r="H3964" s="28">
        <v>188.0</v>
      </c>
      <c r="I3964" s="28">
        <v>0.0</v>
      </c>
      <c r="J3964" s="28">
        <v>0.0</v>
      </c>
      <c r="K3964" s="25" t="s">
        <v>25</v>
      </c>
      <c r="L3964" s="26">
        <v>5.0</v>
      </c>
      <c r="M3964" s="26">
        <v>2.0</v>
      </c>
      <c r="N3964" s="26">
        <v>1.0</v>
      </c>
      <c r="O3964" s="30"/>
      <c r="P3964" s="34">
        <v>1200.0</v>
      </c>
      <c r="Q3964" s="35">
        <v>328.0</v>
      </c>
      <c r="R3964" s="32">
        <v>45597.0</v>
      </c>
      <c r="S3964" s="32">
        <v>44963.0</v>
      </c>
      <c r="T3964" s="29"/>
      <c r="U3964" s="33"/>
      <c r="V3964" s="1"/>
    </row>
    <row r="3965" ht="24.0" customHeight="1">
      <c r="A3965" s="1"/>
      <c r="B3965" s="24" t="str">
        <f>HYPERLINK("https://www.compass.com/listing/153-25-88th-street-unit-1j-queens-ny-11414/1052987572767965281/view?agent_id=610d3f3370540700019b0833","153-25 88th St, Unit 1J")</f>
        <v>153-25 88th St, Unit 1J</v>
      </c>
      <c r="C3965" s="25" t="s">
        <v>365</v>
      </c>
      <c r="D3965" s="26" t="s">
        <v>23</v>
      </c>
      <c r="E3965" s="27" t="str">
        <f>HYPERLINK("https://www.compass.com/building/153-25-88th-st-queens-ny-11414/293528303900376149/","153-25 88th St")</f>
        <v>153-25 88th St</v>
      </c>
      <c r="F3965" s="25" t="s">
        <v>212</v>
      </c>
      <c r="G3965" s="28">
        <v>239999.0</v>
      </c>
      <c r="H3965" s="29"/>
      <c r="I3965" s="28">
        <v>950.0</v>
      </c>
      <c r="J3965" s="28">
        <v>0.0</v>
      </c>
      <c r="K3965" s="25" t="s">
        <v>25</v>
      </c>
      <c r="L3965" s="26">
        <v>5.0</v>
      </c>
      <c r="M3965" s="26">
        <v>2.0</v>
      </c>
      <c r="N3965" s="26">
        <v>1.0</v>
      </c>
      <c r="O3965" s="30"/>
      <c r="P3965" s="30"/>
      <c r="Q3965" s="35">
        <v>170.0</v>
      </c>
      <c r="R3965" s="32">
        <v>44874.0</v>
      </c>
      <c r="S3965" s="32">
        <v>44704.0</v>
      </c>
      <c r="T3965" s="29"/>
      <c r="U3965" s="33"/>
      <c r="V3965" s="1"/>
    </row>
    <row r="3966" ht="24.0" customHeight="1">
      <c r="A3966" s="1"/>
      <c r="B3966" s="24" t="str">
        <f>HYPERLINK("https://www.compass.com/listing/35-34-205th-street-unit-283-queens-ny-11361/1273222835380828697/view?agent_id=610d3f3370540700019b0833","35-34 205th St, Unit 283")</f>
        <v>35-34 205th St, Unit 283</v>
      </c>
      <c r="C3966" s="25" t="s">
        <v>364</v>
      </c>
      <c r="D3966" s="26" t="s">
        <v>23</v>
      </c>
      <c r="E3966" s="27" t="str">
        <f>HYPERLINK("https://www.compass.com/building/35-34-205th-st-queens-ny-11361/307446526619879749/","35-34 205th St")</f>
        <v>35-34 205th St</v>
      </c>
      <c r="F3966" s="25" t="s">
        <v>175</v>
      </c>
      <c r="G3966" s="28">
        <v>310000.0</v>
      </c>
      <c r="H3966" s="28">
        <v>428.0</v>
      </c>
      <c r="I3966" s="28">
        <v>1104.0</v>
      </c>
      <c r="J3966" s="28">
        <v>13248.0</v>
      </c>
      <c r="K3966" s="25" t="s">
        <v>25</v>
      </c>
      <c r="L3966" s="26">
        <v>5.0</v>
      </c>
      <c r="M3966" s="26">
        <v>2.0</v>
      </c>
      <c r="N3966" s="26">
        <v>1.0</v>
      </c>
      <c r="O3966" s="26">
        <v>0.0</v>
      </c>
      <c r="P3966" s="26">
        <v>724.0</v>
      </c>
      <c r="Q3966" s="35">
        <v>78.0</v>
      </c>
      <c r="R3966" s="32">
        <v>45086.0</v>
      </c>
      <c r="S3966" s="32">
        <v>45008.0</v>
      </c>
      <c r="T3966" s="29"/>
      <c r="U3966" s="33"/>
      <c r="V3966" s="1"/>
    </row>
    <row r="3967" ht="24.0" customHeight="1">
      <c r="A3967" s="1"/>
      <c r="B3967" s="24" t="str">
        <f>HYPERLINK("https://www.compass.com/listing/89-35-155th-avenue-unit-1l-queens-ny-11414/1730616844717908561/view?agent_id=610d3f3370540700019b0833","89-35 155th Ave, Unit 1L")</f>
        <v>89-35 155th Ave, Unit 1L</v>
      </c>
      <c r="C3967" s="25" t="s">
        <v>370</v>
      </c>
      <c r="D3967" s="26" t="s">
        <v>23</v>
      </c>
      <c r="E3967" s="27" t="str">
        <f t="shared" ref="E3967:E3968" si="153">HYPERLINK("https://www.compass.com/building/89-35-155th-ave-queens-ny-11414/293534575727020533/","89-35 155th Ave")</f>
        <v>89-35 155th Ave</v>
      </c>
      <c r="F3967" s="25" t="s">
        <v>212</v>
      </c>
      <c r="G3967" s="28">
        <v>139000.0</v>
      </c>
      <c r="H3967" s="29"/>
      <c r="I3967" s="28">
        <v>778.0</v>
      </c>
      <c r="J3967" s="28">
        <v>0.0</v>
      </c>
      <c r="K3967" s="25" t="s">
        <v>25</v>
      </c>
      <c r="L3967" s="26">
        <v>5.0</v>
      </c>
      <c r="M3967" s="26">
        <v>2.0</v>
      </c>
      <c r="N3967" s="26">
        <v>1.0</v>
      </c>
      <c r="O3967" s="30"/>
      <c r="P3967" s="30"/>
      <c r="Q3967" s="35">
        <v>49.0</v>
      </c>
      <c r="R3967" s="32">
        <v>45597.0</v>
      </c>
      <c r="S3967" s="32">
        <v>41478.0</v>
      </c>
      <c r="T3967" s="29"/>
      <c r="U3967" s="33"/>
      <c r="V3967" s="1"/>
    </row>
    <row r="3968" ht="24.0" customHeight="1">
      <c r="A3968" s="1"/>
      <c r="B3968" s="24" t="str">
        <f>HYPERLINK("https://www.compass.com/listing/89-35-155th-avenue-unit-5b-queens-ny-11414/1730738406947523009/view?agent_id=610d3f3370540700019b0833","89-35 155th Ave, Unit 5B")</f>
        <v>89-35 155th Ave, Unit 5B</v>
      </c>
      <c r="C3968" s="25" t="s">
        <v>370</v>
      </c>
      <c r="D3968" s="26" t="s">
        <v>23</v>
      </c>
      <c r="E3968" s="27" t="str">
        <f t="shared" si="153"/>
        <v>89-35 155th Ave</v>
      </c>
      <c r="F3968" s="25" t="s">
        <v>212</v>
      </c>
      <c r="G3968" s="28">
        <v>129000.0</v>
      </c>
      <c r="H3968" s="29"/>
      <c r="I3968" s="28">
        <v>0.0</v>
      </c>
      <c r="J3968" s="28">
        <v>0.0</v>
      </c>
      <c r="K3968" s="25" t="s">
        <v>25</v>
      </c>
      <c r="L3968" s="26">
        <v>5.0</v>
      </c>
      <c r="M3968" s="26">
        <v>2.0</v>
      </c>
      <c r="N3968" s="26">
        <v>1.0</v>
      </c>
      <c r="O3968" s="30"/>
      <c r="P3968" s="30"/>
      <c r="Q3968" s="35">
        <v>365.0</v>
      </c>
      <c r="R3968" s="32">
        <v>45597.0</v>
      </c>
      <c r="S3968" s="32">
        <v>41532.0</v>
      </c>
      <c r="T3968" s="29"/>
      <c r="U3968" s="33"/>
      <c r="V3968" s="1"/>
    </row>
    <row r="3969" ht="24.0" customHeight="1">
      <c r="A3969" s="1"/>
      <c r="B3969" s="24" t="str">
        <f>HYPERLINK("https://www.compass.com/listing/88-29-155th-avenue-unit-3h-queens-ny-11414/501525706231441993/view?agent_id=610d3f3370540700019b0833","88-29 155th Avenue, Unit 3H")</f>
        <v>88-29 155th Avenue, Unit 3H</v>
      </c>
      <c r="C3969" s="25" t="s">
        <v>370</v>
      </c>
      <c r="D3969" s="26" t="s">
        <v>23</v>
      </c>
      <c r="E3969" s="27" t="str">
        <f>HYPERLINK("https://www.compass.com/building/88-29-155th-ave-queens-ny-11414/294848763746995253/","88-29 155th Ave")</f>
        <v>88-29 155th Ave</v>
      </c>
      <c r="F3969" s="25" t="s">
        <v>212</v>
      </c>
      <c r="G3969" s="28">
        <v>189000.0</v>
      </c>
      <c r="H3969" s="29"/>
      <c r="I3969" s="28">
        <v>0.0</v>
      </c>
      <c r="J3969" s="28">
        <v>0.0</v>
      </c>
      <c r="K3969" s="25" t="s">
        <v>25</v>
      </c>
      <c r="L3969" s="26">
        <v>5.0</v>
      </c>
      <c r="M3969" s="26">
        <v>2.0</v>
      </c>
      <c r="N3969" s="26">
        <v>1.0</v>
      </c>
      <c r="O3969" s="30"/>
      <c r="P3969" s="30"/>
      <c r="Q3969" s="35">
        <v>60.0</v>
      </c>
      <c r="R3969" s="32">
        <v>45597.0</v>
      </c>
      <c r="S3969" s="32">
        <v>42468.0</v>
      </c>
      <c r="T3969" s="29"/>
      <c r="U3969" s="33"/>
      <c r="V3969" s="1"/>
    </row>
    <row r="3970" ht="24.0" customHeight="1">
      <c r="A3970" s="1"/>
      <c r="B3970" s="24" t="str">
        <f>HYPERLINK("https://www.compass.com/listing/89-35-155th-avenue-unit-1l-queens-ny-11414/1730517064054420337/view?agent_id=610d3f3370540700019b0833","89-35 155th Avenue, Unit 1L")</f>
        <v>89-35 155th Avenue, Unit 1L</v>
      </c>
      <c r="C3970" s="25" t="s">
        <v>370</v>
      </c>
      <c r="D3970" s="26" t="s">
        <v>23</v>
      </c>
      <c r="E3970" s="27" t="str">
        <f>HYPERLINK("https://www.compass.com/building/89-35-155th-ave-queens-ny-11414/293534575727020533/","89-35 155th Ave")</f>
        <v>89-35 155th Ave</v>
      </c>
      <c r="F3970" s="25" t="s">
        <v>212</v>
      </c>
      <c r="G3970" s="28">
        <v>129000.0</v>
      </c>
      <c r="H3970" s="29"/>
      <c r="I3970" s="28">
        <v>0.0</v>
      </c>
      <c r="J3970" s="28">
        <v>0.0</v>
      </c>
      <c r="K3970" s="25" t="s">
        <v>25</v>
      </c>
      <c r="L3970" s="26">
        <v>5.0</v>
      </c>
      <c r="M3970" s="26">
        <v>2.0</v>
      </c>
      <c r="N3970" s="26">
        <v>1.0</v>
      </c>
      <c r="O3970" s="30"/>
      <c r="P3970" s="30"/>
      <c r="Q3970" s="35">
        <v>156.0</v>
      </c>
      <c r="R3970" s="32">
        <v>45597.0</v>
      </c>
      <c r="S3970" s="32">
        <v>41663.0</v>
      </c>
      <c r="T3970" s="29"/>
      <c r="U3970" s="33"/>
      <c r="V3970" s="1"/>
    </row>
    <row r="3971" ht="24.0" customHeight="1">
      <c r="A3971" s="1"/>
      <c r="B3971" s="24" t="str">
        <f>HYPERLINK("https://www.compass.com/listing/2736-2738-ocean-avenue-unit-4c-brooklyn-ny-11229/29515754445596289/view?agent_id=610d3f3370540700019b0833","2736-2738 Ocean Avenue, Unit 4C")</f>
        <v>2736-2738 Ocean Avenue, Unit 4C</v>
      </c>
      <c r="C3971" s="25" t="s">
        <v>370</v>
      </c>
      <c r="D3971" s="26" t="s">
        <v>23</v>
      </c>
      <c r="E3971" s="27" t="str">
        <f>HYPERLINK("https://www.compass.com/building/2736-2738-ocean-ave-brooklyn-ny-11229/445074496225941821/","2736-2738 Ocean Ave")</f>
        <v>2736-2738 Ocean Ave</v>
      </c>
      <c r="F3971" s="25" t="s">
        <v>318</v>
      </c>
      <c r="G3971" s="28">
        <v>510000.0</v>
      </c>
      <c r="H3971" s="29"/>
      <c r="I3971" s="28">
        <v>217.0</v>
      </c>
      <c r="J3971" s="28">
        <v>216.0</v>
      </c>
      <c r="K3971" s="25" t="s">
        <v>28</v>
      </c>
      <c r="L3971" s="26">
        <v>4.0</v>
      </c>
      <c r="M3971" s="26">
        <v>2.0</v>
      </c>
      <c r="N3971" s="26">
        <v>0.0</v>
      </c>
      <c r="O3971" s="26">
        <v>0.0</v>
      </c>
      <c r="P3971" s="30"/>
      <c r="Q3971" s="35">
        <v>0.0</v>
      </c>
      <c r="R3971" s="32">
        <v>44581.0</v>
      </c>
      <c r="S3971" s="32">
        <v>41538.0</v>
      </c>
      <c r="T3971" s="29"/>
      <c r="U3971" s="33"/>
      <c r="V3971" s="1"/>
    </row>
    <row r="3972" ht="24.0" customHeight="1">
      <c r="A3972" s="1"/>
      <c r="B3972" s="24" t="str">
        <f>HYPERLINK("https://www.compass.com/listing/99-11-60th-avenue-unit-6k-queens-ny-11368/1734211797105717425/view?agent_id=610d3f3370540700019b0833","99-11 60th Avenue, Unit 6K")</f>
        <v>99-11 60th Avenue, Unit 6K</v>
      </c>
      <c r="C3972" s="25" t="s">
        <v>370</v>
      </c>
      <c r="D3972" s="26" t="s">
        <v>23</v>
      </c>
      <c r="E3972" s="27" t="str">
        <f>HYPERLINK("https://www.compass.com/building/99-11-60th-ave-queens-ny-11368/293535483097561189/","99-11 60th Ave")</f>
        <v>99-11 60th Ave</v>
      </c>
      <c r="F3972" s="25" t="s">
        <v>153</v>
      </c>
      <c r="G3972" s="28">
        <v>320000.0</v>
      </c>
      <c r="H3972" s="28">
        <v>352.0</v>
      </c>
      <c r="I3972" s="28">
        <v>1758.0</v>
      </c>
      <c r="J3972" s="29"/>
      <c r="K3972" s="25" t="s">
        <v>25</v>
      </c>
      <c r="L3972" s="26">
        <v>5.0</v>
      </c>
      <c r="M3972" s="26">
        <v>2.0</v>
      </c>
      <c r="N3972" s="26">
        <v>1.0</v>
      </c>
      <c r="O3972" s="30"/>
      <c r="P3972" s="26">
        <v>909.0</v>
      </c>
      <c r="Q3972" s="35">
        <v>0.0</v>
      </c>
      <c r="R3972" s="32">
        <v>45857.0</v>
      </c>
      <c r="S3972" s="33"/>
      <c r="T3972" s="29"/>
      <c r="U3972" s="33"/>
      <c r="V3972" s="1"/>
    </row>
    <row r="3973" ht="24.0" customHeight="1">
      <c r="A3973" s="1"/>
      <c r="B3973" s="24" t="str">
        <f>HYPERLINK("https://www.compass.com/listing/89-51-215th-place-queens-ny-11427/1292177654374829209/view?agent_id=610d3f3370540700019b0833","89-51 215th Place")</f>
        <v>89-51 215th Place</v>
      </c>
      <c r="C3973" s="25" t="s">
        <v>370</v>
      </c>
      <c r="D3973" s="26" t="s">
        <v>23</v>
      </c>
      <c r="E3973" s="27" t="str">
        <f>HYPERLINK("https://www.compass.com/building/89-51-215th-pl-queens-ny-11427/293528493155706661/","89-51 215th Pl")</f>
        <v>89-51 215th Pl</v>
      </c>
      <c r="F3973" s="25" t="s">
        <v>98</v>
      </c>
      <c r="G3973" s="28">
        <v>589000.0</v>
      </c>
      <c r="H3973" s="28">
        <v>462.0</v>
      </c>
      <c r="I3973" s="28">
        <v>434.0</v>
      </c>
      <c r="J3973" s="28">
        <v>5205.0</v>
      </c>
      <c r="K3973" s="25" t="s">
        <v>97</v>
      </c>
      <c r="L3973" s="26">
        <v>6.0</v>
      </c>
      <c r="M3973" s="26">
        <v>2.0</v>
      </c>
      <c r="N3973" s="26">
        <v>1.0</v>
      </c>
      <c r="O3973" s="30"/>
      <c r="P3973" s="34">
        <v>1275.0</v>
      </c>
      <c r="Q3973" s="35">
        <v>182.0</v>
      </c>
      <c r="R3973" s="32">
        <v>45597.0</v>
      </c>
      <c r="S3973" s="32">
        <v>43756.0</v>
      </c>
      <c r="T3973" s="29"/>
      <c r="U3973" s="33"/>
      <c r="V3973" s="1"/>
    </row>
    <row r="3974" ht="24.0" customHeight="1">
      <c r="A3974" s="1"/>
      <c r="B3974" s="24" t="str">
        <f>HYPERLINK("https://www.compass.com/listing/78-40-164th-street-unit-6u-queens-ny-11366/1292148900385371081/view?agent_id=610d3f3370540700019b0833","78-40 164th Street, Unit 6U")</f>
        <v>78-40 164th Street, Unit 6U</v>
      </c>
      <c r="C3974" s="25" t="s">
        <v>370</v>
      </c>
      <c r="D3974" s="26" t="s">
        <v>23</v>
      </c>
      <c r="E3974" s="27" t="str">
        <f>HYPERLINK("https://www.compass.com/building/78-40-164th-st-queens-ny-11366/307444030924982213/","78-40 164th St")</f>
        <v>78-40 164th St</v>
      </c>
      <c r="F3974" s="25" t="s">
        <v>321</v>
      </c>
      <c r="G3974" s="28">
        <v>250000.0</v>
      </c>
      <c r="H3974" s="28">
        <v>333.0</v>
      </c>
      <c r="I3974" s="28">
        <v>0.0</v>
      </c>
      <c r="J3974" s="28">
        <v>0.0</v>
      </c>
      <c r="K3974" s="25" t="s">
        <v>25</v>
      </c>
      <c r="L3974" s="26">
        <v>5.0</v>
      </c>
      <c r="M3974" s="26">
        <v>2.0</v>
      </c>
      <c r="N3974" s="26">
        <v>1.0</v>
      </c>
      <c r="O3974" s="30"/>
      <c r="P3974" s="26">
        <v>750.0</v>
      </c>
      <c r="Q3974" s="35">
        <v>100.0</v>
      </c>
      <c r="R3974" s="32">
        <v>45597.0</v>
      </c>
      <c r="S3974" s="32">
        <v>43881.0</v>
      </c>
      <c r="T3974" s="29"/>
      <c r="U3974" s="33"/>
      <c r="V3974" s="1"/>
    </row>
    <row r="3975" ht="24.0" customHeight="1">
      <c r="A3975" s="1"/>
      <c r="B3975" s="24" t="str">
        <f>HYPERLINK("https://www.compass.com/listing/150-35-89th-street-unit-20-queens-ny-11414/1438551739706798881/view?agent_id=610d3f3370540700019b0833","150-35 89th Street, Unit 20")</f>
        <v>150-35 89th Street, Unit 20</v>
      </c>
      <c r="C3975" s="25" t="s">
        <v>364</v>
      </c>
      <c r="D3975" s="26" t="s">
        <v>23</v>
      </c>
      <c r="E3975" s="26" t="s">
        <v>420</v>
      </c>
      <c r="F3975" s="25" t="s">
        <v>212</v>
      </c>
      <c r="G3975" s="28">
        <v>315000.0</v>
      </c>
      <c r="H3975" s="29"/>
      <c r="I3975" s="28">
        <v>989.0</v>
      </c>
      <c r="J3975" s="28">
        <v>0.0</v>
      </c>
      <c r="K3975" s="25" t="s">
        <v>25</v>
      </c>
      <c r="L3975" s="26">
        <v>5.0</v>
      </c>
      <c r="M3975" s="26">
        <v>2.0</v>
      </c>
      <c r="N3975" s="26">
        <v>1.0</v>
      </c>
      <c r="O3975" s="30"/>
      <c r="P3975" s="30"/>
      <c r="Q3975" s="31"/>
      <c r="R3975" s="32">
        <v>45401.0</v>
      </c>
      <c r="S3975" s="33"/>
      <c r="T3975" s="29"/>
      <c r="U3975" s="33"/>
      <c r="V3975" s="1"/>
    </row>
    <row r="3976" ht="24.0" customHeight="1">
      <c r="A3976" s="1"/>
      <c r="B3976" s="24" t="str">
        <f>HYPERLINK("https://www.compass.com/listing/103-25-68th-avenue-unit-5g-queens-ny-11375/921794965339318305/view?agent_id=610d3f3370540700019b0833","103-25 68th Avenue, Unit 5G")</f>
        <v>103-25 68th Avenue, Unit 5G</v>
      </c>
      <c r="C3976" s="25" t="s">
        <v>370</v>
      </c>
      <c r="D3976" s="26" t="s">
        <v>23</v>
      </c>
      <c r="E3976" s="27" t="str">
        <f>HYPERLINK("https://www.compass.com/building/the-new-yorker-queens-ny/293532795328918821/","The New Yorker")</f>
        <v>The New Yorker</v>
      </c>
      <c r="F3976" s="25" t="s">
        <v>165</v>
      </c>
      <c r="G3976" s="28">
        <v>300000.0</v>
      </c>
      <c r="H3976" s="29"/>
      <c r="I3976" s="28">
        <v>1135.0</v>
      </c>
      <c r="J3976" s="29"/>
      <c r="K3976" s="25" t="s">
        <v>25</v>
      </c>
      <c r="L3976" s="26">
        <v>4.0</v>
      </c>
      <c r="M3976" s="26">
        <v>2.0</v>
      </c>
      <c r="N3976" s="26">
        <v>0.0</v>
      </c>
      <c r="O3976" s="26">
        <v>0.0</v>
      </c>
      <c r="P3976" s="30"/>
      <c r="Q3976" s="31"/>
      <c r="R3976" s="32">
        <v>44581.0</v>
      </c>
      <c r="S3976" s="33"/>
      <c r="T3976" s="29"/>
      <c r="U3976" s="33"/>
      <c r="V3976" s="1"/>
    </row>
    <row r="3977" ht="24.0" customHeight="1">
      <c r="A3977" s="1"/>
      <c r="B3977" s="24" t="str">
        <f>HYPERLINK("https://www.compass.com/listing/839-east-19th-street-unit-4a-brooklyn-ny-11230/27109442520714177/view?agent_id=610d3f3370540700019b0833","839 East 19th Street, Unit 4A")</f>
        <v>839 East 19th Street, Unit 4A</v>
      </c>
      <c r="C3977" s="25" t="s">
        <v>364</v>
      </c>
      <c r="D3977" s="26" t="s">
        <v>23</v>
      </c>
      <c r="E3977" s="27" t="str">
        <f>HYPERLINK("https://www.compass.com/building/839-e-19th-st-brooklyn-ny-11230/307432239444726037/","839 E 19th St")</f>
        <v>839 E 19th St</v>
      </c>
      <c r="F3977" s="25" t="s">
        <v>34</v>
      </c>
      <c r="G3977" s="28">
        <v>395000.0</v>
      </c>
      <c r="H3977" s="28">
        <v>432.0</v>
      </c>
      <c r="I3977" s="28">
        <v>553.0</v>
      </c>
      <c r="J3977" s="28">
        <v>1644.0</v>
      </c>
      <c r="K3977" s="25" t="s">
        <v>28</v>
      </c>
      <c r="L3977" s="26">
        <v>5.0</v>
      </c>
      <c r="M3977" s="26">
        <v>2.0</v>
      </c>
      <c r="N3977" s="26">
        <v>1.0</v>
      </c>
      <c r="O3977" s="26">
        <v>0.0</v>
      </c>
      <c r="P3977" s="26">
        <v>915.0</v>
      </c>
      <c r="Q3977" s="35">
        <v>2540.0</v>
      </c>
      <c r="R3977" s="32">
        <v>45636.0</v>
      </c>
      <c r="S3977" s="32">
        <v>41907.0</v>
      </c>
      <c r="T3977" s="29"/>
      <c r="U3977" s="33"/>
      <c r="V3977" s="1"/>
    </row>
    <row r="3978" ht="24.0" customHeight="1">
      <c r="A3978" s="1"/>
      <c r="B3978" s="24" t="str">
        <f>HYPERLINK("https://www.compass.com/listing/702-kathleen-place-unit-1b-brooklyn-ny-11235/608535764330038937/view?agent_id=610d3f3370540700019b0833","702 Kathleen Place, Unit 1B")</f>
        <v>702 Kathleen Place, Unit 1B</v>
      </c>
      <c r="C3978" s="25" t="s">
        <v>364</v>
      </c>
      <c r="D3978" s="26" t="s">
        <v>23</v>
      </c>
      <c r="E3978" s="27" t="str">
        <f>HYPERLINK("https://www.compass.com/building/702-kathleen-pl-brooklyn-ny-11235/293526320699200405/","702 Kathleen Pl")</f>
        <v>702 Kathleen Pl</v>
      </c>
      <c r="F3978" s="25" t="s">
        <v>70</v>
      </c>
      <c r="G3978" s="28">
        <v>439000.0</v>
      </c>
      <c r="H3978" s="28">
        <v>439.0</v>
      </c>
      <c r="I3978" s="28">
        <v>890.0</v>
      </c>
      <c r="J3978" s="28">
        <v>0.0</v>
      </c>
      <c r="K3978" s="25" t="s">
        <v>25</v>
      </c>
      <c r="L3978" s="26">
        <v>4.0</v>
      </c>
      <c r="M3978" s="26">
        <v>2.0</v>
      </c>
      <c r="N3978" s="26">
        <v>1.0</v>
      </c>
      <c r="O3978" s="26">
        <v>0.0</v>
      </c>
      <c r="P3978" s="34">
        <v>1000.0</v>
      </c>
      <c r="Q3978" s="31"/>
      <c r="R3978" s="32">
        <v>44281.0</v>
      </c>
      <c r="S3978" s="33"/>
      <c r="T3978" s="29"/>
      <c r="U3978" s="33"/>
      <c r="V3978" s="1"/>
    </row>
    <row r="3979" ht="24.0" customHeight="1">
      <c r="A3979" s="1"/>
      <c r="B3979" s="24" t="str">
        <f>HYPERLINK("https://www.compass.com/listing/69-40-yellowstone-boulevard-unit-207-queens-ny-11375/654967630349755465/view?agent_id=610d3f3370540700019b0833","69-40 Yellowstone Boulevard, Unit 207")</f>
        <v>69-40 Yellowstone Boulevard, Unit 207</v>
      </c>
      <c r="C3979" s="25" t="s">
        <v>370</v>
      </c>
      <c r="D3979" s="26" t="s">
        <v>23</v>
      </c>
      <c r="E3979" s="27" t="str">
        <f>HYPERLINK("https://www.compass.com/building/69-40-yellowstone-blvd-queens-ny-11375/293532466285766597/","69-40 Yellowstone Blvd")</f>
        <v>69-40 Yellowstone Blvd</v>
      </c>
      <c r="F3979" s="25" t="s">
        <v>166</v>
      </c>
      <c r="G3979" s="28">
        <v>399000.0</v>
      </c>
      <c r="H3979" s="29"/>
      <c r="I3979" s="28">
        <v>1247.0</v>
      </c>
      <c r="J3979" s="28">
        <v>0.0</v>
      </c>
      <c r="K3979" s="25" t="s">
        <v>25</v>
      </c>
      <c r="L3979" s="26">
        <v>4.0</v>
      </c>
      <c r="M3979" s="26">
        <v>2.0</v>
      </c>
      <c r="N3979" s="26">
        <v>1.0</v>
      </c>
      <c r="O3979" s="30"/>
      <c r="P3979" s="30"/>
      <c r="Q3979" s="35">
        <v>194.0</v>
      </c>
      <c r="R3979" s="32">
        <v>44449.0</v>
      </c>
      <c r="S3979" s="32">
        <v>44155.0</v>
      </c>
      <c r="T3979" s="29"/>
      <c r="U3979" s="33"/>
      <c r="V3979" s="1"/>
    </row>
    <row r="3980" ht="24.0" customHeight="1">
      <c r="A3980" s="1"/>
      <c r="B3980" s="24" t="str">
        <f>HYPERLINK("https://www.compass.com/listing/83-77-woodhaven-boulevard-unit-2b-queens-ny-11421/1063324984366422233/view?agent_id=610d3f3370540700019b0833","83-77 Woodhaven Boulevard, Unit 2B")</f>
        <v>83-77 Woodhaven Boulevard, Unit 2B</v>
      </c>
      <c r="C3980" s="25" t="s">
        <v>370</v>
      </c>
      <c r="D3980" s="26" t="s">
        <v>23</v>
      </c>
      <c r="E3980" s="27" t="str">
        <f>HYPERLINK("https://www.compass.com/building/83-77-woodhaven-blvd-queens-ny-11421/307432100336514005/","83-77 Woodhaven Blvd")</f>
        <v>83-77 Woodhaven Blvd</v>
      </c>
      <c r="F3980" s="25" t="s">
        <v>168</v>
      </c>
      <c r="G3980" s="28">
        <v>239000.0</v>
      </c>
      <c r="H3980" s="29"/>
      <c r="I3980" s="28">
        <v>0.0</v>
      </c>
      <c r="J3980" s="28">
        <v>0.0</v>
      </c>
      <c r="K3980" s="25" t="s">
        <v>25</v>
      </c>
      <c r="L3980" s="26">
        <v>5.0</v>
      </c>
      <c r="M3980" s="26">
        <v>2.0</v>
      </c>
      <c r="N3980" s="26">
        <v>1.0</v>
      </c>
      <c r="O3980" s="30"/>
      <c r="P3980" s="30"/>
      <c r="Q3980" s="35">
        <v>208.0</v>
      </c>
      <c r="R3980" s="32">
        <v>45822.0</v>
      </c>
      <c r="S3980" s="32">
        <v>44718.0</v>
      </c>
      <c r="T3980" s="29"/>
      <c r="U3980" s="33"/>
      <c r="V3980" s="1"/>
    </row>
    <row r="3981" ht="24.0" customHeight="1">
      <c r="A3981" s="1"/>
      <c r="B3981" s="24" t="str">
        <f>HYPERLINK("https://www.compass.com/listing/118-60-metropolitan-avenue-unit-4c-queens-ny-11415/500849581438148689/view?agent_id=610d3f3370540700019b0833","118-60 Metropolitan Avenue, Unit 4C")</f>
        <v>118-60 Metropolitan Avenue, Unit 4C</v>
      </c>
      <c r="C3981" s="25" t="s">
        <v>370</v>
      </c>
      <c r="D3981" s="26" t="s">
        <v>23</v>
      </c>
      <c r="E3981" s="27" t="str">
        <f>HYPERLINK("https://www.compass.com/building/118-60-metropolitan-ave-queens-ny-11415/293532281132336741/","118-60 Metropolitan Ave")</f>
        <v>118-60 Metropolitan Ave</v>
      </c>
      <c r="F3981" s="25" t="s">
        <v>91</v>
      </c>
      <c r="G3981" s="28">
        <v>285000.0</v>
      </c>
      <c r="H3981" s="28">
        <v>314.0</v>
      </c>
      <c r="I3981" s="28">
        <v>0.0</v>
      </c>
      <c r="J3981" s="28">
        <v>0.0</v>
      </c>
      <c r="K3981" s="25" t="s">
        <v>25</v>
      </c>
      <c r="L3981" s="26">
        <v>6.0</v>
      </c>
      <c r="M3981" s="26">
        <v>2.0</v>
      </c>
      <c r="N3981" s="26">
        <v>1.0</v>
      </c>
      <c r="O3981" s="30"/>
      <c r="P3981" s="26">
        <v>907.0</v>
      </c>
      <c r="Q3981" s="35">
        <v>327.0</v>
      </c>
      <c r="R3981" s="32">
        <v>45634.0</v>
      </c>
      <c r="S3981" s="32">
        <v>42438.0</v>
      </c>
      <c r="T3981" s="29"/>
      <c r="U3981" s="33"/>
      <c r="V3981" s="1"/>
    </row>
    <row r="3982" ht="24.0" customHeight="1">
      <c r="A3982" s="1"/>
      <c r="B3982" s="24" t="str">
        <f>HYPERLINK("https://www.compass.com/listing/71-36-little-neck-parkway-unit-150a-queens-ny-11426/1404622278069967609/view?agent_id=610d3f3370540700019b0833","71-36 Little Neck Parkway, Unit 150A")</f>
        <v>71-36 Little Neck Parkway, Unit 150A</v>
      </c>
      <c r="C3982" s="25" t="s">
        <v>370</v>
      </c>
      <c r="D3982" s="26" t="s">
        <v>23</v>
      </c>
      <c r="E3982" s="27" t="str">
        <f>HYPERLINK("https://www.compass.com/building/71-36-little-neck-pkwy-queens-ny-11426/307456142313585349/","71-36 Little Neck Pkwy")</f>
        <v>71-36 Little Neck Pkwy</v>
      </c>
      <c r="F3982" s="25" t="s">
        <v>92</v>
      </c>
      <c r="G3982" s="28">
        <v>280000.0</v>
      </c>
      <c r="H3982" s="29"/>
      <c r="I3982" s="28">
        <v>0.0</v>
      </c>
      <c r="J3982" s="28">
        <v>0.0</v>
      </c>
      <c r="K3982" s="25" t="s">
        <v>25</v>
      </c>
      <c r="L3982" s="26">
        <v>4.0</v>
      </c>
      <c r="M3982" s="26">
        <v>2.0</v>
      </c>
      <c r="N3982" s="26">
        <v>1.0</v>
      </c>
      <c r="O3982" s="30"/>
      <c r="P3982" s="30"/>
      <c r="Q3982" s="35">
        <v>406.0</v>
      </c>
      <c r="R3982" s="32">
        <v>45597.0</v>
      </c>
      <c r="S3982" s="32">
        <v>45084.0</v>
      </c>
      <c r="T3982" s="29"/>
      <c r="U3982" s="33"/>
      <c r="V3982" s="1"/>
    </row>
    <row r="3983" ht="24.0" customHeight="1">
      <c r="A3983" s="1"/>
      <c r="B3983" s="24" t="str">
        <f>HYPERLINK("https://www.compass.com/listing/86-11-151st-avenue-unit-5n-queens-ny-11414/1730510519321690905/view?agent_id=610d3f3370540700019b0833","86-11 151st Avenue, Unit 5N")</f>
        <v>86-11 151st Avenue, Unit 5N</v>
      </c>
      <c r="C3983" s="25" t="s">
        <v>370</v>
      </c>
      <c r="D3983" s="26" t="s">
        <v>23</v>
      </c>
      <c r="E3983" s="27" t="str">
        <f>HYPERLINK("https://www.compass.com/building/86-11-151st-ave-queens-ny-11414/307456088584550101/","86-11 151st Ave")</f>
        <v>86-11 151st Ave</v>
      </c>
      <c r="F3983" s="25" t="s">
        <v>212</v>
      </c>
      <c r="G3983" s="28">
        <v>269000.0</v>
      </c>
      <c r="H3983" s="29"/>
      <c r="I3983" s="28">
        <v>519.0</v>
      </c>
      <c r="J3983" s="28">
        <v>291.0</v>
      </c>
      <c r="K3983" s="25" t="s">
        <v>28</v>
      </c>
      <c r="L3983" s="26">
        <v>5.0</v>
      </c>
      <c r="M3983" s="26">
        <v>2.0</v>
      </c>
      <c r="N3983" s="26">
        <v>1.0</v>
      </c>
      <c r="O3983" s="30"/>
      <c r="P3983" s="30"/>
      <c r="Q3983" s="35">
        <v>180.0</v>
      </c>
      <c r="R3983" s="32">
        <v>45597.0</v>
      </c>
      <c r="S3983" s="32">
        <v>41310.0</v>
      </c>
      <c r="T3983" s="29"/>
      <c r="U3983" s="33"/>
      <c r="V3983" s="1"/>
    </row>
    <row r="3984" ht="24.0" customHeight="1">
      <c r="A3984" s="1"/>
      <c r="B3984" s="24" t="str">
        <f>HYPERLINK("https://www.compass.com/listing/71-36-little-neck-parkway-unit-150a-queens-ny-11426/1328194275077404313/view?agent_id=610d3f3370540700019b0833","71-36 Little Neck Parkway, Unit 150A")</f>
        <v>71-36 Little Neck Parkway, Unit 150A</v>
      </c>
      <c r="C3984" s="25" t="s">
        <v>370</v>
      </c>
      <c r="D3984" s="26" t="s">
        <v>23</v>
      </c>
      <c r="E3984" s="27" t="str">
        <f>HYPERLINK("https://www.compass.com/building/71-36-little-neck-pkwy-queens-ny-11426/307456142313585349/","71-36 Little Neck Pkwy")</f>
        <v>71-36 Little Neck Pkwy</v>
      </c>
      <c r="F3984" s="25" t="s">
        <v>92</v>
      </c>
      <c r="G3984" s="28">
        <v>299000.0</v>
      </c>
      <c r="H3984" s="29"/>
      <c r="I3984" s="28">
        <v>0.0</v>
      </c>
      <c r="J3984" s="28">
        <v>0.0</v>
      </c>
      <c r="K3984" s="25" t="s">
        <v>25</v>
      </c>
      <c r="L3984" s="26">
        <v>4.0</v>
      </c>
      <c r="M3984" s="26">
        <v>2.0</v>
      </c>
      <c r="N3984" s="26">
        <v>1.0</v>
      </c>
      <c r="O3984" s="30"/>
      <c r="P3984" s="30"/>
      <c r="Q3984" s="35">
        <v>406.0</v>
      </c>
      <c r="R3984" s="32">
        <v>45597.0</v>
      </c>
      <c r="S3984" s="32">
        <v>45084.0</v>
      </c>
      <c r="T3984" s="29"/>
      <c r="U3984" s="33"/>
      <c r="V3984" s="1"/>
    </row>
    <row r="3985" ht="24.0" customHeight="1">
      <c r="A3985" s="1"/>
      <c r="B3985" s="24" t="str">
        <f>HYPERLINK("https://www.compass.com/listing/99-45-67th-road-unit-511-queens-ny-11375/1821531512394943073/view?agent_id=610d3f3370540700019b0833","99-45 67th Road, Unit 511")</f>
        <v>99-45 67th Road, Unit 511</v>
      </c>
      <c r="C3985" s="25" t="s">
        <v>370</v>
      </c>
      <c r="D3985" s="26" t="s">
        <v>23</v>
      </c>
      <c r="E3985" s="27" t="str">
        <f>HYPERLINK("https://www.compass.com/building/99-45-67th-rd-queens-ny-11375/293526263782470853/","99-45 67th Rd")</f>
        <v>99-45 67th Rd</v>
      </c>
      <c r="F3985" s="25" t="s">
        <v>166</v>
      </c>
      <c r="G3985" s="28">
        <v>425000.0</v>
      </c>
      <c r="H3985" s="28">
        <v>459.0</v>
      </c>
      <c r="I3985" s="28">
        <v>1003.0</v>
      </c>
      <c r="J3985" s="29"/>
      <c r="K3985" s="25" t="s">
        <v>25</v>
      </c>
      <c r="L3985" s="26">
        <v>4.0</v>
      </c>
      <c r="M3985" s="26">
        <v>2.0</v>
      </c>
      <c r="N3985" s="26">
        <v>1.0</v>
      </c>
      <c r="O3985" s="30"/>
      <c r="P3985" s="26">
        <v>925.0</v>
      </c>
      <c r="Q3985" s="35">
        <v>35.0</v>
      </c>
      <c r="R3985" s="32">
        <v>45612.0</v>
      </c>
      <c r="S3985" s="32">
        <v>44293.0</v>
      </c>
      <c r="T3985" s="29"/>
      <c r="U3985" s="33"/>
      <c r="V3985" s="1"/>
    </row>
    <row r="3986" ht="24.0" customHeight="1">
      <c r="A3986" s="1"/>
      <c r="B3986" s="24" t="str">
        <f>HYPERLINK("https://www.compass.com/listing/211-19a-a-73rd-avenue-unit-l-queens-ny-11364/1299565613071142705/view?agent_id=610d3f3370540700019b0833","211-19a A 73rd Avenue, Unit L")</f>
        <v>211-19a A 73rd Avenue, Unit L</v>
      </c>
      <c r="C3986" s="25" t="s">
        <v>370</v>
      </c>
      <c r="D3986" s="26" t="s">
        <v>23</v>
      </c>
      <c r="E3986" s="26" t="s">
        <v>421</v>
      </c>
      <c r="F3986" s="25" t="s">
        <v>37</v>
      </c>
      <c r="G3986" s="28">
        <v>360000.0</v>
      </c>
      <c r="H3986" s="29"/>
      <c r="I3986" s="28">
        <v>0.0</v>
      </c>
      <c r="J3986" s="29"/>
      <c r="K3986" s="25" t="s">
        <v>25</v>
      </c>
      <c r="L3986" s="26">
        <v>5.0</v>
      </c>
      <c r="M3986" s="26">
        <v>2.0</v>
      </c>
      <c r="N3986" s="26">
        <v>1.0</v>
      </c>
      <c r="O3986" s="30"/>
      <c r="P3986" s="30"/>
      <c r="Q3986" s="35">
        <v>296.0</v>
      </c>
      <c r="R3986" s="32">
        <v>45279.0</v>
      </c>
      <c r="S3986" s="32">
        <v>44833.0</v>
      </c>
      <c r="T3986" s="29"/>
      <c r="U3986" s="33"/>
      <c r="V3986" s="1"/>
    </row>
    <row r="3987" ht="24.0" customHeight="1">
      <c r="A3987" s="1"/>
      <c r="B3987" s="24" t="str">
        <f>HYPERLINK("https://www.compass.com/listing/102-10-66th-road-unit-3h-queens-ny-11375/1730736678298550793/view?agent_id=610d3f3370540700019b0833","102-10 66th Road, Unit 3H")</f>
        <v>102-10 66th Road, Unit 3H</v>
      </c>
      <c r="C3987" s="25" t="s">
        <v>370</v>
      </c>
      <c r="D3987" s="26" t="s">
        <v>23</v>
      </c>
      <c r="E3987" s="27" t="str">
        <f>HYPERLINK("https://www.compass.com/building/birchwood-towers-queens-ny/293529860993807381/","Birchwood Towers")</f>
        <v>Birchwood Towers</v>
      </c>
      <c r="F3987" s="25" t="s">
        <v>229</v>
      </c>
      <c r="G3987" s="28">
        <v>495000.0</v>
      </c>
      <c r="H3987" s="29"/>
      <c r="I3987" s="28">
        <v>0.0</v>
      </c>
      <c r="J3987" s="28">
        <v>0.0</v>
      </c>
      <c r="K3987" s="25" t="s">
        <v>25</v>
      </c>
      <c r="L3987" s="26">
        <v>5.0</v>
      </c>
      <c r="M3987" s="26">
        <v>2.0</v>
      </c>
      <c r="N3987" s="26">
        <v>1.0</v>
      </c>
      <c r="O3987" s="30"/>
      <c r="P3987" s="30"/>
      <c r="Q3987" s="35">
        <v>179.0</v>
      </c>
      <c r="R3987" s="32">
        <v>45597.0</v>
      </c>
      <c r="S3987" s="32">
        <v>44204.0</v>
      </c>
      <c r="T3987" s="29"/>
      <c r="U3987" s="33"/>
      <c r="V3987" s="1"/>
    </row>
    <row r="3988" ht="24.0" customHeight="1">
      <c r="A3988" s="1"/>
      <c r="B3988" s="24" t="str">
        <f>HYPERLINK("https://www.compass.com/listing/224-01-kingsbury-unit-b-queens-ny-11364/597066209282328313/view?agent_id=610d3f3370540700019b0833","224-01 Kingsbury, Unit B")</f>
        <v>224-01 Kingsbury, Unit B</v>
      </c>
      <c r="C3988" s="25" t="s">
        <v>364</v>
      </c>
      <c r="D3988" s="26" t="s">
        <v>23</v>
      </c>
      <c r="E3988" s="26" t="s">
        <v>422</v>
      </c>
      <c r="F3988" s="25" t="s">
        <v>37</v>
      </c>
      <c r="G3988" s="28">
        <v>369000.0</v>
      </c>
      <c r="H3988" s="29"/>
      <c r="I3988" s="28">
        <v>877.0</v>
      </c>
      <c r="J3988" s="28">
        <v>0.0</v>
      </c>
      <c r="K3988" s="25" t="s">
        <v>25</v>
      </c>
      <c r="L3988" s="26">
        <v>5.0</v>
      </c>
      <c r="M3988" s="26">
        <v>2.0</v>
      </c>
      <c r="N3988" s="26">
        <v>1.0</v>
      </c>
      <c r="O3988" s="26">
        <v>0.0</v>
      </c>
      <c r="P3988" s="30"/>
      <c r="Q3988" s="35">
        <v>447.0</v>
      </c>
      <c r="R3988" s="32">
        <v>44522.0</v>
      </c>
      <c r="S3988" s="32">
        <v>44075.0</v>
      </c>
      <c r="T3988" s="29"/>
      <c r="U3988" s="33"/>
      <c r="V3988" s="1"/>
    </row>
    <row r="3989" ht="24.0" customHeight="1">
      <c r="A3989" s="1"/>
      <c r="B3989" s="24" t="str">
        <f>HYPERLINK("https://www.compass.com/listing/85-04-63rd-drive-unit-5g1-queens-ny-11374/1256702422411715473/view?agent_id=610d3f3370540700019b0833","85-04 63rd Drive, Unit 5G1")</f>
        <v>85-04 63rd Drive, Unit 5G1</v>
      </c>
      <c r="C3989" s="25" t="s">
        <v>370</v>
      </c>
      <c r="D3989" s="26" t="s">
        <v>23</v>
      </c>
      <c r="E3989" s="27" t="str">
        <f>HYPERLINK("https://www.compass.com/building/85-04-63rd-dr-queens-ny-11374/293530633106381445/","85-04 63rd Dr")</f>
        <v>85-04 63rd Dr</v>
      </c>
      <c r="F3989" s="25" t="s">
        <v>166</v>
      </c>
      <c r="G3989" s="28">
        <v>635000.0</v>
      </c>
      <c r="H3989" s="28">
        <v>667.0</v>
      </c>
      <c r="I3989" s="28">
        <v>312.0</v>
      </c>
      <c r="J3989" s="28">
        <v>3739.0</v>
      </c>
      <c r="K3989" s="25" t="s">
        <v>28</v>
      </c>
      <c r="L3989" s="26">
        <v>5.0</v>
      </c>
      <c r="M3989" s="26">
        <v>2.0</v>
      </c>
      <c r="N3989" s="26">
        <v>1.0</v>
      </c>
      <c r="O3989" s="26">
        <v>0.0</v>
      </c>
      <c r="P3989" s="26">
        <v>952.0</v>
      </c>
      <c r="Q3989" s="35">
        <v>181.0</v>
      </c>
      <c r="R3989" s="32">
        <v>45167.0</v>
      </c>
      <c r="S3989" s="32">
        <v>44985.0</v>
      </c>
      <c r="T3989" s="29"/>
      <c r="U3989" s="33"/>
      <c r="V3989" s="1"/>
    </row>
    <row r="3990" ht="24.0" customHeight="1">
      <c r="A3990" s="1"/>
      <c r="B3990" s="24" t="str">
        <f>HYPERLINK("https://www.compass.com/listing/224-01-kingsbury-avenue-unit-2-queens-ny-11364/1709589120503458257/view?agent_id=610d3f3370540700019b0833","224-01 Kingsbury Avenue, Unit 2")</f>
        <v>224-01 Kingsbury Avenue, Unit 2</v>
      </c>
      <c r="C3990" s="25" t="s">
        <v>370</v>
      </c>
      <c r="D3990" s="26" t="s">
        <v>23</v>
      </c>
      <c r="E3990" s="27" t="str">
        <f>HYPERLINK("https://www.compass.com/building/224-01-kingsbury-ave-queens-ny-11364/307452324498549573/","224-01 Kingsbury Ave")</f>
        <v>224-01 Kingsbury Ave</v>
      </c>
      <c r="F3990" s="25" t="s">
        <v>37</v>
      </c>
      <c r="G3990" s="28">
        <v>319999.0</v>
      </c>
      <c r="H3990" s="29"/>
      <c r="I3990" s="28">
        <v>0.0</v>
      </c>
      <c r="J3990" s="28">
        <v>0.0</v>
      </c>
      <c r="K3990" s="25" t="s">
        <v>25</v>
      </c>
      <c r="L3990" s="26">
        <v>5.0</v>
      </c>
      <c r="M3990" s="26">
        <v>2.0</v>
      </c>
      <c r="N3990" s="26">
        <v>1.0</v>
      </c>
      <c r="O3990" s="30"/>
      <c r="P3990" s="30"/>
      <c r="Q3990" s="35">
        <v>563.0</v>
      </c>
      <c r="R3990" s="32">
        <v>45597.0</v>
      </c>
      <c r="S3990" s="32">
        <v>44361.0</v>
      </c>
      <c r="T3990" s="29"/>
      <c r="U3990" s="33"/>
      <c r="V3990" s="1"/>
    </row>
    <row r="3991" ht="24.0" customHeight="1">
      <c r="A3991" s="1"/>
      <c r="B3991" s="24" t="str">
        <f>HYPERLINK("https://www.compass.com/listing/251-47-71st-road-unit-57a-queens-ny-11426/1597993016720948385/view?agent_id=610d3f3370540700019b0833","251-47 71st Road, Unit 57A")</f>
        <v>251-47 71st Road, Unit 57A</v>
      </c>
      <c r="C3991" s="25" t="s">
        <v>370</v>
      </c>
      <c r="D3991" s="26" t="s">
        <v>23</v>
      </c>
      <c r="E3991" s="27" t="str">
        <f>HYPERLINK("https://www.compass.com/building/251-47-71st-rd-queens-ny-11426/344163476302742149/","251-47 71st Rd")</f>
        <v>251-47 71st Rd</v>
      </c>
      <c r="F3991" s="25" t="s">
        <v>92</v>
      </c>
      <c r="G3991" s="28">
        <v>360000.0</v>
      </c>
      <c r="H3991" s="29"/>
      <c r="I3991" s="28">
        <v>111.0</v>
      </c>
      <c r="J3991" s="28">
        <v>1332.0</v>
      </c>
      <c r="K3991" s="25" t="s">
        <v>25</v>
      </c>
      <c r="L3991" s="26">
        <v>4.0</v>
      </c>
      <c r="M3991" s="26">
        <v>2.0</v>
      </c>
      <c r="N3991" s="26">
        <v>1.0</v>
      </c>
      <c r="O3991" s="30"/>
      <c r="P3991" s="30"/>
      <c r="Q3991" s="35">
        <v>48.0</v>
      </c>
      <c r="R3991" s="32">
        <v>45681.0</v>
      </c>
      <c r="S3991" s="32">
        <v>45456.0</v>
      </c>
      <c r="T3991" s="29"/>
      <c r="U3991" s="33"/>
      <c r="V3991" s="1"/>
    </row>
    <row r="3992" ht="24.0" customHeight="1">
      <c r="A3992" s="1"/>
      <c r="B3992" s="24" t="str">
        <f>HYPERLINK("https://www.compass.com/listing/35-41-205th-street-unit-2b-queens-ny-11361/249238307517499041/view?agent_id=610d3f3370540700019b0833","35-41 205th Street, Unit 2B")</f>
        <v>35-41 205th Street, Unit 2B</v>
      </c>
      <c r="C3992" s="25" t="s">
        <v>370</v>
      </c>
      <c r="D3992" s="26" t="s">
        <v>23</v>
      </c>
      <c r="E3992" s="27" t="str">
        <f>HYPERLINK("https://www.compass.com/building/35-41-205th-st-queens-ny-11361/307447125063266165/","35-41 205th St")</f>
        <v>35-41 205th St</v>
      </c>
      <c r="F3992" s="25" t="s">
        <v>175</v>
      </c>
      <c r="G3992" s="28">
        <v>320000.0</v>
      </c>
      <c r="H3992" s="29"/>
      <c r="I3992" s="28">
        <v>0.0</v>
      </c>
      <c r="J3992" s="28">
        <v>0.0</v>
      </c>
      <c r="K3992" s="25" t="s">
        <v>25</v>
      </c>
      <c r="L3992" s="26">
        <v>4.0</v>
      </c>
      <c r="M3992" s="26">
        <v>2.0</v>
      </c>
      <c r="N3992" s="26">
        <v>1.0</v>
      </c>
      <c r="O3992" s="26">
        <v>0.0</v>
      </c>
      <c r="P3992" s="30"/>
      <c r="Q3992" s="35">
        <v>250.0</v>
      </c>
      <c r="R3992" s="32">
        <v>45597.0</v>
      </c>
      <c r="S3992" s="32">
        <v>43595.0</v>
      </c>
      <c r="T3992" s="29"/>
      <c r="U3992" s="33"/>
      <c r="V3992" s="1"/>
    </row>
    <row r="3993" ht="24.0" customHeight="1">
      <c r="A3993" s="1"/>
      <c r="B3993" s="24" t="str">
        <f>HYPERLINK("https://www.compass.com/listing/61-49-78th-street-queens-ny-11379/568151212875411817/view?agent_id=610d3f3370540700019b0833","61-49 78th Street")</f>
        <v>61-49 78th Street</v>
      </c>
      <c r="C3993" s="25" t="s">
        <v>364</v>
      </c>
      <c r="D3993" s="26" t="s">
        <v>23</v>
      </c>
      <c r="E3993" s="27" t="str">
        <f>HYPERLINK("https://www.compass.com/building/61-49-78th-st-queens-ny-11379/293530581986311221/","61-49 78th St")</f>
        <v>61-49 78th St</v>
      </c>
      <c r="F3993" s="25" t="s">
        <v>269</v>
      </c>
      <c r="G3993" s="28">
        <v>788000.0</v>
      </c>
      <c r="H3993" s="29"/>
      <c r="I3993" s="28">
        <v>6356.0</v>
      </c>
      <c r="J3993" s="28">
        <v>76272.0</v>
      </c>
      <c r="K3993" s="25" t="s">
        <v>36</v>
      </c>
      <c r="L3993" s="26">
        <v>5.0</v>
      </c>
      <c r="M3993" s="26">
        <v>2.0</v>
      </c>
      <c r="N3993" s="30"/>
      <c r="O3993" s="30"/>
      <c r="P3993" s="30"/>
      <c r="Q3993" s="31"/>
      <c r="R3993" s="32">
        <v>44040.0</v>
      </c>
      <c r="S3993" s="33"/>
      <c r="T3993" s="29"/>
      <c r="U3993" s="33"/>
      <c r="V3993" s="1"/>
    </row>
    <row r="3994" ht="24.0" customHeight="1">
      <c r="A3994" s="1"/>
      <c r="B3994" s="24" t="str">
        <f>HYPERLINK("https://www.compass.com/listing/115a-stack-drive-unit-2-staten-island-ny-10312/1568517875620337977/view?agent_id=610d3f3370540700019b0833","115A Stack Drive, Unit 2")</f>
        <v>115A Stack Drive, Unit 2</v>
      </c>
      <c r="C3994" s="25" t="s">
        <v>370</v>
      </c>
      <c r="D3994" s="26" t="s">
        <v>23</v>
      </c>
      <c r="E3994" s="27" t="str">
        <f>HYPERLINK("https://www.compass.com/building/115a-stack-dr-staten-island-ny-10312/307454335986036069/","115a Stack Dr")</f>
        <v>115a Stack Dr</v>
      </c>
      <c r="F3994" s="25" t="s">
        <v>267</v>
      </c>
      <c r="G3994" s="28">
        <v>299000.0</v>
      </c>
      <c r="H3994" s="28">
        <v>287.0</v>
      </c>
      <c r="I3994" s="28">
        <v>530.0</v>
      </c>
      <c r="J3994" s="28">
        <v>2760.0</v>
      </c>
      <c r="K3994" s="25" t="s">
        <v>28</v>
      </c>
      <c r="L3994" s="26">
        <v>5.0</v>
      </c>
      <c r="M3994" s="26">
        <v>2.0</v>
      </c>
      <c r="N3994" s="26">
        <v>1.0</v>
      </c>
      <c r="O3994" s="30"/>
      <c r="P3994" s="34">
        <v>1043.0</v>
      </c>
      <c r="Q3994" s="35">
        <v>78.0</v>
      </c>
      <c r="R3994" s="32">
        <v>44341.0</v>
      </c>
      <c r="S3994" s="32">
        <v>44179.0</v>
      </c>
      <c r="T3994" s="29"/>
      <c r="U3994" s="33"/>
      <c r="V3994" s="1"/>
    </row>
    <row r="3995" ht="24.0" customHeight="1">
      <c r="A3995" s="1"/>
      <c r="B3995" s="24" t="str">
        <f>HYPERLINK("https://www.compass.com/listing/501-surf-avenue-unit-3r-brooklyn-ny-11224/997268103165180905/view?agent_id=610d3f3370540700019b0833","501 Surf Avenue, Unit 3R")</f>
        <v>501 Surf Avenue, Unit 3R</v>
      </c>
      <c r="C3995" s="25" t="s">
        <v>364</v>
      </c>
      <c r="D3995" s="26" t="s">
        <v>23</v>
      </c>
      <c r="E3995" s="27" t="str">
        <f>HYPERLINK("https://www.compass.com/building/brightwater-towers-brooklyn-ny/294843377849785077/","Brightwater Towers")</f>
        <v>Brightwater Towers</v>
      </c>
      <c r="F3995" s="25" t="s">
        <v>183</v>
      </c>
      <c r="G3995" s="28">
        <v>635000.0</v>
      </c>
      <c r="H3995" s="28">
        <v>635.0</v>
      </c>
      <c r="I3995" s="28">
        <v>964.0</v>
      </c>
      <c r="J3995" s="28">
        <v>1128.0</v>
      </c>
      <c r="K3995" s="25" t="s">
        <v>28</v>
      </c>
      <c r="L3995" s="26">
        <v>4.0</v>
      </c>
      <c r="M3995" s="26">
        <v>2.0</v>
      </c>
      <c r="N3995" s="26">
        <v>1.0</v>
      </c>
      <c r="O3995" s="30"/>
      <c r="P3995" s="34">
        <v>1000.0</v>
      </c>
      <c r="Q3995" s="35">
        <v>127.0</v>
      </c>
      <c r="R3995" s="32">
        <v>44755.0</v>
      </c>
      <c r="S3995" s="32">
        <v>44627.0</v>
      </c>
      <c r="T3995" s="29"/>
      <c r="U3995" s="33"/>
      <c r="V3995" s="1"/>
    </row>
    <row r="3996" ht="24.0" customHeight="1">
      <c r="A3996" s="1"/>
      <c r="B3996" s="24" t="str">
        <f>HYPERLINK("https://www.compass.com/listing/1-pennyfield-avenue-unit-11-bronx-ny-10465/1292137979248775737/view?agent_id=610d3f3370540700019b0833","1 Pennyfield Avenue, Unit 11")</f>
        <v>1 Pennyfield Avenue, Unit 11</v>
      </c>
      <c r="C3996" s="25" t="s">
        <v>370</v>
      </c>
      <c r="D3996" s="26" t="s">
        <v>23</v>
      </c>
      <c r="E3996" s="27" t="str">
        <f>HYPERLINK("https://www.compass.com/building/1-pennyfield-ave-bronx-ny-10465/293530423860991157/","1 Pennyfield Ave")</f>
        <v>1 Pennyfield Ave</v>
      </c>
      <c r="F3996" s="25" t="s">
        <v>208</v>
      </c>
      <c r="G3996" s="28">
        <v>439000.0</v>
      </c>
      <c r="H3996" s="28">
        <v>526.0</v>
      </c>
      <c r="I3996" s="28">
        <v>722.0</v>
      </c>
      <c r="J3996" s="28">
        <v>3581.0</v>
      </c>
      <c r="K3996" s="25" t="s">
        <v>28</v>
      </c>
      <c r="L3996" s="26">
        <v>5.0</v>
      </c>
      <c r="M3996" s="26">
        <v>2.0</v>
      </c>
      <c r="N3996" s="26">
        <v>1.0</v>
      </c>
      <c r="O3996" s="30"/>
      <c r="P3996" s="26">
        <v>835.0</v>
      </c>
      <c r="Q3996" s="35">
        <v>42.0</v>
      </c>
      <c r="R3996" s="32">
        <v>45612.0</v>
      </c>
      <c r="S3996" s="32">
        <v>44720.0</v>
      </c>
      <c r="T3996" s="29"/>
      <c r="U3996" s="33"/>
      <c r="V3996" s="1"/>
    </row>
    <row r="3997" ht="24.0" customHeight="1">
      <c r="A3997" s="1"/>
      <c r="B3997" s="24" t="str">
        <f>HYPERLINK("https://www.compass.com/listing/109-18-lefferts-boulevard-unit-d2-queens-ny-11420/1597900279367864713/view?agent_id=610d3f3370540700019b0833","109-18 Lefferts Boulevard, Unit D2")</f>
        <v>109-18 Lefferts Boulevard, Unit D2</v>
      </c>
      <c r="C3997" s="25" t="s">
        <v>364</v>
      </c>
      <c r="D3997" s="26" t="s">
        <v>23</v>
      </c>
      <c r="E3997" s="27" t="str">
        <f>HYPERLINK("https://www.compass.com/building/109-18-lefferts-blvd-queens-ny-11420/293529744358554773/","109-18 Lefferts Blvd")</f>
        <v>109-18 Lefferts Blvd</v>
      </c>
      <c r="F3997" s="25" t="s">
        <v>277</v>
      </c>
      <c r="G3997" s="28">
        <v>407000.0</v>
      </c>
      <c r="H3997" s="28">
        <v>495.0</v>
      </c>
      <c r="I3997" s="28">
        <v>704.0</v>
      </c>
      <c r="J3997" s="28">
        <v>3204.0</v>
      </c>
      <c r="K3997" s="25" t="s">
        <v>28</v>
      </c>
      <c r="L3997" s="26">
        <v>5.0</v>
      </c>
      <c r="M3997" s="26">
        <v>2.0</v>
      </c>
      <c r="N3997" s="26">
        <v>1.0</v>
      </c>
      <c r="O3997" s="30"/>
      <c r="P3997" s="26">
        <v>823.0</v>
      </c>
      <c r="Q3997" s="35">
        <v>263.0</v>
      </c>
      <c r="R3997" s="32">
        <v>45754.0</v>
      </c>
      <c r="S3997" s="32">
        <v>45491.0</v>
      </c>
      <c r="T3997" s="29"/>
      <c r="U3997" s="33"/>
      <c r="V3997" s="1"/>
    </row>
    <row r="3998" ht="24.0" customHeight="1">
      <c r="A3998" s="1"/>
      <c r="B3998" s="24" t="str">
        <f>HYPERLINK("https://www.compass.com/listing/102-10-66th-road-unit-3h-queens-ny-11375/1074009381265284833/view?agent_id=610d3f3370540700019b0833","102-10 66th Road, Unit 3H")</f>
        <v>102-10 66th Road, Unit 3H</v>
      </c>
      <c r="C3998" s="25" t="s">
        <v>364</v>
      </c>
      <c r="D3998" s="26" t="s">
        <v>23</v>
      </c>
      <c r="E3998" s="27" t="str">
        <f>HYPERLINK("https://www.compass.com/building/birchwood-towers-queens-ny/293529860993807381/","Birchwood Towers")</f>
        <v>Birchwood Towers</v>
      </c>
      <c r="F3998" s="25" t="s">
        <v>229</v>
      </c>
      <c r="G3998" s="28">
        <v>529000.0</v>
      </c>
      <c r="H3998" s="29"/>
      <c r="I3998" s="28">
        <v>99.0</v>
      </c>
      <c r="J3998" s="28">
        <v>1183.0</v>
      </c>
      <c r="K3998" s="25" t="s">
        <v>25</v>
      </c>
      <c r="L3998" s="26">
        <v>6.0</v>
      </c>
      <c r="M3998" s="26">
        <v>2.0</v>
      </c>
      <c r="N3998" s="26">
        <v>1.0</v>
      </c>
      <c r="O3998" s="26">
        <v>0.0</v>
      </c>
      <c r="P3998" s="30"/>
      <c r="Q3998" s="35">
        <v>83.0</v>
      </c>
      <c r="R3998" s="32">
        <v>44817.0</v>
      </c>
      <c r="S3998" s="32">
        <v>44733.0</v>
      </c>
      <c r="T3998" s="29"/>
      <c r="U3998" s="33"/>
      <c r="V3998" s="1"/>
    </row>
    <row r="3999" ht="24.0" customHeight="1">
      <c r="A3999" s="1"/>
      <c r="B3999" s="24" t="str">
        <f>HYPERLINK("https://www.compass.com/listing/217-03-75th-avenue-unit-2-queens-ny-11364/713865222266547857/view?agent_id=610d3f3370540700019b0833","217-03 75th Avenue, Unit 2")</f>
        <v>217-03 75th Avenue, Unit 2</v>
      </c>
      <c r="C3999" s="25" t="s">
        <v>364</v>
      </c>
      <c r="D3999" s="26" t="s">
        <v>23</v>
      </c>
      <c r="E3999" s="27" t="str">
        <f>HYPERLINK("https://www.compass.com/building/217-03-75th-ave-queens-ny-11364/445802767807205677/","217-03 75th Ave")</f>
        <v>217-03 75th Ave</v>
      </c>
      <c r="F3999" s="25" t="s">
        <v>37</v>
      </c>
      <c r="G3999" s="28">
        <v>299000.0</v>
      </c>
      <c r="H3999" s="29"/>
      <c r="I3999" s="28">
        <v>882.0</v>
      </c>
      <c r="J3999" s="28">
        <v>0.0</v>
      </c>
      <c r="K3999" s="25" t="s">
        <v>25</v>
      </c>
      <c r="L3999" s="26">
        <v>4.0</v>
      </c>
      <c r="M3999" s="26">
        <v>2.0</v>
      </c>
      <c r="N3999" s="26">
        <v>1.0</v>
      </c>
      <c r="O3999" s="26">
        <v>0.0</v>
      </c>
      <c r="P3999" s="30"/>
      <c r="Q3999" s="35">
        <v>531.0</v>
      </c>
      <c r="R3999" s="32">
        <v>44768.0</v>
      </c>
      <c r="S3999" s="32">
        <v>44237.0</v>
      </c>
      <c r="T3999" s="29"/>
      <c r="U3999" s="33"/>
      <c r="V3999" s="1"/>
    </row>
    <row r="4000" ht="24.0" customHeight="1">
      <c r="A4000" s="1"/>
      <c r="B4000" s="24" t="str">
        <f>HYPERLINK("https://www.compass.com/listing/72-29-little-neck-parkway-unit-g2-queens-ny-11426/1730599571794311721/view?agent_id=610d3f3370540700019b0833","72-29 Little Neck Parkway, Unit G2")</f>
        <v>72-29 Little Neck Parkway, Unit G2</v>
      </c>
      <c r="C4000" s="25" t="s">
        <v>370</v>
      </c>
      <c r="D4000" s="26" t="s">
        <v>23</v>
      </c>
      <c r="E4000" s="26" t="s">
        <v>423</v>
      </c>
      <c r="F4000" s="25" t="s">
        <v>92</v>
      </c>
      <c r="G4000" s="28">
        <v>249900.0</v>
      </c>
      <c r="H4000" s="28">
        <v>326.0</v>
      </c>
      <c r="I4000" s="28">
        <v>0.0</v>
      </c>
      <c r="J4000" s="28">
        <v>0.0</v>
      </c>
      <c r="K4000" s="25" t="s">
        <v>25</v>
      </c>
      <c r="L4000" s="26">
        <v>4.0</v>
      </c>
      <c r="M4000" s="26">
        <v>2.0</v>
      </c>
      <c r="N4000" s="26">
        <v>1.0</v>
      </c>
      <c r="O4000" s="30"/>
      <c r="P4000" s="26">
        <v>766.0</v>
      </c>
      <c r="Q4000" s="35">
        <v>119.0</v>
      </c>
      <c r="R4000" s="32">
        <v>45597.0</v>
      </c>
      <c r="S4000" s="32">
        <v>41327.0</v>
      </c>
      <c r="T4000" s="29"/>
      <c r="U4000" s="33"/>
      <c r="V4000" s="1"/>
    </row>
    <row r="4001" ht="24.0" customHeight="1">
      <c r="A4001" s="1"/>
      <c r="B4001" s="24" t="str">
        <f>HYPERLINK("https://www.compass.com/listing/72-29-little-neck-parkway-unit-g2-queens-ny-11426/1730518586419410049/view?agent_id=610d3f3370540700019b0833","72-29 Little Neck Parkway, Unit G2")</f>
        <v>72-29 Little Neck Parkway, Unit G2</v>
      </c>
      <c r="C4001" s="25" t="s">
        <v>370</v>
      </c>
      <c r="D4001" s="26" t="s">
        <v>23</v>
      </c>
      <c r="E4001" s="26" t="s">
        <v>423</v>
      </c>
      <c r="F4001" s="25" t="s">
        <v>92</v>
      </c>
      <c r="G4001" s="28">
        <v>259000.0</v>
      </c>
      <c r="H4001" s="28">
        <v>338.0</v>
      </c>
      <c r="I4001" s="28">
        <v>0.0</v>
      </c>
      <c r="J4001" s="28">
        <v>0.0</v>
      </c>
      <c r="K4001" s="25" t="s">
        <v>25</v>
      </c>
      <c r="L4001" s="26">
        <v>4.0</v>
      </c>
      <c r="M4001" s="26">
        <v>2.0</v>
      </c>
      <c r="N4001" s="26">
        <v>1.0</v>
      </c>
      <c r="O4001" s="30"/>
      <c r="P4001" s="26">
        <v>766.0</v>
      </c>
      <c r="Q4001" s="35">
        <v>93.0</v>
      </c>
      <c r="R4001" s="32">
        <v>45597.0</v>
      </c>
      <c r="S4001" s="32">
        <v>41619.0</v>
      </c>
      <c r="T4001" s="29"/>
      <c r="U4001" s="33"/>
      <c r="V4001" s="1"/>
    </row>
    <row r="4002" ht="24.0" customHeight="1">
      <c r="A4002" s="1"/>
      <c r="B4002" s="24" t="str">
        <f>HYPERLINK("https://www.compass.com/listing/72-29-little-neck-parkway-unit-g2-queens-ny-11426/1730736783541975465/view?agent_id=610d3f3370540700019b0833","72-29 Little Neck Parkway, Unit G2")</f>
        <v>72-29 Little Neck Parkway, Unit G2</v>
      </c>
      <c r="C4002" s="25" t="s">
        <v>370</v>
      </c>
      <c r="D4002" s="26" t="s">
        <v>23</v>
      </c>
      <c r="E4002" s="26" t="s">
        <v>423</v>
      </c>
      <c r="F4002" s="25" t="s">
        <v>92</v>
      </c>
      <c r="G4002" s="28">
        <v>259000.0</v>
      </c>
      <c r="H4002" s="28">
        <v>338.0</v>
      </c>
      <c r="I4002" s="28">
        <v>0.0</v>
      </c>
      <c r="J4002" s="28">
        <v>0.0</v>
      </c>
      <c r="K4002" s="25" t="s">
        <v>25</v>
      </c>
      <c r="L4002" s="26">
        <v>4.0</v>
      </c>
      <c r="M4002" s="26">
        <v>2.0</v>
      </c>
      <c r="N4002" s="26">
        <v>1.0</v>
      </c>
      <c r="O4002" s="30"/>
      <c r="P4002" s="26">
        <v>766.0</v>
      </c>
      <c r="Q4002" s="35">
        <v>304.0</v>
      </c>
      <c r="R4002" s="32">
        <v>45597.0</v>
      </c>
      <c r="S4002" s="32">
        <v>41449.0</v>
      </c>
      <c r="T4002" s="29"/>
      <c r="U4002" s="33"/>
      <c r="V4002" s="1"/>
    </row>
    <row r="4003" ht="24.0" customHeight="1">
      <c r="A4003" s="1"/>
      <c r="B4003" s="24" t="str">
        <f>HYPERLINK("https://www.compass.com/listing/2620-east-13th-street-unit-5d-brooklyn-ny-11235/639081614804844265/view?agent_id=610d3f3370540700019b0833","2620 East 13th Street, Unit 5D")</f>
        <v>2620 East 13th Street, Unit 5D</v>
      </c>
      <c r="C4003" s="25" t="s">
        <v>364</v>
      </c>
      <c r="D4003" s="26" t="s">
        <v>23</v>
      </c>
      <c r="E4003" s="27" t="str">
        <f>HYPERLINK("https://www.compass.com/building/2620-e-13th-st-brooklyn-ny-11235/293534107172878549/","2620 E 13th St")</f>
        <v>2620 E 13th St</v>
      </c>
      <c r="F4003" s="25" t="s">
        <v>70</v>
      </c>
      <c r="G4003" s="28">
        <v>375000.0</v>
      </c>
      <c r="H4003" s="29"/>
      <c r="I4003" s="28">
        <v>726.0</v>
      </c>
      <c r="J4003" s="28">
        <v>0.0</v>
      </c>
      <c r="K4003" s="25" t="s">
        <v>25</v>
      </c>
      <c r="L4003" s="26">
        <v>4.0</v>
      </c>
      <c r="M4003" s="26">
        <v>2.0</v>
      </c>
      <c r="N4003" s="26">
        <v>1.0</v>
      </c>
      <c r="O4003" s="26">
        <v>0.0</v>
      </c>
      <c r="P4003" s="30"/>
      <c r="Q4003" s="31"/>
      <c r="R4003" s="32">
        <v>44143.0</v>
      </c>
      <c r="S4003" s="33"/>
      <c r="T4003" s="29"/>
      <c r="U4003" s="33"/>
      <c r="V4003" s="1"/>
    </row>
    <row r="4004" ht="24.0" customHeight="1">
      <c r="A4004" s="1"/>
      <c r="B4004" s="24" t="str">
        <f>HYPERLINK("https://www.compass.com/listing/66-36-yellowstone-boulevard-unit-6b-queens-ny-11375/998065345719837209/view?agent_id=610d3f3370540700019b0833","66-36 Yellowstone Boulevard, Unit 6B")</f>
        <v>66-36 Yellowstone Boulevard, Unit 6B</v>
      </c>
      <c r="C4004" s="25" t="s">
        <v>364</v>
      </c>
      <c r="D4004" s="26" t="s">
        <v>23</v>
      </c>
      <c r="E4004" s="27" t="str">
        <f>HYPERLINK("https://www.compass.com/building/66-36-yellowstone-blvd-queens-ny-11375/293528987672619925/","66-36 Yellowstone Blvd")</f>
        <v>66-36 Yellowstone Blvd</v>
      </c>
      <c r="F4004" s="25" t="s">
        <v>229</v>
      </c>
      <c r="G4004" s="28">
        <v>579000.0</v>
      </c>
      <c r="H4004" s="29"/>
      <c r="I4004" s="28">
        <v>982.0</v>
      </c>
      <c r="J4004" s="28">
        <v>0.0</v>
      </c>
      <c r="K4004" s="25" t="s">
        <v>25</v>
      </c>
      <c r="L4004" s="26">
        <v>5.0</v>
      </c>
      <c r="M4004" s="26">
        <v>2.0</v>
      </c>
      <c r="N4004" s="26">
        <v>1.0</v>
      </c>
      <c r="O4004" s="26">
        <v>0.0</v>
      </c>
      <c r="P4004" s="30"/>
      <c r="Q4004" s="35">
        <v>85.0</v>
      </c>
      <c r="R4004" s="32">
        <v>44714.0</v>
      </c>
      <c r="S4004" s="32">
        <v>44628.0</v>
      </c>
      <c r="T4004" s="29"/>
      <c r="U4004" s="33"/>
      <c r="V4004" s="1"/>
    </row>
    <row r="4005" ht="24.0" customHeight="1">
      <c r="A4005" s="1"/>
      <c r="B4005" s="24" t="str">
        <f>HYPERLINK("https://www.compass.com/listing/115-a-stack-drive-staten-island-ny-10312/672414946758762025/view?agent_id=610d3f3370540700019b0833","115 A Stack Drive")</f>
        <v>115 A Stack Drive</v>
      </c>
      <c r="C4005" s="25" t="s">
        <v>365</v>
      </c>
      <c r="D4005" s="26" t="s">
        <v>23</v>
      </c>
      <c r="E4005" s="26" t="s">
        <v>424</v>
      </c>
      <c r="F4005" s="25" t="s">
        <v>267</v>
      </c>
      <c r="G4005" s="28">
        <v>299000.0</v>
      </c>
      <c r="H4005" s="28">
        <v>287.0</v>
      </c>
      <c r="I4005" s="28">
        <v>530.0</v>
      </c>
      <c r="J4005" s="28">
        <v>2760.0</v>
      </c>
      <c r="K4005" s="25" t="s">
        <v>28</v>
      </c>
      <c r="L4005" s="26">
        <v>5.0</v>
      </c>
      <c r="M4005" s="26">
        <v>2.0</v>
      </c>
      <c r="N4005" s="26">
        <v>1.0</v>
      </c>
      <c r="O4005" s="26">
        <v>0.0</v>
      </c>
      <c r="P4005" s="34">
        <v>1043.0</v>
      </c>
      <c r="Q4005" s="35">
        <v>79.0</v>
      </c>
      <c r="R4005" s="32">
        <v>44327.0</v>
      </c>
      <c r="S4005" s="32">
        <v>44179.0</v>
      </c>
      <c r="T4005" s="29"/>
      <c r="U4005" s="33"/>
      <c r="V4005" s="1"/>
    </row>
    <row r="4006" ht="24.0" customHeight="1">
      <c r="A4006" s="1"/>
      <c r="B4006" s="24" t="str">
        <f>HYPERLINK("https://www.compass.com/listing/144-42-village-road-unit-70a-queens-ny-11435/1139884026646686081/view?agent_id=610d3f3370540700019b0833","144-42 Village Road, Unit 70A")</f>
        <v>144-42 Village Road, Unit 70A</v>
      </c>
      <c r="C4006" s="25" t="s">
        <v>370</v>
      </c>
      <c r="D4006" s="26" t="s">
        <v>23</v>
      </c>
      <c r="E4006" s="27" t="str">
        <f>HYPERLINK("https://www.compass.com/building/144-42-village-rd-queens-ny-11435/307448138029644613/","144-42 Village Rd")</f>
        <v>144-42 Village Rd</v>
      </c>
      <c r="F4006" s="25" t="s">
        <v>142</v>
      </c>
      <c r="G4006" s="28">
        <v>330000.0</v>
      </c>
      <c r="H4006" s="28">
        <v>330.0</v>
      </c>
      <c r="I4006" s="28">
        <v>1389.0</v>
      </c>
      <c r="J4006" s="28">
        <v>0.0</v>
      </c>
      <c r="K4006" s="25" t="s">
        <v>25</v>
      </c>
      <c r="L4006" s="26">
        <v>5.0</v>
      </c>
      <c r="M4006" s="26">
        <v>2.0</v>
      </c>
      <c r="N4006" s="26">
        <v>1.0</v>
      </c>
      <c r="O4006" s="30"/>
      <c r="P4006" s="34">
        <v>1000.0</v>
      </c>
      <c r="Q4006" s="35">
        <v>181.0</v>
      </c>
      <c r="R4006" s="32">
        <v>45006.0</v>
      </c>
      <c r="S4006" s="32">
        <v>44824.0</v>
      </c>
      <c r="T4006" s="29"/>
      <c r="U4006" s="33"/>
      <c r="V4006" s="1"/>
    </row>
    <row r="4007" ht="24.0" customHeight="1">
      <c r="A4007" s="1"/>
      <c r="B4007" s="24" t="str">
        <f>HYPERLINK("https://www.compass.com/listing/211-65-23rd-road-unit-5b-queens-ny-11360/1120377583753553121/view?agent_id=610d3f3370540700019b0833","211-65 23rd Road, Unit 5B")</f>
        <v>211-65 23rd Road, Unit 5B</v>
      </c>
      <c r="C4007" s="25" t="s">
        <v>370</v>
      </c>
      <c r="D4007" s="26" t="s">
        <v>23</v>
      </c>
      <c r="E4007" s="26" t="s">
        <v>425</v>
      </c>
      <c r="F4007" s="25" t="s">
        <v>79</v>
      </c>
      <c r="G4007" s="28">
        <v>320000.0</v>
      </c>
      <c r="H4007" s="29"/>
      <c r="I4007" s="28">
        <v>1257.0</v>
      </c>
      <c r="J4007" s="29"/>
      <c r="K4007" s="25" t="s">
        <v>25</v>
      </c>
      <c r="L4007" s="26">
        <v>4.0</v>
      </c>
      <c r="M4007" s="26">
        <v>2.0</v>
      </c>
      <c r="N4007" s="26">
        <v>1.0</v>
      </c>
      <c r="O4007" s="30"/>
      <c r="P4007" s="30"/>
      <c r="Q4007" s="35">
        <v>2.0</v>
      </c>
      <c r="R4007" s="32">
        <v>44799.0</v>
      </c>
      <c r="S4007" s="32">
        <v>44797.0</v>
      </c>
      <c r="T4007" s="29"/>
      <c r="U4007" s="33"/>
      <c r="V4007" s="1"/>
    </row>
    <row r="4008" ht="24.0" customHeight="1">
      <c r="A4008" s="1"/>
      <c r="B4008" s="24" t="str">
        <f>HYPERLINK("https://www.compass.com/listing/115-04-227th-street-queens-ny-11411/1033347951446417473/view?agent_id=610d3f3370540700019b0833","115-04 227th Street")</f>
        <v>115-04 227th Street</v>
      </c>
      <c r="C4008" s="25" t="s">
        <v>370</v>
      </c>
      <c r="D4008" s="26" t="s">
        <v>23</v>
      </c>
      <c r="E4008" s="27" t="str">
        <f>HYPERLINK("https://www.compass.com/building/115-04-227th-st-queens-ny-11411/293529952832196917/","115-04 227th St")</f>
        <v>115-04 227th St</v>
      </c>
      <c r="F4008" s="25" t="s">
        <v>426</v>
      </c>
      <c r="G4008" s="28">
        <v>399000.0</v>
      </c>
      <c r="H4008" s="28">
        <v>531.0</v>
      </c>
      <c r="I4008" s="28">
        <v>3440.0</v>
      </c>
      <c r="J4008" s="28">
        <v>41276.0</v>
      </c>
      <c r="K4008" s="25" t="s">
        <v>159</v>
      </c>
      <c r="L4008" s="26">
        <v>5.0</v>
      </c>
      <c r="M4008" s="26">
        <v>2.0</v>
      </c>
      <c r="N4008" s="26">
        <v>1.0</v>
      </c>
      <c r="O4008" s="30"/>
      <c r="P4008" s="26">
        <v>752.0</v>
      </c>
      <c r="Q4008" s="35">
        <v>279.0</v>
      </c>
      <c r="R4008" s="32">
        <v>44957.0</v>
      </c>
      <c r="S4008" s="32">
        <v>44677.0</v>
      </c>
      <c r="T4008" s="29"/>
      <c r="U4008" s="33"/>
      <c r="V4008" s="1"/>
    </row>
    <row r="4009" ht="24.0" customHeight="1">
      <c r="A4009" s="1"/>
      <c r="B4009" s="24" t="str">
        <f>HYPERLINK("https://www.compass.com/listing/144-42-village-road-unit-70a-queens-ny-11435/1276746288710949745/view?agent_id=610d3f3370540700019b0833","144-42 Village Road, Unit 70A")</f>
        <v>144-42 Village Road, Unit 70A</v>
      </c>
      <c r="C4009" s="25" t="s">
        <v>370</v>
      </c>
      <c r="D4009" s="26" t="s">
        <v>23</v>
      </c>
      <c r="E4009" s="27" t="str">
        <f>HYPERLINK("https://www.compass.com/building/144-42-village-rd-queens-ny-11435/307448138029644613/","144-42 Village Rd")</f>
        <v>144-42 Village Rd</v>
      </c>
      <c r="F4009" s="25" t="s">
        <v>142</v>
      </c>
      <c r="G4009" s="28">
        <v>309000.0</v>
      </c>
      <c r="H4009" s="28">
        <v>309.0</v>
      </c>
      <c r="I4009" s="28">
        <v>1389.0</v>
      </c>
      <c r="J4009" s="28">
        <v>0.0</v>
      </c>
      <c r="K4009" s="25" t="s">
        <v>25</v>
      </c>
      <c r="L4009" s="26">
        <v>4.0</v>
      </c>
      <c r="M4009" s="26">
        <v>2.0</v>
      </c>
      <c r="N4009" s="26">
        <v>1.0</v>
      </c>
      <c r="O4009" s="26">
        <v>0.0</v>
      </c>
      <c r="P4009" s="34">
        <v>1000.0</v>
      </c>
      <c r="Q4009" s="35">
        <v>89.0</v>
      </c>
      <c r="R4009" s="32">
        <v>45103.0</v>
      </c>
      <c r="S4009" s="32">
        <v>45013.0</v>
      </c>
      <c r="T4009" s="29"/>
      <c r="U4009" s="33"/>
      <c r="V4009" s="1"/>
    </row>
    <row r="4010" ht="24.0" customHeight="1">
      <c r="A4010" s="1"/>
      <c r="B4010" s="24" t="str">
        <f>HYPERLINK("https://www.compass.com/listing/224-01-kingsbury-avenue-unit-2-queens-ny-11364/1299544130215072625/view?agent_id=610d3f3370540700019b0833","224-01 Kingsbury Avenue, Unit 2")</f>
        <v>224-01 Kingsbury Avenue, Unit 2</v>
      </c>
      <c r="C4010" s="25" t="s">
        <v>370</v>
      </c>
      <c r="D4010" s="26" t="s">
        <v>23</v>
      </c>
      <c r="E4010" s="27" t="str">
        <f>HYPERLINK("https://www.compass.com/building/224-01-kingsbury-ave-queens-ny-11364/307452324498549573/","224-01 Kingsbury Ave")</f>
        <v>224-01 Kingsbury Ave</v>
      </c>
      <c r="F4010" s="25" t="s">
        <v>37</v>
      </c>
      <c r="G4010" s="28">
        <v>369000.0</v>
      </c>
      <c r="H4010" s="29"/>
      <c r="I4010" s="28">
        <v>0.0</v>
      </c>
      <c r="J4010" s="28">
        <v>0.0</v>
      </c>
      <c r="K4010" s="25" t="s">
        <v>25</v>
      </c>
      <c r="L4010" s="26">
        <v>5.0</v>
      </c>
      <c r="M4010" s="26">
        <v>2.0</v>
      </c>
      <c r="N4010" s="26">
        <v>1.0</v>
      </c>
      <c r="O4010" s="30"/>
      <c r="P4010" s="30"/>
      <c r="Q4010" s="35">
        <v>365.0</v>
      </c>
      <c r="R4010" s="32">
        <v>45597.0</v>
      </c>
      <c r="S4010" s="32">
        <v>44361.0</v>
      </c>
      <c r="T4010" s="29"/>
      <c r="U4010" s="33"/>
      <c r="V4010" s="1"/>
    </row>
    <row r="4011" ht="24.0" customHeight="1">
      <c r="A4011" s="1"/>
      <c r="B4011" s="24" t="str">
        <f>HYPERLINK("https://www.compass.com/listing/116-12-ocean-promenade-unit-208-queens-ny-11694/4852329944845389841/view?agent_id=610d3f3370540700019b0833","116-12 Ocean Promenade, Unit 208")</f>
        <v>116-12 Ocean Promenade, Unit 208</v>
      </c>
      <c r="C4011" s="25" t="s">
        <v>370</v>
      </c>
      <c r="D4011" s="26" t="s">
        <v>23</v>
      </c>
      <c r="E4011" s="27" t="str">
        <f>HYPERLINK("https://www.compass.com/building/116-12-ocean-promenade-queens-ny-11694/307458200500239989/","116-12 Ocean Promenade")</f>
        <v>116-12 Ocean Promenade</v>
      </c>
      <c r="F4011" s="25" t="s">
        <v>427</v>
      </c>
      <c r="G4011" s="28">
        <v>520000.0</v>
      </c>
      <c r="H4011" s="28">
        <v>411.0</v>
      </c>
      <c r="I4011" s="28">
        <v>550.0</v>
      </c>
      <c r="J4011" s="29"/>
      <c r="K4011" s="25" t="s">
        <v>28</v>
      </c>
      <c r="L4011" s="26">
        <v>5.0</v>
      </c>
      <c r="M4011" s="26">
        <v>2.0</v>
      </c>
      <c r="N4011" s="26">
        <v>0.0</v>
      </c>
      <c r="O4011" s="26">
        <v>0.0</v>
      </c>
      <c r="P4011" s="34">
        <v>1266.0</v>
      </c>
      <c r="Q4011" s="35">
        <v>0.0</v>
      </c>
      <c r="R4011" s="32">
        <v>44581.0</v>
      </c>
      <c r="S4011" s="32">
        <v>41538.0</v>
      </c>
      <c r="T4011" s="29"/>
      <c r="U4011" s="33"/>
      <c r="V4011" s="1"/>
    </row>
    <row r="4012" ht="24.0" customHeight="1">
      <c r="A4012" s="1"/>
      <c r="B4012" s="24" t="str">
        <f>HYPERLINK("https://www.compass.com/listing/310-east-46th-street-unit-5e-manhattan-ny-10017/1023920091947854497/view?agent_id=610d3f3370540700019b0833","310 East 46th Street, Unit 5E")</f>
        <v>310 East 46th Street, Unit 5E</v>
      </c>
      <c r="C4012" s="25" t="s">
        <v>370</v>
      </c>
      <c r="D4012" s="26" t="s">
        <v>23</v>
      </c>
      <c r="E4012" s="27" t="str">
        <f>HYPERLINK("https://www.compass.com/building/turtle-bay-towers-manhattan-ny/292843173577817381/","Turtle Bay Towers")</f>
        <v>Turtle Bay Towers</v>
      </c>
      <c r="F4012" s="25" t="s">
        <v>66</v>
      </c>
      <c r="G4012" s="28">
        <v>1250000.0</v>
      </c>
      <c r="H4012" s="28">
        <v>1034.0</v>
      </c>
      <c r="I4012" s="28">
        <v>1878.0</v>
      </c>
      <c r="J4012" s="28">
        <v>22536.0</v>
      </c>
      <c r="K4012" s="25" t="s">
        <v>28</v>
      </c>
      <c r="L4012" s="26">
        <v>3.0</v>
      </c>
      <c r="M4012" s="26">
        <v>2.0</v>
      </c>
      <c r="N4012" s="26">
        <v>1.0</v>
      </c>
      <c r="O4012" s="30"/>
      <c r="P4012" s="34">
        <v>1209.0</v>
      </c>
      <c r="Q4012" s="35">
        <v>186.0</v>
      </c>
      <c r="R4012" s="32">
        <v>44851.0</v>
      </c>
      <c r="S4012" s="32">
        <v>44664.0</v>
      </c>
      <c r="T4012" s="29"/>
      <c r="U4012" s="33"/>
      <c r="V4012" s="1"/>
    </row>
    <row r="4013" ht="24.0" customHeight="1">
      <c r="A4013" s="1"/>
      <c r="B4013" s="24" t="str">
        <f>HYPERLINK("https://www.compass.com/listing/1-pennyfield-avenue-unit-1-bronx-ny-10465/1065224108532699137/view?agent_id=610d3f3370540700019b0833","1 Pennyfield Avenue, Unit 1")</f>
        <v>1 Pennyfield Avenue, Unit 1</v>
      </c>
      <c r="C4013" s="25" t="s">
        <v>365</v>
      </c>
      <c r="D4013" s="26" t="s">
        <v>23</v>
      </c>
      <c r="E4013" s="27" t="str">
        <f>HYPERLINK("https://www.compass.com/building/1-pennyfield-ave-bronx-ny-10465/293530423860991157/","1 Pennyfield Ave")</f>
        <v>1 Pennyfield Ave</v>
      </c>
      <c r="F4013" s="25" t="s">
        <v>208</v>
      </c>
      <c r="G4013" s="28">
        <v>439000.0</v>
      </c>
      <c r="H4013" s="28">
        <v>526.0</v>
      </c>
      <c r="I4013" s="28">
        <v>722.0</v>
      </c>
      <c r="J4013" s="28">
        <v>3576.0</v>
      </c>
      <c r="K4013" s="25" t="s">
        <v>28</v>
      </c>
      <c r="L4013" s="26">
        <v>5.0</v>
      </c>
      <c r="M4013" s="26">
        <v>2.0</v>
      </c>
      <c r="N4013" s="26">
        <v>1.0</v>
      </c>
      <c r="O4013" s="30"/>
      <c r="P4013" s="26">
        <v>835.0</v>
      </c>
      <c r="Q4013" s="35">
        <v>41.0</v>
      </c>
      <c r="R4013" s="32">
        <v>44762.0</v>
      </c>
      <c r="S4013" s="32">
        <v>44721.0</v>
      </c>
      <c r="T4013" s="29"/>
      <c r="U4013" s="33"/>
      <c r="V4013" s="1"/>
    </row>
    <row r="4014" ht="24.0" customHeight="1">
      <c r="A4014" s="1"/>
      <c r="B4014" s="24" t="str">
        <f>HYPERLINK("https://www.compass.com/listing/303-west-66th-street-unit-10fe-manhattan-ny-10023/1081122909986747689/view?agent_id=610d3f3370540700019b0833","303 West 66th Street, Unit 10FE")</f>
        <v>303 West 66th Street, Unit 10FE</v>
      </c>
      <c r="C4014" s="25" t="s">
        <v>364</v>
      </c>
      <c r="D4014" s="26" t="s">
        <v>23</v>
      </c>
      <c r="E4014" s="27" t="str">
        <f>HYPERLINK("https://www.compass.com/building/lincoln-guild-manhattan-ny/294835608891304661/","Lincoln Guild")</f>
        <v>Lincoln Guild</v>
      </c>
      <c r="F4014" s="25" t="s">
        <v>29</v>
      </c>
      <c r="G4014" s="28">
        <v>1198000.0</v>
      </c>
      <c r="H4014" s="29"/>
      <c r="I4014" s="28">
        <v>1745.0</v>
      </c>
      <c r="J4014" s="28">
        <v>0.0</v>
      </c>
      <c r="K4014" s="25" t="s">
        <v>25</v>
      </c>
      <c r="L4014" s="26">
        <v>5.0</v>
      </c>
      <c r="M4014" s="26">
        <v>2.0</v>
      </c>
      <c r="N4014" s="26">
        <v>1.0</v>
      </c>
      <c r="O4014" s="30"/>
      <c r="P4014" s="30"/>
      <c r="Q4014" s="35">
        <v>95.0</v>
      </c>
      <c r="R4014" s="32">
        <v>45741.0</v>
      </c>
      <c r="S4014" s="32">
        <v>44743.0</v>
      </c>
      <c r="T4014" s="29"/>
      <c r="U4014" s="33"/>
      <c r="V4014" s="1"/>
    </row>
    <row r="4015" ht="24.0" customHeight="1">
      <c r="A4015" s="1"/>
      <c r="B4015" s="24" t="str">
        <f>HYPERLINK("https://www.compass.com/listing/345-west-70th-street-unit-3f-manhattan-ny-10023/1106134247102688369/view?agent_id=610d3f3370540700019b0833","345 West 70th Street, Unit 3F")</f>
        <v>345 West 70th Street, Unit 3F</v>
      </c>
      <c r="C4015" s="25" t="s">
        <v>364</v>
      </c>
      <c r="D4015" s="26" t="s">
        <v>23</v>
      </c>
      <c r="E4015" s="27" t="str">
        <f>HYPERLINK("https://www.compass.com/building/345-w-70th-st-manhattan-ny-10023/281960274032929269/","345 W 70th St")</f>
        <v>345 W 70th St</v>
      </c>
      <c r="F4015" s="25" t="s">
        <v>29</v>
      </c>
      <c r="G4015" s="28">
        <v>1200000.0</v>
      </c>
      <c r="H4015" s="29"/>
      <c r="I4015" s="28">
        <v>1570.0</v>
      </c>
      <c r="J4015" s="28">
        <v>0.0</v>
      </c>
      <c r="K4015" s="25" t="s">
        <v>25</v>
      </c>
      <c r="L4015" s="26">
        <v>4.0</v>
      </c>
      <c r="M4015" s="26">
        <v>2.0</v>
      </c>
      <c r="N4015" s="26">
        <v>1.0</v>
      </c>
      <c r="O4015" s="30"/>
      <c r="P4015" s="30"/>
      <c r="Q4015" s="35">
        <v>53.0</v>
      </c>
      <c r="R4015" s="32">
        <v>44832.0</v>
      </c>
      <c r="S4015" s="32">
        <v>44778.0</v>
      </c>
      <c r="T4015" s="29"/>
      <c r="U4015" s="33"/>
      <c r="V4015" s="1"/>
    </row>
    <row r="4016" ht="24.0" customHeight="1">
      <c r="A4016" s="1"/>
      <c r="B4016" s="24" t="str">
        <f>HYPERLINK("https://www.compass.com/listing/230-07-grand-central-parkway-unit-502-queens-ny-11364/1150014454822696905/view?agent_id=610d3f3370540700019b0833","230-07 Grand Central Parkway, Unit 502")</f>
        <v>230-07 Grand Central Parkway, Unit 502</v>
      </c>
      <c r="C4016" s="25" t="s">
        <v>364</v>
      </c>
      <c r="D4016" s="26" t="s">
        <v>23</v>
      </c>
      <c r="E4016" s="27" t="str">
        <f>HYPERLINK("https://www.compass.com/building/230-07-grand-central-pkwy-queens-ny-11364/293526876637392421/","230-07 Grand Central Pkwy")</f>
        <v>230-07 Grand Central Pkwy</v>
      </c>
      <c r="F4016" s="25" t="s">
        <v>252</v>
      </c>
      <c r="G4016" s="28">
        <v>380000.0</v>
      </c>
      <c r="H4016" s="29"/>
      <c r="I4016" s="28">
        <v>1031.0</v>
      </c>
      <c r="J4016" s="28">
        <v>0.0</v>
      </c>
      <c r="K4016" s="25" t="s">
        <v>25</v>
      </c>
      <c r="L4016" s="26">
        <v>4.0</v>
      </c>
      <c r="M4016" s="26">
        <v>2.0</v>
      </c>
      <c r="N4016" s="26">
        <v>1.0</v>
      </c>
      <c r="O4016" s="26">
        <v>0.0</v>
      </c>
      <c r="P4016" s="30"/>
      <c r="Q4016" s="35">
        <v>203.0</v>
      </c>
      <c r="R4016" s="32">
        <v>45041.0</v>
      </c>
      <c r="S4016" s="32">
        <v>44838.0</v>
      </c>
      <c r="T4016" s="29"/>
      <c r="U4016" s="33"/>
      <c r="V4016" s="1"/>
    </row>
    <row r="4017" ht="24.0" customHeight="1">
      <c r="A4017" s="1"/>
      <c r="B4017" s="24" t="str">
        <f>HYPERLINK("https://www.compass.com/listing/221-67-manor-road-unit-duplex-queens-ny-11427/1730636348651354225/view?agent_id=610d3f3370540700019b0833","221-67 Manor Road, Unit DUPLEX")</f>
        <v>221-67 Manor Road, Unit DUPLEX</v>
      </c>
      <c r="C4017" s="25" t="s">
        <v>370</v>
      </c>
      <c r="D4017" s="26" t="s">
        <v>23</v>
      </c>
      <c r="E4017" s="27" t="str">
        <f>HYPERLINK("https://www.compass.com/building/221-67-manor-rd-queens-ny-11427/307440293514967781/","221-67 Manor Rd")</f>
        <v>221-67 Manor Rd</v>
      </c>
      <c r="F4017" s="25" t="s">
        <v>69</v>
      </c>
      <c r="G4017" s="28">
        <v>338000.0</v>
      </c>
      <c r="H4017" s="29"/>
      <c r="I4017" s="28">
        <v>0.0</v>
      </c>
      <c r="J4017" s="28">
        <v>0.0</v>
      </c>
      <c r="K4017" s="25" t="s">
        <v>25</v>
      </c>
      <c r="L4017" s="26">
        <v>5.0</v>
      </c>
      <c r="M4017" s="26">
        <v>2.0</v>
      </c>
      <c r="N4017" s="26">
        <v>1.0</v>
      </c>
      <c r="O4017" s="30"/>
      <c r="P4017" s="30"/>
      <c r="Q4017" s="35">
        <v>170.0</v>
      </c>
      <c r="R4017" s="32">
        <v>45597.0</v>
      </c>
      <c r="S4017" s="32">
        <v>44101.0</v>
      </c>
      <c r="T4017" s="29"/>
      <c r="U4017" s="33"/>
      <c r="V4017" s="1"/>
    </row>
    <row r="4018" ht="24.0" customHeight="1">
      <c r="A4018" s="1"/>
      <c r="B4018" s="24" t="str">
        <f>HYPERLINK("https://www.compass.com/listing/236-east-6th-street-unit-1eb-manhattan-ny-10003/1809616496490196329/view?agent_id=610d3f3370540700019b0833","236 East 6th Street, Unit 1EB")</f>
        <v>236 East 6th Street, Unit 1EB</v>
      </c>
      <c r="C4018" s="25" t="s">
        <v>364</v>
      </c>
      <c r="D4018" s="26" t="s">
        <v>23</v>
      </c>
      <c r="E4018" s="27" t="str">
        <f>HYPERLINK("https://www.compass.com/building/236-e-6th-st-manhattan-ny-10003/281891503125566101/","236 E 6th St")</f>
        <v>236 E 6th St</v>
      </c>
      <c r="F4018" s="25" t="s">
        <v>24</v>
      </c>
      <c r="G4018" s="28">
        <v>2100000.0</v>
      </c>
      <c r="H4018" s="28">
        <v>1474.0</v>
      </c>
      <c r="I4018" s="28">
        <v>1551.0</v>
      </c>
      <c r="J4018" s="28">
        <v>7512.0</v>
      </c>
      <c r="K4018" s="25" t="s">
        <v>28</v>
      </c>
      <c r="L4018" s="26">
        <v>3.0</v>
      </c>
      <c r="M4018" s="26">
        <v>2.0</v>
      </c>
      <c r="N4018" s="26">
        <v>0.0</v>
      </c>
      <c r="O4018" s="26">
        <v>0.0</v>
      </c>
      <c r="P4018" s="34">
        <v>1425.0</v>
      </c>
      <c r="Q4018" s="35">
        <v>133.0</v>
      </c>
      <c r="R4018" s="32">
        <v>44581.0</v>
      </c>
      <c r="S4018" s="32">
        <v>42844.0</v>
      </c>
      <c r="T4018" s="29"/>
      <c r="U4018" s="33"/>
      <c r="V4018" s="1"/>
    </row>
    <row r="4019" ht="24.0" customHeight="1">
      <c r="A4019" s="1"/>
      <c r="B4019" s="24" t="str">
        <f>HYPERLINK("https://www.compass.com/listing/310-east-46th-street-unit-11a-manhattan-ny-10017/1809627636033250409/view?agent_id=610d3f3370540700019b0833","310 East 46th Street, Unit 11A")</f>
        <v>310 East 46th Street, Unit 11A</v>
      </c>
      <c r="C4019" s="25" t="s">
        <v>370</v>
      </c>
      <c r="D4019" s="26" t="s">
        <v>23</v>
      </c>
      <c r="E4019" s="27" t="str">
        <f>HYPERLINK("https://www.compass.com/building/turtle-bay-towers-manhattan-ny/292843173577817381/","Turtle Bay Towers")</f>
        <v>Turtle Bay Towers</v>
      </c>
      <c r="F4019" s="25" t="s">
        <v>66</v>
      </c>
      <c r="G4019" s="28">
        <v>825000.0</v>
      </c>
      <c r="H4019" s="29"/>
      <c r="I4019" s="28">
        <v>1612.0</v>
      </c>
      <c r="J4019" s="28">
        <v>12.0</v>
      </c>
      <c r="K4019" s="25" t="s">
        <v>49</v>
      </c>
      <c r="L4019" s="26">
        <v>4.0</v>
      </c>
      <c r="M4019" s="26">
        <v>2.0</v>
      </c>
      <c r="N4019" s="26">
        <v>1.0</v>
      </c>
      <c r="O4019" s="26">
        <v>0.0</v>
      </c>
      <c r="P4019" s="30"/>
      <c r="Q4019" s="35">
        <v>86.0</v>
      </c>
      <c r="R4019" s="32">
        <v>44535.0</v>
      </c>
      <c r="S4019" s="32">
        <v>44448.0</v>
      </c>
      <c r="T4019" s="29"/>
      <c r="U4019" s="33"/>
      <c r="V4019" s="1"/>
    </row>
    <row r="4020" ht="24.0" customHeight="1">
      <c r="A4020" s="1"/>
      <c r="B4020" s="24" t="str">
        <f>HYPERLINK("https://www.compass.com/listing/303-west-66th-street-unit-17ge-manhattan-ny-10023/1838899536450411833/view?agent_id=610d3f3370540700019b0833","303 West 66th Street, Unit 17GE")</f>
        <v>303 West 66th Street, Unit 17GE</v>
      </c>
      <c r="C4020" s="25" t="s">
        <v>364</v>
      </c>
      <c r="D4020" s="26" t="s">
        <v>23</v>
      </c>
      <c r="E4020" s="27" t="str">
        <f>HYPERLINK("https://www.compass.com/building/lincoln-guild-manhattan-ny/294835608891304661/","Lincoln Guild")</f>
        <v>Lincoln Guild</v>
      </c>
      <c r="F4020" s="25" t="s">
        <v>29</v>
      </c>
      <c r="G4020" s="28">
        <v>1025000.0</v>
      </c>
      <c r="H4020" s="29"/>
      <c r="I4020" s="28">
        <v>1623.0</v>
      </c>
      <c r="J4020" s="29"/>
      <c r="K4020" s="25" t="s">
        <v>25</v>
      </c>
      <c r="L4020" s="26">
        <v>5.0</v>
      </c>
      <c r="M4020" s="26">
        <v>2.0</v>
      </c>
      <c r="N4020" s="26">
        <v>1.0</v>
      </c>
      <c r="O4020" s="26">
        <v>0.0</v>
      </c>
      <c r="P4020" s="30"/>
      <c r="Q4020" s="35">
        <v>251.0</v>
      </c>
      <c r="R4020" s="32">
        <v>45636.0</v>
      </c>
      <c r="S4020" s="32">
        <v>43619.0</v>
      </c>
      <c r="T4020" s="29"/>
      <c r="U4020" s="33"/>
      <c r="V4020" s="1"/>
    </row>
    <row r="4021" ht="24.0" customHeight="1">
      <c r="A4021" s="1"/>
      <c r="B4021" s="24" t="str">
        <f>HYPERLINK("https://www.compass.com/listing/279-prospect-park-west-unit-1a-brooklyn-ny-11215/1838976816803910001/view?agent_id=610d3f3370540700019b0833","279 Prospect Park West, Unit 1A")</f>
        <v>279 Prospect Park West, Unit 1A</v>
      </c>
      <c r="C4021" s="25" t="s">
        <v>364</v>
      </c>
      <c r="D4021" s="26" t="s">
        <v>23</v>
      </c>
      <c r="E4021" s="27" t="str">
        <f>HYPERLINK("https://www.compass.com/building/279-prospect-park-w-brooklyn-ny-11215/282507863413313061/","279 Prospect Park W")</f>
        <v>279 Prospect Park W</v>
      </c>
      <c r="F4021" s="25" t="s">
        <v>106</v>
      </c>
      <c r="G4021" s="28">
        <v>995000.0</v>
      </c>
      <c r="H4021" s="28">
        <v>767.0</v>
      </c>
      <c r="I4021" s="28">
        <v>691.0</v>
      </c>
      <c r="J4021" s="28">
        <v>3000.0</v>
      </c>
      <c r="K4021" s="25" t="s">
        <v>28</v>
      </c>
      <c r="L4021" s="26">
        <v>4.0</v>
      </c>
      <c r="M4021" s="26">
        <v>2.0</v>
      </c>
      <c r="N4021" s="26">
        <v>0.0</v>
      </c>
      <c r="O4021" s="26">
        <v>0.0</v>
      </c>
      <c r="P4021" s="34">
        <v>1298.0</v>
      </c>
      <c r="Q4021" s="35">
        <v>1966.0</v>
      </c>
      <c r="R4021" s="32">
        <v>45636.0</v>
      </c>
      <c r="S4021" s="32">
        <v>42614.0</v>
      </c>
      <c r="T4021" s="29"/>
      <c r="U4021" s="33"/>
      <c r="V4021" s="1"/>
    </row>
    <row r="4022" ht="24.0" customHeight="1">
      <c r="A4022" s="1"/>
      <c r="B4022" s="24" t="str">
        <f>HYPERLINK("https://www.compass.com/listing/310-east-46th-street-unit-16v-manhattan-ny-10017/192567584904765617/view?agent_id=610d3f3370540700019b0833","310 East 46th Street, Unit 16V")</f>
        <v>310 East 46th Street, Unit 16V</v>
      </c>
      <c r="C4022" s="25" t="s">
        <v>364</v>
      </c>
      <c r="D4022" s="26" t="s">
        <v>23</v>
      </c>
      <c r="E4022" s="27" t="str">
        <f>HYPERLINK("https://www.compass.com/building/turtle-bay-towers-manhattan-ny/292843173577817381/","Turtle Bay Towers")</f>
        <v>Turtle Bay Towers</v>
      </c>
      <c r="F4022" s="25" t="s">
        <v>66</v>
      </c>
      <c r="G4022" s="28">
        <v>825000.0</v>
      </c>
      <c r="H4022" s="29"/>
      <c r="I4022" s="28">
        <v>2725.0</v>
      </c>
      <c r="J4022" s="29"/>
      <c r="K4022" s="25" t="s">
        <v>49</v>
      </c>
      <c r="L4022" s="26">
        <v>4.0</v>
      </c>
      <c r="M4022" s="26">
        <v>2.0</v>
      </c>
      <c r="N4022" s="26">
        <v>0.0</v>
      </c>
      <c r="O4022" s="26">
        <v>0.0</v>
      </c>
      <c r="P4022" s="30"/>
      <c r="Q4022" s="35">
        <v>27.0</v>
      </c>
      <c r="R4022" s="32">
        <v>45636.0</v>
      </c>
      <c r="S4022" s="32">
        <v>41207.0</v>
      </c>
      <c r="T4022" s="29"/>
      <c r="U4022" s="33"/>
      <c r="V4022" s="1"/>
    </row>
    <row r="4023" ht="24.0" customHeight="1">
      <c r="A4023" s="1"/>
      <c r="B4023" s="24" t="str">
        <f>HYPERLINK("https://www.compass.com/listing/229-east-24th-street-unit-9f-manhattan-ny-10010/192573092277538673/view?agent_id=610d3f3370540700019b0833","229 East 24th Street, Unit 9F")</f>
        <v>229 East 24th Street, Unit 9F</v>
      </c>
      <c r="C4023" s="25" t="s">
        <v>370</v>
      </c>
      <c r="D4023" s="26" t="s">
        <v>23</v>
      </c>
      <c r="E4023" s="27" t="str">
        <f>HYPERLINK("https://www.compass.com/building/229-e-24th-st-manhattan-ny-10010/281902368495255205/","229 E 24th St")</f>
        <v>229 E 24th St</v>
      </c>
      <c r="F4023" s="25" t="s">
        <v>107</v>
      </c>
      <c r="G4023" s="28">
        <v>895000.0</v>
      </c>
      <c r="H4023" s="28">
        <v>1377.0</v>
      </c>
      <c r="I4023" s="28">
        <v>1190.0</v>
      </c>
      <c r="J4023" s="28">
        <v>9948.0</v>
      </c>
      <c r="K4023" s="25" t="s">
        <v>28</v>
      </c>
      <c r="L4023" s="26">
        <v>3.0</v>
      </c>
      <c r="M4023" s="26">
        <v>2.0</v>
      </c>
      <c r="N4023" s="26">
        <v>0.0</v>
      </c>
      <c r="O4023" s="26">
        <v>0.0</v>
      </c>
      <c r="P4023" s="26">
        <v>650.0</v>
      </c>
      <c r="Q4023" s="35">
        <v>0.0</v>
      </c>
      <c r="R4023" s="32">
        <v>44581.0</v>
      </c>
      <c r="S4023" s="32">
        <v>42235.0</v>
      </c>
      <c r="T4023" s="29"/>
      <c r="U4023" s="33"/>
      <c r="V4023" s="1"/>
    </row>
    <row r="4024" ht="24.0" customHeight="1">
      <c r="A4024" s="1"/>
      <c r="B4024" s="24" t="str">
        <f>HYPERLINK("https://www.compass.com/listing/300-west-109th-street-unit-3h-manhattan-ny-10025/253471180466469233/view?agent_id=610d3f3370540700019b0833","300 West 109th Street, Unit 3H")</f>
        <v>300 West 109th Street, Unit 3H</v>
      </c>
      <c r="C4024" s="25" t="s">
        <v>364</v>
      </c>
      <c r="D4024" s="26" t="s">
        <v>23</v>
      </c>
      <c r="E4024" s="27" t="str">
        <f>HYPERLINK("https://www.compass.com/building/the-manhasset-manhattan-ny/282059751188102629/","The Manhasset")</f>
        <v>The Manhasset</v>
      </c>
      <c r="F4024" s="25" t="s">
        <v>29</v>
      </c>
      <c r="G4024" s="28">
        <v>700000.0</v>
      </c>
      <c r="H4024" s="29"/>
      <c r="I4024" s="28">
        <v>1022.0</v>
      </c>
      <c r="J4024" s="28">
        <v>0.0</v>
      </c>
      <c r="K4024" s="25" t="s">
        <v>25</v>
      </c>
      <c r="L4024" s="26">
        <v>3.0</v>
      </c>
      <c r="M4024" s="26">
        <v>2.0</v>
      </c>
      <c r="N4024" s="26">
        <v>1.0</v>
      </c>
      <c r="O4024" s="26">
        <v>0.0</v>
      </c>
      <c r="P4024" s="30"/>
      <c r="Q4024" s="35">
        <v>52.0</v>
      </c>
      <c r="R4024" s="32">
        <v>43902.0</v>
      </c>
      <c r="S4024" s="32">
        <v>43601.0</v>
      </c>
      <c r="T4024" s="29"/>
      <c r="U4024" s="33"/>
      <c r="V4024" s="1"/>
    </row>
    <row r="4025" ht="24.0" customHeight="1">
      <c r="A4025" s="1"/>
      <c r="B4025" s="24" t="str">
        <f>HYPERLINK("https://www.compass.com/listing/211-west-18th-street-unit-3-manhattan-ny-10011/29372017669145201/view?agent_id=610d3f3370540700019b0833","211 West 18th Street, Unit 3")</f>
        <v>211 West 18th Street, Unit 3</v>
      </c>
      <c r="C4025" s="25" t="s">
        <v>370</v>
      </c>
      <c r="D4025" s="26" t="s">
        <v>23</v>
      </c>
      <c r="E4025" s="27" t="str">
        <f>HYPERLINK("https://www.compass.com/building/211-w-18th-st-manhattan-ny-10011/281906795985784341/","211 W 18th St")</f>
        <v>211 W 18th St</v>
      </c>
      <c r="F4025" s="25" t="s">
        <v>27</v>
      </c>
      <c r="G4025" s="28">
        <v>1525000.0</v>
      </c>
      <c r="H4025" s="28">
        <v>1165.0</v>
      </c>
      <c r="I4025" s="28">
        <v>884.0</v>
      </c>
      <c r="J4025" s="28">
        <v>5628.0</v>
      </c>
      <c r="K4025" s="25" t="s">
        <v>28</v>
      </c>
      <c r="L4025" s="26">
        <v>4.0</v>
      </c>
      <c r="M4025" s="26">
        <v>2.0</v>
      </c>
      <c r="N4025" s="26">
        <v>0.0</v>
      </c>
      <c r="O4025" s="26">
        <v>0.0</v>
      </c>
      <c r="P4025" s="34">
        <v>1309.0</v>
      </c>
      <c r="Q4025" s="31"/>
      <c r="R4025" s="32">
        <v>44581.0</v>
      </c>
      <c r="S4025" s="33"/>
      <c r="T4025" s="29"/>
      <c r="U4025" s="33"/>
      <c r="V4025" s="1"/>
    </row>
    <row r="4026" ht="24.0" customHeight="1">
      <c r="A4026" s="1"/>
      <c r="B4026" s="24" t="str">
        <f>HYPERLINK("https://www.compass.com/listing/130-lenox-avenue-unit-701-manhattan-ny-10026/423923611395416241/view?agent_id=610d3f3370540700019b0833","130 Lenox Avenue, Unit 701")</f>
        <v>130 Lenox Avenue, Unit 701</v>
      </c>
      <c r="C4026" s="25" t="s">
        <v>370</v>
      </c>
      <c r="D4026" s="26" t="s">
        <v>23</v>
      </c>
      <c r="E4026" s="27" t="str">
        <f>HYPERLINK("https://www.compass.com/building/the-renaissance-manhattan-ny/281974458774807237/","The Renaissance")</f>
        <v>The Renaissance</v>
      </c>
      <c r="F4026" s="25" t="s">
        <v>45</v>
      </c>
      <c r="G4026" s="28">
        <v>474500.0</v>
      </c>
      <c r="H4026" s="29"/>
      <c r="I4026" s="28">
        <v>1324.0</v>
      </c>
      <c r="J4026" s="28">
        <v>0.0</v>
      </c>
      <c r="K4026" s="25" t="s">
        <v>25</v>
      </c>
      <c r="L4026" s="26">
        <v>5.0</v>
      </c>
      <c r="M4026" s="26">
        <v>2.0</v>
      </c>
      <c r="N4026" s="26">
        <v>1.0</v>
      </c>
      <c r="O4026" s="26">
        <v>0.0</v>
      </c>
      <c r="P4026" s="30"/>
      <c r="Q4026" s="35">
        <v>190.0</v>
      </c>
      <c r="R4026" s="32">
        <v>44196.0</v>
      </c>
      <c r="S4026" s="32">
        <v>43921.0</v>
      </c>
      <c r="T4026" s="29"/>
      <c r="U4026" s="33"/>
      <c r="V4026" s="1"/>
    </row>
    <row r="4027" ht="24.0" customHeight="1">
      <c r="A4027" s="1"/>
      <c r="B4027" s="24" t="str">
        <f>HYPERLINK("https://www.compass.com/listing/50-united-nations-plaza-unit-6c-manhattan-ny-10017/50857203241936209/view?agent_id=610d3f3370540700019b0833","50 United Nations Plaza, Unit 6C")</f>
        <v>50 United Nations Plaza, Unit 6C</v>
      </c>
      <c r="C4027" s="25" t="s">
        <v>370</v>
      </c>
      <c r="D4027" s="26" t="s">
        <v>23</v>
      </c>
      <c r="E4027" s="27" t="str">
        <f>HYPERLINK("https://www.compass.com/building/50-united-nations-plaza-manhattan-ny-10017/281942629258683029/","50 United Nations Plaza")</f>
        <v>50 United Nations Plaza</v>
      </c>
      <c r="F4027" s="25" t="s">
        <v>66</v>
      </c>
      <c r="G4027" s="28">
        <v>2392887.0</v>
      </c>
      <c r="H4027" s="28">
        <v>2114.0</v>
      </c>
      <c r="I4027" s="28">
        <v>3523.0</v>
      </c>
      <c r="J4027" s="28">
        <v>28440.0</v>
      </c>
      <c r="K4027" s="25" t="s">
        <v>28</v>
      </c>
      <c r="L4027" s="26">
        <v>4.0</v>
      </c>
      <c r="M4027" s="26">
        <v>2.0</v>
      </c>
      <c r="N4027" s="26">
        <v>0.0</v>
      </c>
      <c r="O4027" s="26">
        <v>0.0</v>
      </c>
      <c r="P4027" s="34">
        <v>1132.0</v>
      </c>
      <c r="Q4027" s="35">
        <v>142.0</v>
      </c>
      <c r="R4027" s="32">
        <v>44581.0</v>
      </c>
      <c r="S4027" s="32">
        <v>42990.0</v>
      </c>
      <c r="T4027" s="29"/>
      <c r="U4027" s="33"/>
      <c r="V4027" s="1"/>
    </row>
    <row r="4028" ht="24.0" customHeight="1">
      <c r="A4028" s="1"/>
      <c r="B4028" s="24" t="str">
        <f>HYPERLINK("https://www.compass.com/listing/53-boerum-place-unit-10h-brooklyn-ny-11201/575340443121167569/view?agent_id=610d3f3370540700019b0833","53 Boerum Place, Unit 10H")</f>
        <v>53 Boerum Place, Unit 10H</v>
      </c>
      <c r="C4028" s="25" t="s">
        <v>370</v>
      </c>
      <c r="D4028" s="26" t="s">
        <v>23</v>
      </c>
      <c r="E4028" s="27" t="str">
        <f>HYPERLINK("https://www.compass.com/building/boulevard-east-brooklyn-ny/282508204007575301/","Boulevard East")</f>
        <v>Boulevard East</v>
      </c>
      <c r="F4028" s="25" t="s">
        <v>31</v>
      </c>
      <c r="G4028" s="28">
        <v>899000.0</v>
      </c>
      <c r="H4028" s="28">
        <v>1045.0</v>
      </c>
      <c r="I4028" s="28">
        <v>1396.0</v>
      </c>
      <c r="J4028" s="28">
        <v>6996.0</v>
      </c>
      <c r="K4028" s="25" t="s">
        <v>28</v>
      </c>
      <c r="L4028" s="26">
        <v>4.0</v>
      </c>
      <c r="M4028" s="26">
        <v>2.0</v>
      </c>
      <c r="N4028" s="26">
        <v>1.0</v>
      </c>
      <c r="O4028" s="26">
        <v>0.0</v>
      </c>
      <c r="P4028" s="26">
        <v>860.0</v>
      </c>
      <c r="Q4028" s="35">
        <v>50.0</v>
      </c>
      <c r="R4028" s="32">
        <v>44135.0</v>
      </c>
      <c r="S4028" s="32">
        <v>44084.0</v>
      </c>
      <c r="T4028" s="29"/>
      <c r="U4028" s="33"/>
      <c r="V4028" s="1"/>
    </row>
    <row r="4029" ht="24.0" customHeight="1">
      <c r="A4029" s="1"/>
      <c r="B4029" s="24" t="str">
        <f>HYPERLINK("https://www.compass.com/listing/2-east-55th-street-unit-1136-manhattan-ny-10022/803351728732320249/view?agent_id=610d3f3370540700019b0833","2 East 55th Street, Unit 1136")</f>
        <v>2 East 55th Street, Unit 1136</v>
      </c>
      <c r="C4029" s="25" t="s">
        <v>364</v>
      </c>
      <c r="D4029" s="26" t="s">
        <v>23</v>
      </c>
      <c r="E4029" s="27" t="str">
        <f>HYPERLINK("https://www.compass.com/building/the-st-regis-hotel-manhattan-ny/281952835258615365/","The St. Regis Hotel")</f>
        <v>The St. Regis Hotel</v>
      </c>
      <c r="F4029" s="25" t="s">
        <v>66</v>
      </c>
      <c r="G4029" s="28">
        <v>350000.0</v>
      </c>
      <c r="H4029" s="28">
        <v>278.0</v>
      </c>
      <c r="I4029" s="28">
        <v>2073.0</v>
      </c>
      <c r="J4029" s="28">
        <v>4404.0</v>
      </c>
      <c r="K4029" s="25" t="s">
        <v>28</v>
      </c>
      <c r="L4029" s="26">
        <v>4.0</v>
      </c>
      <c r="M4029" s="26">
        <v>2.0</v>
      </c>
      <c r="N4029" s="26">
        <v>0.0</v>
      </c>
      <c r="O4029" s="26">
        <v>0.0</v>
      </c>
      <c r="P4029" s="34">
        <v>1260.0</v>
      </c>
      <c r="Q4029" s="35">
        <v>1934.0</v>
      </c>
      <c r="R4029" s="32">
        <v>44581.0</v>
      </c>
      <c r="S4029" s="32">
        <v>42646.0</v>
      </c>
      <c r="T4029" s="29"/>
      <c r="U4029" s="33"/>
      <c r="V4029" s="1"/>
    </row>
    <row r="4030" ht="24.0" customHeight="1">
      <c r="A4030" s="1"/>
      <c r="B4030" s="24" t="str">
        <f>HYPERLINK("https://www.compass.com/listing/401-hicks-street-unit-a-1f-brooklyn-ny-11201/849045905473432537/view?agent_id=610d3f3370540700019b0833","401 Hicks Street, Unit A/1F")</f>
        <v>401 Hicks Street, Unit A/1F</v>
      </c>
      <c r="C4030" s="25" t="s">
        <v>364</v>
      </c>
      <c r="D4030" s="26" t="s">
        <v>23</v>
      </c>
      <c r="E4030" s="27" t="str">
        <f>HYPERLINK("https://www.compass.com/building/the-arches-at-cobble-hill-brooklyn-ny/319515724904671925/","The Arches at Cobble Hill")</f>
        <v>The Arches at Cobble Hill</v>
      </c>
      <c r="F4030" s="25" t="s">
        <v>131</v>
      </c>
      <c r="G4030" s="28">
        <v>1685000.0</v>
      </c>
      <c r="H4030" s="28">
        <v>1043.0</v>
      </c>
      <c r="I4030" s="28">
        <v>1147.0</v>
      </c>
      <c r="J4030" s="28">
        <v>2880.0</v>
      </c>
      <c r="K4030" s="25" t="s">
        <v>28</v>
      </c>
      <c r="L4030" s="26">
        <v>4.0</v>
      </c>
      <c r="M4030" s="26">
        <v>2.0</v>
      </c>
      <c r="N4030" s="26">
        <v>0.0</v>
      </c>
      <c r="O4030" s="26">
        <v>0.0</v>
      </c>
      <c r="P4030" s="34">
        <v>1616.0</v>
      </c>
      <c r="Q4030" s="35">
        <v>48.0</v>
      </c>
      <c r="R4030" s="32">
        <v>45636.0</v>
      </c>
      <c r="S4030" s="32">
        <v>42292.0</v>
      </c>
      <c r="T4030" s="29"/>
      <c r="U4030" s="33"/>
      <c r="V4030" s="1"/>
    </row>
    <row r="4031" ht="24.0" customHeight="1">
      <c r="A4031" s="1"/>
      <c r="B4031" s="24" t="str">
        <f>HYPERLINK("https://www.compass.com/listing/345-grand-street-unit-2-brooklyn-ny-11211/887080800288516489/view?agent_id=610d3f3370540700019b0833","345 Grand Street, Unit 2")</f>
        <v>345 Grand Street, Unit 2</v>
      </c>
      <c r="C4031" s="25" t="s">
        <v>364</v>
      </c>
      <c r="D4031" s="26" t="s">
        <v>23</v>
      </c>
      <c r="E4031" s="27" t="str">
        <f>HYPERLINK("https://www.compass.com/building/345-grand-st-brooklyn-ny-11211/282401813917932469/","345 Grand St")</f>
        <v>345 Grand St</v>
      </c>
      <c r="F4031" s="25" t="s">
        <v>46</v>
      </c>
      <c r="G4031" s="28">
        <v>3850000.0</v>
      </c>
      <c r="H4031" s="28">
        <v>1639.0</v>
      </c>
      <c r="I4031" s="28">
        <v>2425.0</v>
      </c>
      <c r="J4031" s="28">
        <v>14808.0</v>
      </c>
      <c r="K4031" s="25" t="s">
        <v>28</v>
      </c>
      <c r="L4031" s="26">
        <v>4.0</v>
      </c>
      <c r="M4031" s="26">
        <v>2.0</v>
      </c>
      <c r="N4031" s="26">
        <v>0.0</v>
      </c>
      <c r="O4031" s="26">
        <v>0.0</v>
      </c>
      <c r="P4031" s="34">
        <v>2349.0</v>
      </c>
      <c r="Q4031" s="35">
        <v>173.0</v>
      </c>
      <c r="R4031" s="32">
        <v>45636.0</v>
      </c>
      <c r="S4031" s="32">
        <v>41922.0</v>
      </c>
      <c r="T4031" s="29"/>
      <c r="U4031" s="33"/>
      <c r="V4031" s="1"/>
    </row>
    <row r="4032" ht="24.0" customHeight="1">
      <c r="A4032" s="1"/>
      <c r="B4032" s="24" t="str">
        <f>HYPERLINK("https://www.compass.com/listing/401-hicks-street-unit-a1f-brooklyn-ny-11201/920796898096320025/view?agent_id=610d3f3370540700019b0833","401 Hicks Street, Unit A1F")</f>
        <v>401 Hicks Street, Unit A1F</v>
      </c>
      <c r="C4032" s="25" t="s">
        <v>364</v>
      </c>
      <c r="D4032" s="26" t="s">
        <v>23</v>
      </c>
      <c r="E4032" s="27" t="str">
        <f t="shared" ref="E4032:E4033" si="154">HYPERLINK("https://www.compass.com/building/the-arches-at-cobble-hill-brooklyn-ny/319515724904671925/","The Arches at Cobble Hill")</f>
        <v>The Arches at Cobble Hill</v>
      </c>
      <c r="F4032" s="25" t="s">
        <v>131</v>
      </c>
      <c r="G4032" s="28">
        <v>1395000.0</v>
      </c>
      <c r="H4032" s="28">
        <v>863.0</v>
      </c>
      <c r="I4032" s="28">
        <v>1147.0</v>
      </c>
      <c r="J4032" s="28">
        <v>2880.0</v>
      </c>
      <c r="K4032" s="25" t="s">
        <v>28</v>
      </c>
      <c r="L4032" s="26">
        <v>5.0</v>
      </c>
      <c r="M4032" s="26">
        <v>2.0</v>
      </c>
      <c r="N4032" s="26">
        <v>0.0</v>
      </c>
      <c r="O4032" s="26">
        <v>0.0</v>
      </c>
      <c r="P4032" s="34">
        <v>1616.0</v>
      </c>
      <c r="Q4032" s="35">
        <v>287.0</v>
      </c>
      <c r="R4032" s="32">
        <v>45636.0</v>
      </c>
      <c r="S4032" s="32">
        <v>42445.0</v>
      </c>
      <c r="T4032" s="29"/>
      <c r="U4032" s="33"/>
      <c r="V4032" s="1"/>
    </row>
    <row r="4033" ht="24.0" customHeight="1">
      <c r="A4033" s="1"/>
      <c r="B4033" s="24" t="str">
        <f>HYPERLINK("https://www.compass.com/listing/401-hicks-street-unit-a-1f-brooklyn-ny-11201/921945102171213481/view?agent_id=610d3f3370540700019b0833","401 Hicks Street, Unit A/1F")</f>
        <v>401 Hicks Street, Unit A/1F</v>
      </c>
      <c r="C4033" s="25" t="s">
        <v>364</v>
      </c>
      <c r="D4033" s="26" t="s">
        <v>23</v>
      </c>
      <c r="E4033" s="27" t="str">
        <f t="shared" si="154"/>
        <v>The Arches at Cobble Hill</v>
      </c>
      <c r="F4033" s="25" t="s">
        <v>131</v>
      </c>
      <c r="G4033" s="28">
        <v>1685000.0</v>
      </c>
      <c r="H4033" s="28">
        <v>1043.0</v>
      </c>
      <c r="I4033" s="28">
        <v>1147.0</v>
      </c>
      <c r="J4033" s="28">
        <v>2880.0</v>
      </c>
      <c r="K4033" s="25" t="s">
        <v>28</v>
      </c>
      <c r="L4033" s="26">
        <v>4.0</v>
      </c>
      <c r="M4033" s="26">
        <v>2.0</v>
      </c>
      <c r="N4033" s="26">
        <v>0.0</v>
      </c>
      <c r="O4033" s="26">
        <v>1.0</v>
      </c>
      <c r="P4033" s="34">
        <v>1616.0</v>
      </c>
      <c r="Q4033" s="35">
        <v>0.0</v>
      </c>
      <c r="R4033" s="32">
        <v>44581.0</v>
      </c>
      <c r="S4033" s="32">
        <v>43182.0</v>
      </c>
      <c r="T4033" s="29"/>
      <c r="U4033" s="33"/>
      <c r="V4033" s="1"/>
    </row>
    <row r="4034" ht="24.0" customHeight="1">
      <c r="A4034" s="1"/>
      <c r="B4034" s="24" t="str">
        <f>HYPERLINK("https://www.compass.com/listing/18-40-211th-street-unit-2j-queens-ny-11360/1730611496367905225/view?agent_id=610d3f3370540700019b0833","18-40 211th Street, Unit 2J")</f>
        <v>18-40 211th Street, Unit 2J</v>
      </c>
      <c r="C4034" s="25" t="s">
        <v>370</v>
      </c>
      <c r="D4034" s="26" t="s">
        <v>23</v>
      </c>
      <c r="E4034" s="27" t="str">
        <f>HYPERLINK("https://www.compass.com/building/18-40-211th-st-queens-ny-11360/293526107989312101/","18-40 211th St")</f>
        <v>18-40 211th St</v>
      </c>
      <c r="F4034" s="25" t="s">
        <v>79</v>
      </c>
      <c r="G4034" s="28">
        <v>139000.0</v>
      </c>
      <c r="H4034" s="29"/>
      <c r="I4034" s="28">
        <v>0.0</v>
      </c>
      <c r="J4034" s="28">
        <v>0.0</v>
      </c>
      <c r="K4034" s="25" t="s">
        <v>25</v>
      </c>
      <c r="L4034" s="26">
        <v>4.0</v>
      </c>
      <c r="M4034" s="26">
        <v>2.0</v>
      </c>
      <c r="N4034" s="26">
        <v>1.0</v>
      </c>
      <c r="O4034" s="30"/>
      <c r="P4034" s="30"/>
      <c r="Q4034" s="35">
        <v>338.0</v>
      </c>
      <c r="R4034" s="32">
        <v>45616.0</v>
      </c>
      <c r="S4034" s="32">
        <v>42082.0</v>
      </c>
      <c r="T4034" s="29"/>
      <c r="U4034" s="33"/>
      <c r="V4034" s="1"/>
    </row>
    <row r="4035" ht="24.0" customHeight="1">
      <c r="A4035" s="1"/>
      <c r="B4035" s="24" t="str">
        <f>HYPERLINK("https://www.compass.com/listing/144-58-village-road-unit-73d-queens-ny-11435/1730615513060403801/view?agent_id=610d3f3370540700019b0833","144-58 Village Road, Unit 73D")</f>
        <v>144-58 Village Road, Unit 73D</v>
      </c>
      <c r="C4035" s="25" t="s">
        <v>370</v>
      </c>
      <c r="D4035" s="26" t="s">
        <v>23</v>
      </c>
      <c r="E4035" s="27" t="str">
        <f>HYPERLINK("https://www.compass.com/building/144-58-village-rd-queens-ny-11435/307454459181302277/","144-58 Village Rd")</f>
        <v>144-58 Village Rd</v>
      </c>
      <c r="F4035" s="25" t="s">
        <v>142</v>
      </c>
      <c r="G4035" s="28">
        <v>189000.0</v>
      </c>
      <c r="H4035" s="28">
        <v>189.0</v>
      </c>
      <c r="I4035" s="28">
        <v>0.0</v>
      </c>
      <c r="J4035" s="28">
        <v>0.0</v>
      </c>
      <c r="K4035" s="25" t="s">
        <v>25</v>
      </c>
      <c r="L4035" s="26">
        <v>5.0</v>
      </c>
      <c r="M4035" s="26">
        <v>2.0</v>
      </c>
      <c r="N4035" s="26">
        <v>1.0</v>
      </c>
      <c r="O4035" s="30"/>
      <c r="P4035" s="34">
        <v>1000.0</v>
      </c>
      <c r="Q4035" s="35">
        <v>360.0</v>
      </c>
      <c r="R4035" s="32">
        <v>45597.0</v>
      </c>
      <c r="S4035" s="32">
        <v>41522.0</v>
      </c>
      <c r="T4035" s="29"/>
      <c r="U4035" s="33"/>
      <c r="V4035" s="1"/>
    </row>
    <row r="4036" ht="24.0" customHeight="1">
      <c r="A4036" s="1"/>
      <c r="B4036" s="24" t="str">
        <f>HYPERLINK("https://www.compass.com/listing/18-40-211th-street-unit-2j-queens-ny-11360/1727202168830497857/view?agent_id=610d3f3370540700019b0833","18-40 211th Street, Unit 2J")</f>
        <v>18-40 211th Street, Unit 2J</v>
      </c>
      <c r="C4036" s="25" t="s">
        <v>370</v>
      </c>
      <c r="D4036" s="26" t="s">
        <v>23</v>
      </c>
      <c r="E4036" s="27" t="str">
        <f t="shared" ref="E4036:E4037" si="155">HYPERLINK("https://www.compass.com/building/18-40-211th-st-queens-ny-11360/293526107989312101/","18-40 211th St")</f>
        <v>18-40 211th St</v>
      </c>
      <c r="F4036" s="25" t="s">
        <v>79</v>
      </c>
      <c r="G4036" s="28">
        <v>140000.0</v>
      </c>
      <c r="H4036" s="29"/>
      <c r="I4036" s="28">
        <v>0.0</v>
      </c>
      <c r="J4036" s="28">
        <v>0.0</v>
      </c>
      <c r="K4036" s="25" t="s">
        <v>25</v>
      </c>
      <c r="L4036" s="26">
        <v>4.0</v>
      </c>
      <c r="M4036" s="26">
        <v>2.0</v>
      </c>
      <c r="N4036" s="26">
        <v>1.0</v>
      </c>
      <c r="O4036" s="30"/>
      <c r="P4036" s="30"/>
      <c r="Q4036" s="35">
        <v>104.0</v>
      </c>
      <c r="R4036" s="32">
        <v>45634.0</v>
      </c>
      <c r="S4036" s="32">
        <v>42436.0</v>
      </c>
      <c r="T4036" s="29"/>
      <c r="U4036" s="33"/>
      <c r="V4036" s="1"/>
    </row>
    <row r="4037" ht="24.0" customHeight="1">
      <c r="A4037" s="1"/>
      <c r="B4037" s="24" t="str">
        <f>HYPERLINK("https://www.compass.com/listing/18-40-211th-street-unit-2j-queens-ny-11360/4865959190654367905/view?agent_id=610d3f3370540700019b0833","18-40 211th Street, Unit 2J")</f>
        <v>18-40 211th Street, Unit 2J</v>
      </c>
      <c r="C4037" s="25" t="s">
        <v>370</v>
      </c>
      <c r="D4037" s="26" t="s">
        <v>23</v>
      </c>
      <c r="E4037" s="27" t="str">
        <f t="shared" si="155"/>
        <v>18-40 211th St</v>
      </c>
      <c r="F4037" s="25" t="s">
        <v>79</v>
      </c>
      <c r="G4037" s="28">
        <v>199000.0</v>
      </c>
      <c r="H4037" s="29"/>
      <c r="I4037" s="28">
        <v>0.0</v>
      </c>
      <c r="J4037" s="28">
        <v>0.0</v>
      </c>
      <c r="K4037" s="25" t="s">
        <v>25</v>
      </c>
      <c r="L4037" s="26">
        <v>4.0</v>
      </c>
      <c r="M4037" s="26">
        <v>2.0</v>
      </c>
      <c r="N4037" s="26">
        <v>1.0</v>
      </c>
      <c r="O4037" s="30"/>
      <c r="P4037" s="30"/>
      <c r="Q4037" s="35">
        <v>155.0</v>
      </c>
      <c r="R4037" s="32">
        <v>45597.0</v>
      </c>
      <c r="S4037" s="32">
        <v>43095.0</v>
      </c>
      <c r="T4037" s="29"/>
      <c r="U4037" s="33"/>
      <c r="V4037" s="1"/>
    </row>
    <row r="4038" ht="24.0" customHeight="1">
      <c r="A4038" s="1"/>
      <c r="B4038" s="24" t="str">
        <f>HYPERLINK("https://www.compass.com/listing/80-32-57th-street-queens-ny-11385/23954706573408049/view?agent_id=610d3f3370540700019b0833","80-32 57th Street")</f>
        <v>80-32 57th Street</v>
      </c>
      <c r="C4038" s="25" t="s">
        <v>364</v>
      </c>
      <c r="D4038" s="26" t="s">
        <v>23</v>
      </c>
      <c r="E4038" s="27" t="str">
        <f>HYPERLINK("https://www.compass.com/building/80-32-57th-st-queens-ny-11385/293533227568642645/","80-32 57th St")</f>
        <v>80-32 57th St</v>
      </c>
      <c r="F4038" s="25" t="s">
        <v>100</v>
      </c>
      <c r="G4038" s="28">
        <v>900000.0</v>
      </c>
      <c r="H4038" s="29"/>
      <c r="I4038" s="28">
        <v>0.0</v>
      </c>
      <c r="J4038" s="29"/>
      <c r="K4038" s="25" t="s">
        <v>428</v>
      </c>
      <c r="L4038" s="26">
        <v>5.0</v>
      </c>
      <c r="M4038" s="26">
        <v>2.0</v>
      </c>
      <c r="N4038" s="26">
        <v>1.0</v>
      </c>
      <c r="O4038" s="26">
        <v>0.0</v>
      </c>
      <c r="P4038" s="26">
        <v>648.0</v>
      </c>
      <c r="Q4038" s="35">
        <v>99.0</v>
      </c>
      <c r="R4038" s="32">
        <v>44581.0</v>
      </c>
      <c r="S4038" s="32">
        <v>43284.0</v>
      </c>
      <c r="T4038" s="29"/>
      <c r="U4038" s="33"/>
      <c r="V4038" s="1"/>
    </row>
    <row r="4039" ht="24.0" customHeight="1">
      <c r="A4039" s="1"/>
      <c r="B4039" s="24" t="str">
        <f>HYPERLINK("https://www.compass.com/listing/116-12-ocean-promenade-unit-410-queens-ny-11694/4852329946086904081/view?agent_id=610d3f3370540700019b0833","116-12 Ocean Promenade, Unit 410")</f>
        <v>116-12 Ocean Promenade, Unit 410</v>
      </c>
      <c r="C4039" s="25" t="s">
        <v>370</v>
      </c>
      <c r="D4039" s="26" t="s">
        <v>23</v>
      </c>
      <c r="E4039" s="27" t="str">
        <f t="shared" ref="E4039:E4042" si="156">HYPERLINK("https://www.compass.com/building/116-12-ocean-promenade-queens-ny-11694/307458200500239989/","116-12 Ocean Promenade")</f>
        <v>116-12 Ocean Promenade</v>
      </c>
      <c r="F4039" s="25" t="s">
        <v>427</v>
      </c>
      <c r="G4039" s="28">
        <v>585000.0</v>
      </c>
      <c r="H4039" s="28">
        <v>443.0</v>
      </c>
      <c r="I4039" s="28">
        <v>572.0</v>
      </c>
      <c r="J4039" s="29"/>
      <c r="K4039" s="25" t="s">
        <v>28</v>
      </c>
      <c r="L4039" s="26">
        <v>5.0</v>
      </c>
      <c r="M4039" s="26">
        <v>2.0</v>
      </c>
      <c r="N4039" s="26">
        <v>0.0</v>
      </c>
      <c r="O4039" s="26">
        <v>0.0</v>
      </c>
      <c r="P4039" s="34">
        <v>1320.0</v>
      </c>
      <c r="Q4039" s="35">
        <v>0.0</v>
      </c>
      <c r="R4039" s="32">
        <v>44581.0</v>
      </c>
      <c r="S4039" s="32">
        <v>41538.0</v>
      </c>
      <c r="T4039" s="29"/>
      <c r="U4039" s="33"/>
      <c r="V4039" s="1"/>
    </row>
    <row r="4040" ht="24.0" customHeight="1">
      <c r="A4040" s="1"/>
      <c r="B4040" s="24" t="str">
        <f>HYPERLINK("https://www.compass.com/listing/116-12-ocean-promenade-unit-210-queens-ny-11694/4852329946229510449/view?agent_id=610d3f3370540700019b0833","116-12 Ocean Promenade, Unit 210")</f>
        <v>116-12 Ocean Promenade, Unit 210</v>
      </c>
      <c r="C4040" s="25" t="s">
        <v>370</v>
      </c>
      <c r="D4040" s="26" t="s">
        <v>23</v>
      </c>
      <c r="E4040" s="27" t="str">
        <f t="shared" si="156"/>
        <v>116-12 Ocean Promenade</v>
      </c>
      <c r="F4040" s="25" t="s">
        <v>427</v>
      </c>
      <c r="G4040" s="28">
        <v>545000.0</v>
      </c>
      <c r="H4040" s="28">
        <v>414.0</v>
      </c>
      <c r="I4040" s="28">
        <v>571.0</v>
      </c>
      <c r="J4040" s="29"/>
      <c r="K4040" s="25" t="s">
        <v>28</v>
      </c>
      <c r="L4040" s="26">
        <v>5.0</v>
      </c>
      <c r="M4040" s="26">
        <v>2.0</v>
      </c>
      <c r="N4040" s="26">
        <v>0.0</v>
      </c>
      <c r="O4040" s="26">
        <v>0.0</v>
      </c>
      <c r="P4040" s="34">
        <v>1315.0</v>
      </c>
      <c r="Q4040" s="35">
        <v>0.0</v>
      </c>
      <c r="R4040" s="32">
        <v>44581.0</v>
      </c>
      <c r="S4040" s="32">
        <v>41538.0</v>
      </c>
      <c r="T4040" s="29"/>
      <c r="U4040" s="33"/>
      <c r="V4040" s="1"/>
    </row>
    <row r="4041" ht="24.0" customHeight="1">
      <c r="A4041" s="1"/>
      <c r="B4041" s="24" t="str">
        <f>HYPERLINK("https://www.compass.com/listing/116-12-ocean-promenade-unit-308-queens-ny-11694/4852330043436706593/view?agent_id=610d3f3370540700019b0833","116-12 Ocean Promenade, Unit 308")</f>
        <v>116-12 Ocean Promenade, Unit 308</v>
      </c>
      <c r="C4041" s="25" t="s">
        <v>370</v>
      </c>
      <c r="D4041" s="26" t="s">
        <v>23</v>
      </c>
      <c r="E4041" s="27" t="str">
        <f t="shared" si="156"/>
        <v>116-12 Ocean Promenade</v>
      </c>
      <c r="F4041" s="25" t="s">
        <v>427</v>
      </c>
      <c r="G4041" s="28">
        <v>560000.0</v>
      </c>
      <c r="H4041" s="28">
        <v>442.0</v>
      </c>
      <c r="I4041" s="28">
        <v>550.0</v>
      </c>
      <c r="J4041" s="29"/>
      <c r="K4041" s="25" t="s">
        <v>28</v>
      </c>
      <c r="L4041" s="26">
        <v>5.0</v>
      </c>
      <c r="M4041" s="26">
        <v>2.0</v>
      </c>
      <c r="N4041" s="26">
        <v>0.0</v>
      </c>
      <c r="O4041" s="26">
        <v>0.0</v>
      </c>
      <c r="P4041" s="34">
        <v>1266.0</v>
      </c>
      <c r="Q4041" s="35">
        <v>0.0</v>
      </c>
      <c r="R4041" s="32">
        <v>44581.0</v>
      </c>
      <c r="S4041" s="32">
        <v>41538.0</v>
      </c>
      <c r="T4041" s="29"/>
      <c r="U4041" s="33"/>
      <c r="V4041" s="1"/>
    </row>
    <row r="4042" ht="24.0" customHeight="1">
      <c r="A4042" s="1"/>
      <c r="B4042" s="24" t="str">
        <f>HYPERLINK("https://www.compass.com/listing/116-12-ocean-promenade-unit-310-queens-ny-11694/4852330045089262737/view?agent_id=610d3f3370540700019b0833","116-12 Ocean Promenade, Unit 310")</f>
        <v>116-12 Ocean Promenade, Unit 310</v>
      </c>
      <c r="C4042" s="25" t="s">
        <v>370</v>
      </c>
      <c r="D4042" s="26" t="s">
        <v>23</v>
      </c>
      <c r="E4042" s="27" t="str">
        <f t="shared" si="156"/>
        <v>116-12 Ocean Promenade</v>
      </c>
      <c r="F4042" s="25" t="s">
        <v>427</v>
      </c>
      <c r="G4042" s="28">
        <v>585000.0</v>
      </c>
      <c r="H4042" s="28">
        <v>443.0</v>
      </c>
      <c r="I4042" s="28">
        <v>571.0</v>
      </c>
      <c r="J4042" s="29"/>
      <c r="K4042" s="25" t="s">
        <v>28</v>
      </c>
      <c r="L4042" s="26">
        <v>5.0</v>
      </c>
      <c r="M4042" s="26">
        <v>2.0</v>
      </c>
      <c r="N4042" s="26">
        <v>0.0</v>
      </c>
      <c r="O4042" s="26">
        <v>0.0</v>
      </c>
      <c r="P4042" s="34">
        <v>1320.0</v>
      </c>
      <c r="Q4042" s="35">
        <v>0.0</v>
      </c>
      <c r="R4042" s="32">
        <v>44581.0</v>
      </c>
      <c r="S4042" s="32">
        <v>41538.0</v>
      </c>
      <c r="T4042" s="29"/>
      <c r="U4042" s="33"/>
      <c r="V4042" s="1"/>
    </row>
    <row r="4043" ht="24.0" customHeight="1">
      <c r="A4043" s="1"/>
      <c r="B4043" s="24" t="str">
        <f>HYPERLINK("https://www.compass.com/listing/18-40-211th-street-unit-2j-queens-ny-11360/500856080738357345/view?agent_id=610d3f3370540700019b0833","18-40 211th Street, Unit 2J")</f>
        <v>18-40 211th Street, Unit 2J</v>
      </c>
      <c r="C4043" s="25" t="s">
        <v>370</v>
      </c>
      <c r="D4043" s="26" t="s">
        <v>23</v>
      </c>
      <c r="E4043" s="27" t="str">
        <f t="shared" ref="E4043:E4044" si="157">HYPERLINK("https://www.compass.com/building/18-40-211th-st-queens-ny-11360/293526107989312101/","18-40 211th St")</f>
        <v>18-40 211th St</v>
      </c>
      <c r="F4043" s="25" t="s">
        <v>79</v>
      </c>
      <c r="G4043" s="28">
        <v>175000.0</v>
      </c>
      <c r="H4043" s="29"/>
      <c r="I4043" s="28">
        <v>0.0</v>
      </c>
      <c r="J4043" s="28">
        <v>0.0</v>
      </c>
      <c r="K4043" s="25" t="s">
        <v>25</v>
      </c>
      <c r="L4043" s="26">
        <v>4.0</v>
      </c>
      <c r="M4043" s="26">
        <v>2.0</v>
      </c>
      <c r="N4043" s="26">
        <v>1.0</v>
      </c>
      <c r="O4043" s="30"/>
      <c r="P4043" s="30"/>
      <c r="Q4043" s="35">
        <v>107.0</v>
      </c>
      <c r="R4043" s="32">
        <v>45636.0</v>
      </c>
      <c r="S4043" s="32">
        <v>42629.0</v>
      </c>
      <c r="T4043" s="29"/>
      <c r="U4043" s="33"/>
      <c r="V4043" s="1"/>
    </row>
    <row r="4044" ht="24.0" customHeight="1">
      <c r="A4044" s="1"/>
      <c r="B4044" s="24" t="str">
        <f>HYPERLINK("https://www.compass.com/listing/18-40-211th-street-unit-2j-queens-ny-11360/500860375288415313/view?agent_id=610d3f3370540700019b0833","18-40 211th Street, Unit 2J")</f>
        <v>18-40 211th Street, Unit 2J</v>
      </c>
      <c r="C4044" s="25" t="s">
        <v>370</v>
      </c>
      <c r="D4044" s="26" t="s">
        <v>23</v>
      </c>
      <c r="E4044" s="27" t="str">
        <f t="shared" si="157"/>
        <v>18-40 211th St</v>
      </c>
      <c r="F4044" s="25" t="s">
        <v>79</v>
      </c>
      <c r="G4044" s="28">
        <v>185000.0</v>
      </c>
      <c r="H4044" s="29"/>
      <c r="I4044" s="28">
        <v>0.0</v>
      </c>
      <c r="J4044" s="28">
        <v>0.0</v>
      </c>
      <c r="K4044" s="25" t="s">
        <v>25</v>
      </c>
      <c r="L4044" s="26">
        <v>4.0</v>
      </c>
      <c r="M4044" s="26">
        <v>2.0</v>
      </c>
      <c r="N4044" s="26">
        <v>1.0</v>
      </c>
      <c r="O4044" s="30"/>
      <c r="P4044" s="30"/>
      <c r="Q4044" s="35">
        <v>151.0</v>
      </c>
      <c r="R4044" s="32">
        <v>45636.0</v>
      </c>
      <c r="S4044" s="32">
        <v>42857.0</v>
      </c>
      <c r="T4044" s="29"/>
      <c r="U4044" s="33"/>
      <c r="V4044" s="1"/>
    </row>
    <row r="4045" ht="24.0" customHeight="1">
      <c r="A4045" s="1"/>
      <c r="B4045" s="24" t="str">
        <f>HYPERLINK("https://www.compass.com/listing/2626-homecrest-avenue-unit-6pp-brooklyn-ny-11235/4852308803372200593/view?agent_id=610d3f3370540700019b0833","2626 Homecrest Avenue, Unit 6PP")</f>
        <v>2626 Homecrest Avenue, Unit 6PP</v>
      </c>
      <c r="C4045" s="25" t="s">
        <v>364</v>
      </c>
      <c r="D4045" s="26" t="s">
        <v>23</v>
      </c>
      <c r="E4045" s="27" t="str">
        <f>HYPERLINK("https://www.compass.com/building/2626-homecrest-ave-brooklyn-ny-11235/294842847899188325/","2626 Homecrest Ave")</f>
        <v>2626 Homecrest Ave</v>
      </c>
      <c r="F4045" s="25" t="s">
        <v>70</v>
      </c>
      <c r="G4045" s="28">
        <v>445000.0</v>
      </c>
      <c r="H4045" s="28">
        <v>424.0</v>
      </c>
      <c r="I4045" s="28">
        <v>780.0</v>
      </c>
      <c r="J4045" s="29"/>
      <c r="K4045" s="25" t="s">
        <v>25</v>
      </c>
      <c r="L4045" s="26">
        <v>5.0</v>
      </c>
      <c r="M4045" s="26">
        <v>2.0</v>
      </c>
      <c r="N4045" s="26">
        <v>0.0</v>
      </c>
      <c r="O4045" s="26">
        <v>0.0</v>
      </c>
      <c r="P4045" s="34">
        <v>1050.0</v>
      </c>
      <c r="Q4045" s="35">
        <v>1884.0</v>
      </c>
      <c r="R4045" s="32">
        <v>45636.0</v>
      </c>
      <c r="S4045" s="32">
        <v>42696.0</v>
      </c>
      <c r="T4045" s="29"/>
      <c r="U4045" s="33"/>
      <c r="V4045" s="1"/>
    </row>
    <row r="4046" ht="24.0" customHeight="1">
      <c r="A4046" s="1"/>
      <c r="B4046" s="24" t="str">
        <f>HYPERLINK("https://www.compass.com/listing/18-40-211th-street-unit-2j-queens-ny-11360/197775425672434993/view?agent_id=610d3f3370540700019b0833","18-40 211th Street, Unit 2J")</f>
        <v>18-40 211th Street, Unit 2J</v>
      </c>
      <c r="C4046" s="25" t="s">
        <v>370</v>
      </c>
      <c r="D4046" s="26" t="s">
        <v>23</v>
      </c>
      <c r="E4046" s="27" t="str">
        <f t="shared" ref="E4046:E4048" si="158">HYPERLINK("https://www.compass.com/building/18-40-211th-st-queens-ny-11360/293526107989312101/","18-40 211th St")</f>
        <v>18-40 211th St</v>
      </c>
      <c r="F4046" s="25" t="s">
        <v>79</v>
      </c>
      <c r="G4046" s="28">
        <v>199888.0</v>
      </c>
      <c r="H4046" s="29"/>
      <c r="I4046" s="28">
        <v>0.0</v>
      </c>
      <c r="J4046" s="28">
        <v>0.0</v>
      </c>
      <c r="K4046" s="25" t="s">
        <v>25</v>
      </c>
      <c r="L4046" s="26">
        <v>5.0</v>
      </c>
      <c r="M4046" s="26">
        <v>2.0</v>
      </c>
      <c r="N4046" s="26">
        <v>1.0</v>
      </c>
      <c r="O4046" s="30"/>
      <c r="P4046" s="30"/>
      <c r="Q4046" s="35">
        <v>153.0</v>
      </c>
      <c r="R4046" s="32">
        <v>45597.0</v>
      </c>
      <c r="S4046" s="32">
        <v>43299.0</v>
      </c>
      <c r="T4046" s="29"/>
      <c r="U4046" s="33"/>
      <c r="V4046" s="1"/>
    </row>
    <row r="4047" ht="24.0" customHeight="1">
      <c r="A4047" s="1"/>
      <c r="B4047" s="24" t="str">
        <f>HYPERLINK("https://www.compass.com/listing/18-40-211th-street-unit-2j-queens-ny-11360/231158610749672465/view?agent_id=610d3f3370540700019b0833","18-40 211th Street, Unit 2J")</f>
        <v>18-40 211th Street, Unit 2J</v>
      </c>
      <c r="C4047" s="25" t="s">
        <v>370</v>
      </c>
      <c r="D4047" s="26" t="s">
        <v>23</v>
      </c>
      <c r="E4047" s="27" t="str">
        <f t="shared" si="158"/>
        <v>18-40 211th St</v>
      </c>
      <c r="F4047" s="25" t="s">
        <v>79</v>
      </c>
      <c r="G4047" s="28">
        <v>268000.0</v>
      </c>
      <c r="H4047" s="29"/>
      <c r="I4047" s="28">
        <v>0.0</v>
      </c>
      <c r="J4047" s="28">
        <v>0.0</v>
      </c>
      <c r="K4047" s="25" t="s">
        <v>25</v>
      </c>
      <c r="L4047" s="26">
        <v>5.0</v>
      </c>
      <c r="M4047" s="26">
        <v>2.0</v>
      </c>
      <c r="N4047" s="26">
        <v>1.0</v>
      </c>
      <c r="O4047" s="30"/>
      <c r="P4047" s="30"/>
      <c r="Q4047" s="35">
        <v>260.0</v>
      </c>
      <c r="R4047" s="32">
        <v>45597.0</v>
      </c>
      <c r="S4047" s="32">
        <v>43570.0</v>
      </c>
      <c r="T4047" s="29"/>
      <c r="U4047" s="33"/>
      <c r="V4047" s="1"/>
    </row>
    <row r="4048" ht="24.0" customHeight="1">
      <c r="A4048" s="1"/>
      <c r="B4048" s="24" t="str">
        <f>HYPERLINK("https://www.compass.com/listing/18-40-211th-street-unit-2j-queens-ny-11360/500858191555532617/view?agent_id=610d3f3370540700019b0833","18-40 211th Street, Unit 2J")</f>
        <v>18-40 211th Street, Unit 2J</v>
      </c>
      <c r="C4048" s="25" t="s">
        <v>370</v>
      </c>
      <c r="D4048" s="26" t="s">
        <v>23</v>
      </c>
      <c r="E4048" s="27" t="str">
        <f t="shared" si="158"/>
        <v>18-40 211th St</v>
      </c>
      <c r="F4048" s="25" t="s">
        <v>79</v>
      </c>
      <c r="G4048" s="28">
        <v>175000.0</v>
      </c>
      <c r="H4048" s="29"/>
      <c r="I4048" s="28">
        <v>0.0</v>
      </c>
      <c r="J4048" s="28">
        <v>0.0</v>
      </c>
      <c r="K4048" s="25" t="s">
        <v>25</v>
      </c>
      <c r="L4048" s="26">
        <v>4.0</v>
      </c>
      <c r="M4048" s="26">
        <v>2.0</v>
      </c>
      <c r="N4048" s="26">
        <v>1.0</v>
      </c>
      <c r="O4048" s="30"/>
      <c r="P4048" s="30"/>
      <c r="Q4048" s="35">
        <v>111.0</v>
      </c>
      <c r="R4048" s="32">
        <v>45636.0</v>
      </c>
      <c r="S4048" s="32">
        <v>42744.0</v>
      </c>
      <c r="T4048" s="29"/>
      <c r="U4048" s="33"/>
      <c r="V4048" s="1"/>
    </row>
    <row r="4049" ht="24.0" customHeight="1">
      <c r="A4049" s="1"/>
      <c r="B4049" s="24" t="str">
        <f>HYPERLINK("https://www.compass.com/listing/99-45-67th-road-unit-511-queens-ny-11374/755755483967475001/view?agent_id=610d3f3370540700019b0833","99-45 67th Road, Unit 511")</f>
        <v>99-45 67th Road, Unit 511</v>
      </c>
      <c r="C4049" s="25" t="s">
        <v>365</v>
      </c>
      <c r="D4049" s="26" t="s">
        <v>23</v>
      </c>
      <c r="E4049" s="26" t="s">
        <v>429</v>
      </c>
      <c r="F4049" s="25" t="s">
        <v>166</v>
      </c>
      <c r="G4049" s="28">
        <v>425000.0</v>
      </c>
      <c r="H4049" s="29"/>
      <c r="I4049" s="28">
        <v>1003.0</v>
      </c>
      <c r="J4049" s="28">
        <v>0.0</v>
      </c>
      <c r="K4049" s="25" t="s">
        <v>25</v>
      </c>
      <c r="L4049" s="26">
        <v>4.0</v>
      </c>
      <c r="M4049" s="26">
        <v>2.0</v>
      </c>
      <c r="N4049" s="26">
        <v>1.0</v>
      </c>
      <c r="O4049" s="30"/>
      <c r="P4049" s="30"/>
      <c r="Q4049" s="35">
        <v>51.0</v>
      </c>
      <c r="R4049" s="32">
        <v>44346.0</v>
      </c>
      <c r="S4049" s="32">
        <v>44294.0</v>
      </c>
      <c r="T4049" s="29"/>
      <c r="U4049" s="33"/>
      <c r="V4049" s="1"/>
    </row>
    <row r="4050" ht="24.0" customHeight="1">
      <c r="A4050" s="1"/>
      <c r="B4050" s="24" t="str">
        <f>HYPERLINK("https://www.compass.com/listing/2-bay-club-drive-unit-15g-queens-ny-11360/1272496204769526081/view?agent_id=610d3f3370540700019b0833","2 Bay Club Drive, Unit 15G")</f>
        <v>2 Bay Club Drive, Unit 15G</v>
      </c>
      <c r="C4050" s="25" t="s">
        <v>365</v>
      </c>
      <c r="D4050" s="26" t="s">
        <v>23</v>
      </c>
      <c r="E4050" s="27" t="str">
        <f>HYPERLINK("https://www.compass.com/building/bay-club-queens-ny/294838615645217317/","Bay Club")</f>
        <v>Bay Club</v>
      </c>
      <c r="F4050" s="25" t="s">
        <v>79</v>
      </c>
      <c r="G4050" s="28">
        <v>750000.0</v>
      </c>
      <c r="H4050" s="29"/>
      <c r="I4050" s="28">
        <v>7476.0</v>
      </c>
      <c r="J4050" s="28">
        <v>78144.0</v>
      </c>
      <c r="K4050" s="25" t="s">
        <v>28</v>
      </c>
      <c r="L4050" s="26">
        <v>5.0</v>
      </c>
      <c r="M4050" s="26">
        <v>2.0</v>
      </c>
      <c r="N4050" s="30"/>
      <c r="O4050" s="30"/>
      <c r="P4050" s="30"/>
      <c r="Q4050" s="35">
        <v>160.0</v>
      </c>
      <c r="R4050" s="32">
        <v>45168.0</v>
      </c>
      <c r="S4050" s="32">
        <v>45007.0</v>
      </c>
      <c r="T4050" s="29"/>
      <c r="U4050" s="33"/>
      <c r="V4050" s="1"/>
    </row>
    <row r="4051" ht="24.0" customHeight="1">
      <c r="A4051" s="1"/>
      <c r="B4051" s="24" t="str">
        <f>HYPERLINK("https://www.compass.com/listing/920-east-17th-street-unit-615-brooklyn-ny-11230/738600187671926777/view?agent_id=610d3f3370540700019b0833","920 East 17th Street, Unit 615")</f>
        <v>920 East 17th Street, Unit 615</v>
      </c>
      <c r="C4051" s="25" t="s">
        <v>364</v>
      </c>
      <c r="D4051" s="26" t="s">
        <v>23</v>
      </c>
      <c r="E4051" s="27" t="str">
        <f>HYPERLINK("https://www.compass.com/building/terrace-gardens-plaza-brooklyn-ny/293416523777812613/","Terrace Gardens Plaza")</f>
        <v>Terrace Gardens Plaza</v>
      </c>
      <c r="F4051" s="25" t="s">
        <v>34</v>
      </c>
      <c r="G4051" s="28">
        <v>499999.0</v>
      </c>
      <c r="H4051" s="28">
        <v>425.0</v>
      </c>
      <c r="I4051" s="28">
        <v>1036.0</v>
      </c>
      <c r="J4051" s="28">
        <v>0.0</v>
      </c>
      <c r="K4051" s="25" t="s">
        <v>25</v>
      </c>
      <c r="L4051" s="26">
        <v>4.0</v>
      </c>
      <c r="M4051" s="26">
        <v>2.0</v>
      </c>
      <c r="N4051" s="26">
        <v>1.0</v>
      </c>
      <c r="O4051" s="26">
        <v>0.0</v>
      </c>
      <c r="P4051" s="34">
        <v>1176.0</v>
      </c>
      <c r="Q4051" s="35">
        <v>104.0</v>
      </c>
      <c r="R4051" s="32">
        <v>44375.0</v>
      </c>
      <c r="S4051" s="32">
        <v>44270.0</v>
      </c>
      <c r="T4051" s="29"/>
      <c r="U4051" s="33"/>
      <c r="V4051" s="1"/>
    </row>
    <row r="4052" ht="24.0" customHeight="1">
      <c r="A4052" s="1"/>
      <c r="B4052" s="24" t="str">
        <f>HYPERLINK("https://www.compass.com/listing/501-surf-avenue-unit-6e-brooklyn-ny-11224/901691262716462161/view?agent_id=610d3f3370540700019b0833","501 Surf Avenue, Unit 6E")</f>
        <v>501 Surf Avenue, Unit 6E</v>
      </c>
      <c r="C4052" s="25" t="s">
        <v>370</v>
      </c>
      <c r="D4052" s="26" t="s">
        <v>23</v>
      </c>
      <c r="E4052" s="27" t="str">
        <f>HYPERLINK("https://www.compass.com/building/brightwater-towers-brooklyn-ny/294843377849785077/","Brightwater Towers")</f>
        <v>Brightwater Towers</v>
      </c>
      <c r="F4052" s="25" t="s">
        <v>183</v>
      </c>
      <c r="G4052" s="28">
        <v>554000.0</v>
      </c>
      <c r="H4052" s="28">
        <v>565.0</v>
      </c>
      <c r="I4052" s="28">
        <v>1047.0</v>
      </c>
      <c r="J4052" s="28">
        <v>1260.0</v>
      </c>
      <c r="K4052" s="25" t="s">
        <v>28</v>
      </c>
      <c r="L4052" s="26">
        <v>4.0</v>
      </c>
      <c r="M4052" s="26">
        <v>2.0</v>
      </c>
      <c r="N4052" s="26">
        <v>1.0</v>
      </c>
      <c r="O4052" s="26">
        <v>0.0</v>
      </c>
      <c r="P4052" s="26">
        <v>980.0</v>
      </c>
      <c r="Q4052" s="35">
        <v>58.0</v>
      </c>
      <c r="R4052" s="32">
        <v>45334.0</v>
      </c>
      <c r="S4052" s="32">
        <v>45106.0</v>
      </c>
      <c r="T4052" s="29"/>
      <c r="U4052" s="33"/>
      <c r="V4052" s="1"/>
    </row>
    <row r="4053" ht="24.0" customHeight="1">
      <c r="A4053" s="1"/>
      <c r="B4053" s="24" t="str">
        <f>HYPERLINK("https://www.compass.com/listing/219-54-75th-avenue-unit-234a1-queens-ny-11364/1243418826538997857/view?agent_id=610d3f3370540700019b0833","219-54 75th Avenue, Unit 234A1")</f>
        <v>219-54 75th Avenue, Unit 234A1</v>
      </c>
      <c r="C4053" s="25" t="s">
        <v>364</v>
      </c>
      <c r="D4053" s="26" t="s">
        <v>23</v>
      </c>
      <c r="E4053" s="27" t="str">
        <f>HYPERLINK("https://www.compass.com/building/219-54-75th-ave-queens-ny-11364/307456673236901317/","219-54 75th Ave")</f>
        <v>219-54 75th Ave</v>
      </c>
      <c r="F4053" s="25" t="s">
        <v>37</v>
      </c>
      <c r="G4053" s="28">
        <v>326000.0</v>
      </c>
      <c r="H4053" s="29"/>
      <c r="I4053" s="28">
        <v>1830.0</v>
      </c>
      <c r="J4053" s="28">
        <v>10980.0</v>
      </c>
      <c r="K4053" s="25" t="s">
        <v>25</v>
      </c>
      <c r="L4053" s="26">
        <v>5.0</v>
      </c>
      <c r="M4053" s="26">
        <v>2.0</v>
      </c>
      <c r="N4053" s="26">
        <v>1.0</v>
      </c>
      <c r="O4053" s="26">
        <v>0.0</v>
      </c>
      <c r="P4053" s="30"/>
      <c r="Q4053" s="35">
        <v>200.0</v>
      </c>
      <c r="R4053" s="32">
        <v>45167.0</v>
      </c>
      <c r="S4053" s="32">
        <v>44967.0</v>
      </c>
      <c r="T4053" s="29"/>
      <c r="U4053" s="33"/>
      <c r="V4053" s="1"/>
    </row>
    <row r="4054" ht="24.0" customHeight="1">
      <c r="A4054" s="1"/>
      <c r="B4054" s="24" t="str">
        <f>HYPERLINK("https://www.compass.com/listing/2514-east-7th-street-unit-5g-brooklyn-ny-11235/29514214741665633/view?agent_id=610d3f3370540700019b0833","2514 East 7th Street, Unit 5G")</f>
        <v>2514 East 7th Street, Unit 5G</v>
      </c>
      <c r="C4054" s="25" t="s">
        <v>364</v>
      </c>
      <c r="D4054" s="26" t="s">
        <v>23</v>
      </c>
      <c r="E4054" s="27" t="str">
        <f>HYPERLINK("https://www.compass.com/building/2514-e-7th-st-brooklyn-ny-11235/293528878318681957/","2514 E 7th St")</f>
        <v>2514 E 7th St</v>
      </c>
      <c r="F4054" s="25" t="s">
        <v>70</v>
      </c>
      <c r="G4054" s="28">
        <v>219000.0</v>
      </c>
      <c r="H4054" s="29"/>
      <c r="I4054" s="28">
        <v>768.0</v>
      </c>
      <c r="J4054" s="29"/>
      <c r="K4054" s="25" t="s">
        <v>25</v>
      </c>
      <c r="L4054" s="26">
        <v>4.0</v>
      </c>
      <c r="M4054" s="26">
        <v>2.0</v>
      </c>
      <c r="N4054" s="26">
        <v>0.0</v>
      </c>
      <c r="O4054" s="26">
        <v>0.0</v>
      </c>
      <c r="P4054" s="30"/>
      <c r="Q4054" s="35">
        <v>88.0</v>
      </c>
      <c r="R4054" s="32">
        <v>44581.0</v>
      </c>
      <c r="S4054" s="32">
        <v>41334.0</v>
      </c>
      <c r="T4054" s="29"/>
      <c r="U4054" s="33"/>
      <c r="V4054" s="1"/>
    </row>
    <row r="4055" ht="24.0" customHeight="1">
      <c r="A4055" s="1"/>
      <c r="B4055" s="24" t="str">
        <f>HYPERLINK("https://www.compass.com/listing/18-40-211th-street-unit-2f-queens-ny-11360/1292157424697312353/view?agent_id=610d3f3370540700019b0833","18-40 211th Street, Unit 2F")</f>
        <v>18-40 211th Street, Unit 2F</v>
      </c>
      <c r="C4055" s="25" t="s">
        <v>370</v>
      </c>
      <c r="D4055" s="26" t="s">
        <v>23</v>
      </c>
      <c r="E4055" s="27" t="str">
        <f>HYPERLINK("https://www.compass.com/building/18-40-211th-st-queens-ny-11360/293526107989312101/","18-40 211th St")</f>
        <v>18-40 211th St</v>
      </c>
      <c r="F4055" s="25" t="s">
        <v>79</v>
      </c>
      <c r="G4055" s="28">
        <v>279000.0</v>
      </c>
      <c r="H4055" s="29"/>
      <c r="I4055" s="28">
        <v>0.0</v>
      </c>
      <c r="J4055" s="28">
        <v>0.0</v>
      </c>
      <c r="K4055" s="25" t="s">
        <v>25</v>
      </c>
      <c r="L4055" s="26">
        <v>4.0</v>
      </c>
      <c r="M4055" s="26">
        <v>2.0</v>
      </c>
      <c r="N4055" s="26">
        <v>1.0</v>
      </c>
      <c r="O4055" s="30"/>
      <c r="P4055" s="30"/>
      <c r="Q4055" s="35">
        <v>286.0</v>
      </c>
      <c r="R4055" s="32">
        <v>45597.0</v>
      </c>
      <c r="S4055" s="32">
        <v>42974.0</v>
      </c>
      <c r="T4055" s="29"/>
      <c r="U4055" s="33"/>
      <c r="V4055" s="1"/>
    </row>
    <row r="4056" ht="24.0" customHeight="1">
      <c r="A4056" s="1"/>
      <c r="B4056" s="24" t="str">
        <f>HYPERLINK("https://www.compass.com/listing/99-05-63rd-road-unit-5w-queens-ny-11374/197776285655649249/view?agent_id=610d3f3370540700019b0833","99-05 63rd Road, Unit 5W")</f>
        <v>99-05 63rd Road, Unit 5W</v>
      </c>
      <c r="C4056" s="25" t="s">
        <v>364</v>
      </c>
      <c r="D4056" s="26" t="s">
        <v>23</v>
      </c>
      <c r="E4056" s="27" t="str">
        <f>HYPERLINK("https://www.compass.com/building/99-05-63rd-rd-queens-ny-11374/307454137587231813/","99-05 63rd Rd")</f>
        <v>99-05 63rd Rd</v>
      </c>
      <c r="F4056" s="25" t="s">
        <v>166</v>
      </c>
      <c r="G4056" s="28">
        <v>299000.0</v>
      </c>
      <c r="H4056" s="29"/>
      <c r="I4056" s="28">
        <v>0.0</v>
      </c>
      <c r="J4056" s="28">
        <v>0.0</v>
      </c>
      <c r="K4056" s="25" t="s">
        <v>25</v>
      </c>
      <c r="L4056" s="26">
        <v>5.0</v>
      </c>
      <c r="M4056" s="26">
        <v>2.0</v>
      </c>
      <c r="N4056" s="26">
        <v>1.0</v>
      </c>
      <c r="O4056" s="30"/>
      <c r="P4056" s="30"/>
      <c r="Q4056" s="35">
        <v>65.0</v>
      </c>
      <c r="R4056" s="32">
        <v>45637.0</v>
      </c>
      <c r="S4056" s="32">
        <v>43425.0</v>
      </c>
      <c r="T4056" s="29"/>
      <c r="U4056" s="33"/>
      <c r="V4056" s="1"/>
    </row>
    <row r="4057" ht="24.0" customHeight="1">
      <c r="A4057" s="1"/>
      <c r="B4057" s="24" t="str">
        <f>HYPERLINK("https://www.compass.com/listing/920-east-17th-street-unit-306-brooklyn-ny-11230/389900574899773393/view?agent_id=610d3f3370540700019b0833","920 East 17th Street, Unit 306")</f>
        <v>920 East 17th Street, Unit 306</v>
      </c>
      <c r="C4057" s="25" t="s">
        <v>365</v>
      </c>
      <c r="D4057" s="26" t="s">
        <v>23</v>
      </c>
      <c r="E4057" s="27" t="str">
        <f t="shared" ref="E4057:E4058" si="159">HYPERLINK("https://www.compass.com/building/terrace-gardens-plaza-brooklyn-ny/293416523777812613/","Terrace Gardens Plaza")</f>
        <v>Terrace Gardens Plaza</v>
      </c>
      <c r="F4057" s="25" t="s">
        <v>34</v>
      </c>
      <c r="G4057" s="28">
        <v>375000.0</v>
      </c>
      <c r="H4057" s="29"/>
      <c r="I4057" s="28">
        <v>899.0</v>
      </c>
      <c r="J4057" s="28">
        <v>0.0</v>
      </c>
      <c r="K4057" s="25" t="s">
        <v>25</v>
      </c>
      <c r="L4057" s="26">
        <v>5.0</v>
      </c>
      <c r="M4057" s="26">
        <v>2.0</v>
      </c>
      <c r="N4057" s="26">
        <v>1.0</v>
      </c>
      <c r="O4057" s="26">
        <v>0.0</v>
      </c>
      <c r="P4057" s="30"/>
      <c r="Q4057" s="35">
        <v>108.0</v>
      </c>
      <c r="R4057" s="32">
        <v>44264.0</v>
      </c>
      <c r="S4057" s="32">
        <v>43801.0</v>
      </c>
      <c r="T4057" s="29"/>
      <c r="U4057" s="33"/>
      <c r="V4057" s="1"/>
    </row>
    <row r="4058" ht="24.0" customHeight="1">
      <c r="A4058" s="1"/>
      <c r="B4058" s="24" t="str">
        <f>HYPERLINK("https://www.compass.com/listing/920-east-17th-street-unit-315-brooklyn-ny-11230/303674705668227713/view?agent_id=610d3f3370540700019b0833","920 East 17th Street, Unit 315")</f>
        <v>920 East 17th Street, Unit 315</v>
      </c>
      <c r="C4058" s="25" t="s">
        <v>370</v>
      </c>
      <c r="D4058" s="26" t="s">
        <v>23</v>
      </c>
      <c r="E4058" s="27" t="str">
        <f t="shared" si="159"/>
        <v>Terrace Gardens Plaza</v>
      </c>
      <c r="F4058" s="25" t="s">
        <v>34</v>
      </c>
      <c r="G4058" s="28">
        <v>475000.0</v>
      </c>
      <c r="H4058" s="29"/>
      <c r="I4058" s="28">
        <v>983.0</v>
      </c>
      <c r="J4058" s="28">
        <v>0.0</v>
      </c>
      <c r="K4058" s="25" t="s">
        <v>25</v>
      </c>
      <c r="L4058" s="26">
        <v>5.0</v>
      </c>
      <c r="M4058" s="26">
        <v>2.0</v>
      </c>
      <c r="N4058" s="26">
        <v>1.0</v>
      </c>
      <c r="O4058" s="26">
        <v>0.0</v>
      </c>
      <c r="P4058" s="30"/>
      <c r="Q4058" s="35">
        <v>231.0</v>
      </c>
      <c r="R4058" s="32">
        <v>44070.0</v>
      </c>
      <c r="S4058" s="32">
        <v>43678.0</v>
      </c>
      <c r="T4058" s="29"/>
      <c r="U4058" s="33"/>
      <c r="V4058" s="1"/>
    </row>
    <row r="4059" ht="24.0" customHeight="1">
      <c r="A4059" s="1"/>
      <c r="B4059" s="24" t="str">
        <f>HYPERLINK("https://www.compass.com/listing/166-10-powells-cove-boulevard-unit-4a-queens-ny-11357/897932501761250705/view?agent_id=610d3f3370540700019b0833","166-10 Powells Cove Boulevard, Unit 4A")</f>
        <v>166-10 Powells Cove Boulevard, Unit 4A</v>
      </c>
      <c r="C4059" s="25" t="s">
        <v>365</v>
      </c>
      <c r="D4059" s="26" t="s">
        <v>23</v>
      </c>
      <c r="E4059" s="27" t="str">
        <f>HYPERLINK("https://www.compass.com/building/166-10-powells-cove-blvd-queens-ny-11357/293530383922814741/","166-10 Powells Cove Blvd")</f>
        <v>166-10 Powells Cove Blvd</v>
      </c>
      <c r="F4059" s="25" t="s">
        <v>94</v>
      </c>
      <c r="G4059" s="28">
        <v>468000.0</v>
      </c>
      <c r="H4059" s="28">
        <v>520.0</v>
      </c>
      <c r="I4059" s="28">
        <v>1220.0</v>
      </c>
      <c r="J4059" s="28">
        <v>0.0</v>
      </c>
      <c r="K4059" s="25" t="s">
        <v>25</v>
      </c>
      <c r="L4059" s="26">
        <v>6.0</v>
      </c>
      <c r="M4059" s="26">
        <v>2.0</v>
      </c>
      <c r="N4059" s="26">
        <v>1.0</v>
      </c>
      <c r="O4059" s="30"/>
      <c r="P4059" s="26">
        <v>900.0</v>
      </c>
      <c r="Q4059" s="35">
        <v>266.0</v>
      </c>
      <c r="R4059" s="32">
        <v>44824.0</v>
      </c>
      <c r="S4059" s="32">
        <v>44490.0</v>
      </c>
      <c r="T4059" s="29"/>
      <c r="U4059" s="33"/>
      <c r="V4059" s="1"/>
    </row>
    <row r="4060" ht="24.0" customHeight="1">
      <c r="A4060" s="1"/>
      <c r="B4060" s="24" t="str">
        <f>HYPERLINK("https://www.compass.com/listing/116-12-ocean-promenade-unit-213-queens-ny-11694/1248214338162735433/view?agent_id=610d3f3370540700019b0833","116-12 Ocean Promenade, Unit 213")</f>
        <v>116-12 Ocean Promenade, Unit 213</v>
      </c>
      <c r="C4060" s="25" t="s">
        <v>370</v>
      </c>
      <c r="D4060" s="26" t="s">
        <v>23</v>
      </c>
      <c r="E4060" s="27" t="str">
        <f t="shared" ref="E4060:E4061" si="160">HYPERLINK("https://www.compass.com/building/116-12-ocean-promenade-queens-ny-11694/307458200500239989/","116-12 Ocean Promenade")</f>
        <v>116-12 Ocean Promenade</v>
      </c>
      <c r="F4060" s="25" t="s">
        <v>427</v>
      </c>
      <c r="G4060" s="28">
        <v>630000.0</v>
      </c>
      <c r="H4060" s="28">
        <v>478.0</v>
      </c>
      <c r="I4060" s="28">
        <v>572.0</v>
      </c>
      <c r="J4060" s="29"/>
      <c r="K4060" s="25" t="s">
        <v>28</v>
      </c>
      <c r="L4060" s="26">
        <v>5.0</v>
      </c>
      <c r="M4060" s="26">
        <v>2.0</v>
      </c>
      <c r="N4060" s="26">
        <v>0.0</v>
      </c>
      <c r="O4060" s="26">
        <v>0.0</v>
      </c>
      <c r="P4060" s="34">
        <v>1318.0</v>
      </c>
      <c r="Q4060" s="35">
        <v>0.0</v>
      </c>
      <c r="R4060" s="32">
        <v>44581.0</v>
      </c>
      <c r="S4060" s="32">
        <v>41538.0</v>
      </c>
      <c r="T4060" s="29"/>
      <c r="U4060" s="33"/>
      <c r="V4060" s="1"/>
    </row>
    <row r="4061" ht="24.0" customHeight="1">
      <c r="A4061" s="1"/>
      <c r="B4061" s="24" t="str">
        <f>HYPERLINK("https://www.compass.com/listing/116-12-ocean-promenade-unit-211-queens-ny-11694/4852329846681908417/view?agent_id=610d3f3370540700019b0833","116-12 Ocean Promenade, Unit 211")</f>
        <v>116-12 Ocean Promenade, Unit 211</v>
      </c>
      <c r="C4061" s="25" t="s">
        <v>370</v>
      </c>
      <c r="D4061" s="26" t="s">
        <v>23</v>
      </c>
      <c r="E4061" s="27" t="str">
        <f t="shared" si="160"/>
        <v>116-12 Ocean Promenade</v>
      </c>
      <c r="F4061" s="25" t="s">
        <v>427</v>
      </c>
      <c r="G4061" s="28">
        <v>615000.0</v>
      </c>
      <c r="H4061" s="29"/>
      <c r="I4061" s="28">
        <v>551.0</v>
      </c>
      <c r="J4061" s="29"/>
      <c r="K4061" s="25" t="s">
        <v>28</v>
      </c>
      <c r="L4061" s="26">
        <v>5.0</v>
      </c>
      <c r="M4061" s="26">
        <v>2.0</v>
      </c>
      <c r="N4061" s="26">
        <v>0.0</v>
      </c>
      <c r="O4061" s="26">
        <v>0.0</v>
      </c>
      <c r="P4061" s="30"/>
      <c r="Q4061" s="35">
        <v>0.0</v>
      </c>
      <c r="R4061" s="32">
        <v>44581.0</v>
      </c>
      <c r="S4061" s="32">
        <v>41538.0</v>
      </c>
      <c r="T4061" s="29"/>
      <c r="U4061" s="33"/>
      <c r="V4061" s="1"/>
    </row>
    <row r="4062" ht="24.0" customHeight="1">
      <c r="A4062" s="1"/>
      <c r="B4062" s="24" t="str">
        <f>HYPERLINK("https://www.compass.com/listing/102-18-159th-drive-queens-ny-11414/262926968234759953/view?agent_id=610d3f3370540700019b0833","102-18 159th Drive")</f>
        <v>102-18 159th Drive</v>
      </c>
      <c r="C4062" s="25" t="s">
        <v>370</v>
      </c>
      <c r="D4062" s="26" t="s">
        <v>23</v>
      </c>
      <c r="E4062" s="27" t="str">
        <f>HYPERLINK("https://www.compass.com/building/102-18-159th-dr-queens-ny-11414/293417550551783253/","102-18 159th Dr")</f>
        <v>102-18 159th Dr</v>
      </c>
      <c r="F4062" s="25" t="s">
        <v>430</v>
      </c>
      <c r="G4062" s="28">
        <v>479000.0</v>
      </c>
      <c r="H4062" s="29"/>
      <c r="I4062" s="28">
        <v>162.0</v>
      </c>
      <c r="J4062" s="28">
        <v>1948.0</v>
      </c>
      <c r="K4062" s="25" t="s">
        <v>159</v>
      </c>
      <c r="L4062" s="26">
        <v>4.0</v>
      </c>
      <c r="M4062" s="26">
        <v>2.0</v>
      </c>
      <c r="N4062" s="26">
        <v>1.0</v>
      </c>
      <c r="O4062" s="26">
        <v>0.0</v>
      </c>
      <c r="P4062" s="30"/>
      <c r="Q4062" s="35">
        <v>91.0</v>
      </c>
      <c r="R4062" s="32">
        <v>45637.0</v>
      </c>
      <c r="S4062" s="32">
        <v>43615.0</v>
      </c>
      <c r="T4062" s="29"/>
      <c r="U4062" s="33"/>
      <c r="V4062" s="1"/>
    </row>
    <row r="4063" ht="24.0" customHeight="1">
      <c r="A4063" s="1"/>
      <c r="B4063" s="24" t="str">
        <f>HYPERLINK("https://www.compass.com/listing/217-28-73rd-avenue-unit-uppr-queens-ny-11364/1718214240991944657/view?agent_id=610d3f3370540700019b0833","217-28 73rd Avenue, Unit UPPR")</f>
        <v>217-28 73rd Avenue, Unit UPPR</v>
      </c>
      <c r="C4063" s="25" t="s">
        <v>370</v>
      </c>
      <c r="D4063" s="26" t="s">
        <v>23</v>
      </c>
      <c r="E4063" s="27" t="str">
        <f t="shared" ref="E4063:E4064" si="161">HYPERLINK("https://www.compass.com/building/217-28-73rd-ave-queens-ny-11364/567674865530336301/","217-28 73rd Ave")</f>
        <v>217-28 73rd Ave</v>
      </c>
      <c r="F4063" s="25" t="s">
        <v>37</v>
      </c>
      <c r="G4063" s="28">
        <v>359000.0</v>
      </c>
      <c r="H4063" s="29"/>
      <c r="I4063" s="28">
        <v>1016.0</v>
      </c>
      <c r="J4063" s="28">
        <v>0.0</v>
      </c>
      <c r="K4063" s="25" t="s">
        <v>25</v>
      </c>
      <c r="L4063" s="26">
        <v>4.0</v>
      </c>
      <c r="M4063" s="26">
        <v>2.0</v>
      </c>
      <c r="N4063" s="26">
        <v>1.0</v>
      </c>
      <c r="O4063" s="30"/>
      <c r="P4063" s="30"/>
      <c r="Q4063" s="35">
        <v>91.0</v>
      </c>
      <c r="R4063" s="32">
        <v>45631.0</v>
      </c>
      <c r="S4063" s="32">
        <v>44110.0</v>
      </c>
      <c r="T4063" s="29"/>
      <c r="U4063" s="33"/>
      <c r="V4063" s="1"/>
    </row>
    <row r="4064" ht="24.0" customHeight="1">
      <c r="A4064" s="1"/>
      <c r="B4064" s="24" t="str">
        <f>HYPERLINK("https://www.compass.com/listing/217-28-73rd-avenue-unit-uppr-queens-ny-11364/690640544901243033/view?agent_id=610d3f3370540700019b0833","217-28 73rd Avenue, Unit UPPR")</f>
        <v>217-28 73rd Avenue, Unit UPPR</v>
      </c>
      <c r="C4064" s="25" t="s">
        <v>370</v>
      </c>
      <c r="D4064" s="26" t="s">
        <v>23</v>
      </c>
      <c r="E4064" s="27" t="str">
        <f t="shared" si="161"/>
        <v>217-28 73rd Ave</v>
      </c>
      <c r="F4064" s="25" t="s">
        <v>37</v>
      </c>
      <c r="G4064" s="28">
        <v>359000.0</v>
      </c>
      <c r="H4064" s="29"/>
      <c r="I4064" s="28">
        <v>1016.0</v>
      </c>
      <c r="J4064" s="28">
        <v>0.0</v>
      </c>
      <c r="K4064" s="25" t="s">
        <v>25</v>
      </c>
      <c r="L4064" s="26">
        <v>4.0</v>
      </c>
      <c r="M4064" s="26">
        <v>2.0</v>
      </c>
      <c r="N4064" s="26">
        <v>1.0</v>
      </c>
      <c r="O4064" s="30"/>
      <c r="P4064" s="30"/>
      <c r="Q4064" s="35">
        <v>18.0</v>
      </c>
      <c r="R4064" s="32">
        <v>45631.0</v>
      </c>
      <c r="S4064" s="32">
        <v>44204.0</v>
      </c>
      <c r="T4064" s="29"/>
      <c r="U4064" s="33"/>
      <c r="V4064" s="1"/>
    </row>
    <row r="4065" ht="24.0" customHeight="1">
      <c r="A4065" s="1"/>
      <c r="B4065" s="24" t="str">
        <f>HYPERLINK("https://www.compass.com/listing/226-26-union-turnpike-unit-1r-queens-ny-11364/1299264226030359889/view?agent_id=610d3f3370540700019b0833","226-26 Union Tpke, Unit 1R")</f>
        <v>226-26 Union Tpke, Unit 1R</v>
      </c>
      <c r="C4065" s="25" t="s">
        <v>370</v>
      </c>
      <c r="D4065" s="26" t="s">
        <v>23</v>
      </c>
      <c r="E4065" s="27" t="str">
        <f>HYPERLINK("https://www.compass.com/building/226-26-union-tpke-queens-ny-11364/405233561280629493/","226-26 Union Tpke")</f>
        <v>226-26 Union Tpke</v>
      </c>
      <c r="F4065" s="25" t="s">
        <v>37</v>
      </c>
      <c r="G4065" s="28">
        <v>260000.0</v>
      </c>
      <c r="H4065" s="29"/>
      <c r="I4065" s="28">
        <v>0.0</v>
      </c>
      <c r="J4065" s="28">
        <v>0.0</v>
      </c>
      <c r="K4065" s="25" t="s">
        <v>25</v>
      </c>
      <c r="L4065" s="26">
        <v>4.0</v>
      </c>
      <c r="M4065" s="26">
        <v>2.0</v>
      </c>
      <c r="N4065" s="26">
        <v>1.0</v>
      </c>
      <c r="O4065" s="30"/>
      <c r="P4065" s="30"/>
      <c r="Q4065" s="35">
        <v>244.0</v>
      </c>
      <c r="R4065" s="32">
        <v>45597.0</v>
      </c>
      <c r="S4065" s="32">
        <v>45044.0</v>
      </c>
      <c r="T4065" s="29"/>
      <c r="U4065" s="33"/>
      <c r="V4065" s="1"/>
    </row>
    <row r="4066" ht="24.0" customHeight="1">
      <c r="A4066" s="1"/>
      <c r="B4066" s="24" t="str">
        <f>HYPERLINK("https://www.compass.com/listing/133-b-116th-street-unit-3m-queens-ny-11694/121657630664982145/view?agent_id=610d3f3370540700019b0833","133 B Beach 116th St, Unit 3M")</f>
        <v>133 B Beach 116th St, Unit 3M</v>
      </c>
      <c r="C4066" s="25" t="s">
        <v>365</v>
      </c>
      <c r="D4066" s="26" t="s">
        <v>23</v>
      </c>
      <c r="E4066" s="26" t="s">
        <v>431</v>
      </c>
      <c r="F4066" s="25" t="s">
        <v>427</v>
      </c>
      <c r="G4066" s="28">
        <v>651000.0</v>
      </c>
      <c r="H4066" s="28">
        <v>575.0</v>
      </c>
      <c r="I4066" s="28">
        <v>1265.0</v>
      </c>
      <c r="J4066" s="28">
        <v>8598.0</v>
      </c>
      <c r="K4066" s="25" t="s">
        <v>28</v>
      </c>
      <c r="L4066" s="26">
        <v>4.0</v>
      </c>
      <c r="M4066" s="26">
        <v>2.0</v>
      </c>
      <c r="N4066" s="30"/>
      <c r="O4066" s="30"/>
      <c r="P4066" s="34">
        <v>1132.0</v>
      </c>
      <c r="Q4066" s="35">
        <v>260.0</v>
      </c>
      <c r="R4066" s="32">
        <v>43908.0</v>
      </c>
      <c r="S4066" s="32">
        <v>43419.0</v>
      </c>
      <c r="T4066" s="29"/>
      <c r="U4066" s="33"/>
      <c r="V4066" s="1"/>
    </row>
    <row r="4067" ht="24.0" customHeight="1">
      <c r="A4067" s="1"/>
      <c r="B4067" s="24" t="str">
        <f>HYPERLINK("https://www.compass.com/listing/920-east-17th-street-unit-305-brooklyn-ny-11230/466598075088784793/view?agent_id=610d3f3370540700019b0833","920 E 17th St, Unit 305")</f>
        <v>920 E 17th St, Unit 305</v>
      </c>
      <c r="C4067" s="25" t="s">
        <v>364</v>
      </c>
      <c r="D4067" s="26" t="s">
        <v>23</v>
      </c>
      <c r="E4067" s="27" t="str">
        <f t="shared" ref="E4067:E4068" si="162">HYPERLINK("https://www.compass.com/building/terrace-gardens-plaza-brooklyn-ny/293416523777812613/","Terrace Gardens Plaza")</f>
        <v>Terrace Gardens Plaza</v>
      </c>
      <c r="F4067" s="25" t="s">
        <v>34</v>
      </c>
      <c r="G4067" s="28">
        <v>390000.0</v>
      </c>
      <c r="H4067" s="29"/>
      <c r="I4067" s="28">
        <v>875.0</v>
      </c>
      <c r="J4067" s="28">
        <v>0.0</v>
      </c>
      <c r="K4067" s="25" t="s">
        <v>25</v>
      </c>
      <c r="L4067" s="26">
        <v>5.0</v>
      </c>
      <c r="M4067" s="26">
        <v>2.0</v>
      </c>
      <c r="N4067" s="26">
        <v>1.0</v>
      </c>
      <c r="O4067" s="30"/>
      <c r="P4067" s="30"/>
      <c r="Q4067" s="35">
        <v>7.0</v>
      </c>
      <c r="R4067" s="32">
        <v>44026.0</v>
      </c>
      <c r="S4067" s="32">
        <v>43895.0</v>
      </c>
      <c r="T4067" s="29"/>
      <c r="U4067" s="33"/>
      <c r="V4067" s="1"/>
    </row>
    <row r="4068" ht="24.0" customHeight="1">
      <c r="A4068" s="1"/>
      <c r="B4068" s="24" t="str">
        <f>HYPERLINK("https://www.compass.com/listing/920-east-17th-street-unit-305-brooklyn-ny-11230/562142257023935897/view?agent_id=610d3f3370540700019b0833","920 E 17th St, Unit 305")</f>
        <v>920 E 17th St, Unit 305</v>
      </c>
      <c r="C4068" s="25" t="s">
        <v>364</v>
      </c>
      <c r="D4068" s="26" t="s">
        <v>23</v>
      </c>
      <c r="E4068" s="27" t="str">
        <f t="shared" si="162"/>
        <v>Terrace Gardens Plaza</v>
      </c>
      <c r="F4068" s="25" t="s">
        <v>34</v>
      </c>
      <c r="G4068" s="28">
        <v>390000.0</v>
      </c>
      <c r="H4068" s="29"/>
      <c r="I4068" s="28">
        <v>900.0</v>
      </c>
      <c r="J4068" s="28">
        <v>0.0</v>
      </c>
      <c r="K4068" s="25" t="s">
        <v>25</v>
      </c>
      <c r="L4068" s="26">
        <v>5.0</v>
      </c>
      <c r="M4068" s="26">
        <v>2.0</v>
      </c>
      <c r="N4068" s="26">
        <v>1.0</v>
      </c>
      <c r="O4068" s="26">
        <v>0.0</v>
      </c>
      <c r="P4068" s="30"/>
      <c r="Q4068" s="35">
        <v>123.0</v>
      </c>
      <c r="R4068" s="32">
        <v>44383.0</v>
      </c>
      <c r="S4068" s="32">
        <v>44259.0</v>
      </c>
      <c r="T4068" s="29"/>
      <c r="U4068" s="33"/>
      <c r="V4068" s="1"/>
    </row>
    <row r="4069" ht="24.0" customHeight="1">
      <c r="A4069" s="1"/>
      <c r="B4069" s="24" t="str">
        <f>HYPERLINK("https://www.compass.com/listing/217-28-73rd-avenue-unit-uppr-queens-ny-11364/471087401113160681/view?agent_id=610d3f3370540700019b0833","217-28 73rd Ave, Unit UPPR")</f>
        <v>217-28 73rd Ave, Unit UPPR</v>
      </c>
      <c r="C4069" s="25" t="s">
        <v>370</v>
      </c>
      <c r="D4069" s="26" t="s">
        <v>23</v>
      </c>
      <c r="E4069" s="27" t="str">
        <f>HYPERLINK("https://www.compass.com/building/217-28-73rd-ave-queens-ny-11364/567674865530336301/","217-28 73rd Ave")</f>
        <v>217-28 73rd Ave</v>
      </c>
      <c r="F4069" s="25" t="s">
        <v>37</v>
      </c>
      <c r="G4069" s="28">
        <v>369000.0</v>
      </c>
      <c r="H4069" s="29"/>
      <c r="I4069" s="28">
        <v>1016.0</v>
      </c>
      <c r="J4069" s="28">
        <v>0.0</v>
      </c>
      <c r="K4069" s="25" t="s">
        <v>25</v>
      </c>
      <c r="L4069" s="26">
        <v>4.0</v>
      </c>
      <c r="M4069" s="26">
        <v>2.0</v>
      </c>
      <c r="N4069" s="26">
        <v>1.0</v>
      </c>
      <c r="O4069" s="30"/>
      <c r="P4069" s="30"/>
      <c r="Q4069" s="35">
        <v>301.0</v>
      </c>
      <c r="R4069" s="32">
        <v>45637.0</v>
      </c>
      <c r="S4069" s="32">
        <v>43900.0</v>
      </c>
      <c r="T4069" s="29"/>
      <c r="U4069" s="33"/>
      <c r="V4069" s="1"/>
    </row>
    <row r="4070" ht="24.0" customHeight="1">
      <c r="A4070" s="1"/>
      <c r="B4070" s="24" t="str">
        <f>HYPERLINK("https://www.compass.com/listing/73-04-220th-street-unit-l-queens-ny-11364/698560273930921129/view?agent_id=610d3f3370540700019b0833","73-04 220th St, Unit L")</f>
        <v>73-04 220th St, Unit L</v>
      </c>
      <c r="C4070" s="25" t="s">
        <v>370</v>
      </c>
      <c r="D4070" s="26" t="s">
        <v>23</v>
      </c>
      <c r="E4070" s="27" t="str">
        <f t="shared" ref="E4070:E4071" si="163">HYPERLINK("https://www.compass.com/building/73-04-220th-st-queens-ny-11364/441150957557093213/","73-04 220th St")</f>
        <v>73-04 220th St</v>
      </c>
      <c r="F4070" s="25" t="s">
        <v>37</v>
      </c>
      <c r="G4070" s="28">
        <v>334999.0</v>
      </c>
      <c r="H4070" s="29"/>
      <c r="I4070" s="28">
        <v>965.0</v>
      </c>
      <c r="J4070" s="28">
        <v>0.0</v>
      </c>
      <c r="K4070" s="25" t="s">
        <v>25</v>
      </c>
      <c r="L4070" s="26">
        <v>5.0</v>
      </c>
      <c r="M4070" s="26">
        <v>2.0</v>
      </c>
      <c r="N4070" s="26">
        <v>1.0</v>
      </c>
      <c r="O4070" s="26">
        <v>0.0</v>
      </c>
      <c r="P4070" s="30"/>
      <c r="Q4070" s="35">
        <v>304.0</v>
      </c>
      <c r="R4070" s="32">
        <v>44643.0</v>
      </c>
      <c r="S4070" s="32">
        <v>44222.0</v>
      </c>
      <c r="T4070" s="29"/>
      <c r="U4070" s="33"/>
      <c r="V4070" s="1"/>
    </row>
    <row r="4071" ht="24.0" customHeight="1">
      <c r="A4071" s="1"/>
      <c r="B4071" s="24" t="str">
        <f>HYPERLINK("https://www.compass.com/listing/73-04-220th-street-unit-lowr-queens-ny-11364/1292134283949302585/view?agent_id=610d3f3370540700019b0833","73-04 220th St, Unit LOWR")</f>
        <v>73-04 220th St, Unit LOWR</v>
      </c>
      <c r="C4071" s="25" t="s">
        <v>370</v>
      </c>
      <c r="D4071" s="26" t="s">
        <v>23</v>
      </c>
      <c r="E4071" s="27" t="str">
        <f t="shared" si="163"/>
        <v>73-04 220th St</v>
      </c>
      <c r="F4071" s="25" t="s">
        <v>37</v>
      </c>
      <c r="G4071" s="28">
        <v>334999.0</v>
      </c>
      <c r="H4071" s="29"/>
      <c r="I4071" s="28">
        <v>0.0</v>
      </c>
      <c r="J4071" s="28">
        <v>0.0</v>
      </c>
      <c r="K4071" s="25" t="s">
        <v>25</v>
      </c>
      <c r="L4071" s="26">
        <v>5.0</v>
      </c>
      <c r="M4071" s="26">
        <v>2.0</v>
      </c>
      <c r="N4071" s="26">
        <v>1.0</v>
      </c>
      <c r="O4071" s="30"/>
      <c r="P4071" s="30"/>
      <c r="Q4071" s="35">
        <v>365.0</v>
      </c>
      <c r="R4071" s="32">
        <v>45597.0</v>
      </c>
      <c r="S4071" s="32">
        <v>44215.0</v>
      </c>
      <c r="T4071" s="29"/>
      <c r="U4071" s="33"/>
      <c r="V4071" s="1"/>
    </row>
    <row r="4072" ht="24.0" customHeight="1">
      <c r="A4072" s="1"/>
      <c r="B4072" s="24" t="str">
        <f>HYPERLINK("https://www.compass.com/listing/63-33-98th-place-unit-1c-queens-ny-11374/1786717837252368593/view?agent_id=610d3f3370540700019b0833","63-33 98th Pl, Unit 1C")</f>
        <v>63-33 98th Pl, Unit 1C</v>
      </c>
      <c r="C4072" s="25" t="s">
        <v>364</v>
      </c>
      <c r="D4072" s="26" t="s">
        <v>23</v>
      </c>
      <c r="E4072" s="27" t="str">
        <f>HYPERLINK("https://www.compass.com/building/63-33-98th-pl-queens-ny-11374/293418303001557605/","63-33 98th Pl")</f>
        <v>63-33 98th Pl</v>
      </c>
      <c r="F4072" s="25" t="s">
        <v>166</v>
      </c>
      <c r="G4072" s="28">
        <v>250000.0</v>
      </c>
      <c r="H4072" s="29"/>
      <c r="I4072" s="28">
        <v>591.0</v>
      </c>
      <c r="J4072" s="29"/>
      <c r="K4072" s="25" t="s">
        <v>25</v>
      </c>
      <c r="L4072" s="26">
        <v>4.0</v>
      </c>
      <c r="M4072" s="26">
        <v>2.0</v>
      </c>
      <c r="N4072" s="26">
        <v>1.0</v>
      </c>
      <c r="O4072" s="26">
        <v>0.0</v>
      </c>
      <c r="P4072" s="30"/>
      <c r="Q4072" s="31"/>
      <c r="R4072" s="32">
        <v>44581.0</v>
      </c>
      <c r="S4072" s="33"/>
      <c r="T4072" s="29"/>
      <c r="U4072" s="33"/>
      <c r="V4072" s="1"/>
    </row>
    <row r="4073" ht="24.0" customHeight="1">
      <c r="A4073" s="1"/>
      <c r="B4073" s="24" t="str">
        <f>HYPERLINK("https://www.compass.com/listing/73-10-springfield-boulevard-unit-uppr-queens-ny-11364/1299616719835042337/view?agent_id=610d3f3370540700019b0833","73-10 Springfield Blvd, Unit UPPR")</f>
        <v>73-10 Springfield Blvd, Unit UPPR</v>
      </c>
      <c r="C4073" s="25" t="s">
        <v>370</v>
      </c>
      <c r="D4073" s="26" t="s">
        <v>23</v>
      </c>
      <c r="E4073" s="27" t="str">
        <f>HYPERLINK("https://www.compass.com/building/73-10-springfield-blvd-queens-ny-11364/381308520918984389/","73-10 Springfield Blvd")</f>
        <v>73-10 Springfield Blvd</v>
      </c>
      <c r="F4073" s="25" t="s">
        <v>37</v>
      </c>
      <c r="G4073" s="28">
        <v>339999.0</v>
      </c>
      <c r="H4073" s="29"/>
      <c r="I4073" s="28">
        <v>0.0</v>
      </c>
      <c r="J4073" s="28">
        <v>0.0</v>
      </c>
      <c r="K4073" s="25" t="s">
        <v>25</v>
      </c>
      <c r="L4073" s="26">
        <v>5.0</v>
      </c>
      <c r="M4073" s="26">
        <v>2.0</v>
      </c>
      <c r="N4073" s="26">
        <v>1.0</v>
      </c>
      <c r="O4073" s="30"/>
      <c r="P4073" s="30"/>
      <c r="Q4073" s="35">
        <v>365.0</v>
      </c>
      <c r="R4073" s="32">
        <v>45597.0</v>
      </c>
      <c r="S4073" s="32">
        <v>44339.0</v>
      </c>
      <c r="T4073" s="29"/>
      <c r="U4073" s="33"/>
      <c r="V4073" s="1"/>
    </row>
    <row r="4074" ht="24.0" customHeight="1">
      <c r="A4074" s="1"/>
      <c r="B4074" s="24" t="str">
        <f>HYPERLINK("https://www.compass.com/listing/219-38-75th-avenue-unit-uppr-queens-ny-11364/1299609540117093129/view?agent_id=610d3f3370540700019b0833","219-38 75th Ave, Unit UPPR")</f>
        <v>219-38 75th Ave, Unit UPPR</v>
      </c>
      <c r="C4074" s="25" t="s">
        <v>370</v>
      </c>
      <c r="D4074" s="26" t="s">
        <v>23</v>
      </c>
      <c r="E4074" s="27" t="str">
        <f>HYPERLINK("https://www.compass.com/building/219-38-75th-ave-queens-ny-11364/307457459668784309/","219-38 75th Ave")</f>
        <v>219-38 75th Ave</v>
      </c>
      <c r="F4074" s="25" t="s">
        <v>37</v>
      </c>
      <c r="G4074" s="28">
        <v>325000.0</v>
      </c>
      <c r="H4074" s="29"/>
      <c r="I4074" s="28">
        <v>0.0</v>
      </c>
      <c r="J4074" s="28">
        <v>0.0</v>
      </c>
      <c r="K4074" s="25" t="s">
        <v>25</v>
      </c>
      <c r="L4074" s="26">
        <v>4.0</v>
      </c>
      <c r="M4074" s="26">
        <v>2.0</v>
      </c>
      <c r="N4074" s="26">
        <v>1.0</v>
      </c>
      <c r="O4074" s="30"/>
      <c r="P4074" s="30"/>
      <c r="Q4074" s="35">
        <v>365.0</v>
      </c>
      <c r="R4074" s="32">
        <v>45597.0</v>
      </c>
      <c r="S4074" s="32">
        <v>43894.0</v>
      </c>
      <c r="T4074" s="29"/>
      <c r="U4074" s="33"/>
      <c r="V4074" s="1"/>
    </row>
    <row r="4075" ht="24.0" customHeight="1">
      <c r="A4075" s="1"/>
      <c r="B4075" s="24" t="str">
        <f>HYPERLINK("https://www.compass.com/listing/76-06-springfield-boulevard-unit-uppr-queens-ny-11364/1299479777772005945/view?agent_id=610d3f3370540700019b0833","76-06 Springfield Blvd, Unit UPPR")</f>
        <v>76-06 Springfield Blvd, Unit UPPR</v>
      </c>
      <c r="C4075" s="25" t="s">
        <v>370</v>
      </c>
      <c r="D4075" s="26" t="s">
        <v>23</v>
      </c>
      <c r="E4075" s="27" t="str">
        <f t="shared" ref="E4075:E4076" si="164">HYPERLINK("https://www.compass.com/building/76-06-springfield-blvd-queens-ny-11364/441165420851350557/","76-06 Springfield Blvd")</f>
        <v>76-06 Springfield Blvd</v>
      </c>
      <c r="F4075" s="25" t="s">
        <v>37</v>
      </c>
      <c r="G4075" s="28">
        <v>325000.0</v>
      </c>
      <c r="H4075" s="29"/>
      <c r="I4075" s="28">
        <v>0.0</v>
      </c>
      <c r="J4075" s="28">
        <v>0.0</v>
      </c>
      <c r="K4075" s="25" t="s">
        <v>25</v>
      </c>
      <c r="L4075" s="26">
        <v>5.0</v>
      </c>
      <c r="M4075" s="26">
        <v>2.0</v>
      </c>
      <c r="N4075" s="26">
        <v>1.0</v>
      </c>
      <c r="O4075" s="30"/>
      <c r="P4075" s="30"/>
      <c r="Q4075" s="35">
        <v>365.0</v>
      </c>
      <c r="R4075" s="32">
        <v>45597.0</v>
      </c>
      <c r="S4075" s="32">
        <v>44375.0</v>
      </c>
      <c r="T4075" s="29"/>
      <c r="U4075" s="33"/>
      <c r="V4075" s="1"/>
    </row>
    <row r="4076" ht="24.0" customHeight="1">
      <c r="A4076" s="1"/>
      <c r="B4076" s="24" t="str">
        <f>HYPERLINK("https://www.compass.com/listing/76-06-springfield-boulevard-unit-u-queens-ny-11364/814496079455903217/view?agent_id=610d3f3370540700019b0833","76-06 Springfield Blvd, Unit U")</f>
        <v>76-06 Springfield Blvd, Unit U</v>
      </c>
      <c r="C4076" s="25" t="s">
        <v>364</v>
      </c>
      <c r="D4076" s="26" t="s">
        <v>23</v>
      </c>
      <c r="E4076" s="27" t="str">
        <f t="shared" si="164"/>
        <v>76-06 Springfield Blvd</v>
      </c>
      <c r="F4076" s="25" t="s">
        <v>37</v>
      </c>
      <c r="G4076" s="28">
        <v>325000.0</v>
      </c>
      <c r="H4076" s="29"/>
      <c r="I4076" s="28">
        <v>888.0</v>
      </c>
      <c r="J4076" s="28">
        <v>0.0</v>
      </c>
      <c r="K4076" s="25" t="s">
        <v>25</v>
      </c>
      <c r="L4076" s="26">
        <v>5.0</v>
      </c>
      <c r="M4076" s="26">
        <v>2.0</v>
      </c>
      <c r="N4076" s="26">
        <v>1.0</v>
      </c>
      <c r="O4076" s="30"/>
      <c r="P4076" s="30"/>
      <c r="Q4076" s="35">
        <v>328.0</v>
      </c>
      <c r="R4076" s="32">
        <v>44704.0</v>
      </c>
      <c r="S4076" s="32">
        <v>44375.0</v>
      </c>
      <c r="T4076" s="29"/>
      <c r="U4076" s="33"/>
      <c r="V4076" s="1"/>
    </row>
    <row r="4077" ht="24.0" customHeight="1">
      <c r="A4077" s="1"/>
      <c r="B4077" s="24" t="str">
        <f>HYPERLINK("https://www.compass.com/listing/920-east-17th-street-unit-420-brooklyn-ny-11230/231840723127822401/view?agent_id=610d3f3370540700019b0833","920 E 17th St, Unit 420")</f>
        <v>920 E 17th St, Unit 420</v>
      </c>
      <c r="C4077" s="25" t="s">
        <v>365</v>
      </c>
      <c r="D4077" s="26" t="s">
        <v>23</v>
      </c>
      <c r="E4077" s="27" t="str">
        <f t="shared" ref="E4077:E4078" si="165">HYPERLINK("https://www.compass.com/building/terrace-gardens-plaza-brooklyn-ny/293416523777812613/","Terrace Gardens Plaza")</f>
        <v>Terrace Gardens Plaza</v>
      </c>
      <c r="F4077" s="25" t="s">
        <v>34</v>
      </c>
      <c r="G4077" s="28">
        <v>475000.0</v>
      </c>
      <c r="H4077" s="29"/>
      <c r="I4077" s="28">
        <v>1100.0</v>
      </c>
      <c r="J4077" s="28">
        <v>0.0</v>
      </c>
      <c r="K4077" s="25" t="s">
        <v>25</v>
      </c>
      <c r="L4077" s="26">
        <v>5.0</v>
      </c>
      <c r="M4077" s="26">
        <v>2.0</v>
      </c>
      <c r="N4077" s="26">
        <v>1.0</v>
      </c>
      <c r="O4077" s="30"/>
      <c r="P4077" s="30"/>
      <c r="Q4077" s="35">
        <v>258.0</v>
      </c>
      <c r="R4077" s="32">
        <v>44144.0</v>
      </c>
      <c r="S4077" s="32">
        <v>43572.0</v>
      </c>
      <c r="T4077" s="29"/>
      <c r="U4077" s="33"/>
      <c r="V4077" s="1"/>
    </row>
    <row r="4078" ht="24.0" customHeight="1">
      <c r="A4078" s="1"/>
      <c r="B4078" s="24" t="str">
        <f>HYPERLINK("https://www.compass.com/listing/920-east-17th-street-unit-ii5-brooklyn-ny-11230/400826799138800241/view?agent_id=610d3f3370540700019b0833","920 E 17th St, Unit II5")</f>
        <v>920 E 17th St, Unit II5</v>
      </c>
      <c r="C4078" s="25" t="s">
        <v>370</v>
      </c>
      <c r="D4078" s="26" t="s">
        <v>23</v>
      </c>
      <c r="E4078" s="27" t="str">
        <f t="shared" si="165"/>
        <v>Terrace Gardens Plaza</v>
      </c>
      <c r="F4078" s="25" t="s">
        <v>34</v>
      </c>
      <c r="G4078" s="28">
        <v>475000.0</v>
      </c>
      <c r="H4078" s="29"/>
      <c r="I4078" s="28">
        <v>968.0</v>
      </c>
      <c r="J4078" s="28">
        <v>0.0</v>
      </c>
      <c r="K4078" s="25" t="s">
        <v>25</v>
      </c>
      <c r="L4078" s="26">
        <v>6.0</v>
      </c>
      <c r="M4078" s="26">
        <v>2.0</v>
      </c>
      <c r="N4078" s="26">
        <v>1.0</v>
      </c>
      <c r="O4078" s="26">
        <v>0.0</v>
      </c>
      <c r="P4078" s="30"/>
      <c r="Q4078" s="35">
        <v>101.0</v>
      </c>
      <c r="R4078" s="32">
        <v>43987.0</v>
      </c>
      <c r="S4078" s="32">
        <v>43808.0</v>
      </c>
      <c r="T4078" s="29"/>
      <c r="U4078" s="33"/>
      <c r="V4078" s="1"/>
    </row>
    <row r="4079" ht="24.0" customHeight="1">
      <c r="A4079" s="1"/>
      <c r="B4079" s="24" t="str">
        <f>HYPERLINK("https://www.compass.com/listing/74-23-220th-street-unit-l-queens-ny-11364/1039131401833732017/view?agent_id=610d3f3370540700019b0833","74-23 220th St, Unit L")</f>
        <v>74-23 220th St, Unit L</v>
      </c>
      <c r="C4079" s="25" t="s">
        <v>364</v>
      </c>
      <c r="D4079" s="26" t="s">
        <v>23</v>
      </c>
      <c r="E4079" s="27" t="str">
        <f t="shared" ref="E4079:E4080" si="166">HYPERLINK("https://www.compass.com/building/74-23-220th-st-queens-ny-11364/307447307062428613/","74-23 220th St")</f>
        <v>74-23 220th St</v>
      </c>
      <c r="F4079" s="25" t="s">
        <v>37</v>
      </c>
      <c r="G4079" s="28">
        <v>330000.0</v>
      </c>
      <c r="H4079" s="29"/>
      <c r="I4079" s="28">
        <v>916.0</v>
      </c>
      <c r="J4079" s="28">
        <v>0.0</v>
      </c>
      <c r="K4079" s="25" t="s">
        <v>25</v>
      </c>
      <c r="L4079" s="26">
        <v>4.0</v>
      </c>
      <c r="M4079" s="26">
        <v>2.0</v>
      </c>
      <c r="N4079" s="26">
        <v>1.0</v>
      </c>
      <c r="O4079" s="26">
        <v>0.0</v>
      </c>
      <c r="P4079" s="30"/>
      <c r="Q4079" s="35">
        <v>187.0</v>
      </c>
      <c r="R4079" s="32">
        <v>44872.0</v>
      </c>
      <c r="S4079" s="32">
        <v>44685.0</v>
      </c>
      <c r="T4079" s="29"/>
      <c r="U4079" s="33"/>
      <c r="V4079" s="1"/>
    </row>
    <row r="4080" ht="24.0" customHeight="1">
      <c r="A4080" s="1"/>
      <c r="B4080" s="24" t="str">
        <f>HYPERLINK("https://www.compass.com/listing/74-23-220th-street-unit-lowr-queens-ny-11364/1299566630768940785/view?agent_id=610d3f3370540700019b0833","74-23 220th St, Unit LOWR")</f>
        <v>74-23 220th St, Unit LOWR</v>
      </c>
      <c r="C4080" s="25" t="s">
        <v>370</v>
      </c>
      <c r="D4080" s="26" t="s">
        <v>23</v>
      </c>
      <c r="E4080" s="27" t="str">
        <f t="shared" si="166"/>
        <v>74-23 220th St</v>
      </c>
      <c r="F4080" s="25" t="s">
        <v>37</v>
      </c>
      <c r="G4080" s="28">
        <v>330000.0</v>
      </c>
      <c r="H4080" s="29"/>
      <c r="I4080" s="28">
        <v>0.0</v>
      </c>
      <c r="J4080" s="28">
        <v>0.0</v>
      </c>
      <c r="K4080" s="25" t="s">
        <v>25</v>
      </c>
      <c r="L4080" s="26">
        <v>4.0</v>
      </c>
      <c r="M4080" s="26">
        <v>2.0</v>
      </c>
      <c r="N4080" s="26">
        <v>1.0</v>
      </c>
      <c r="O4080" s="30"/>
      <c r="P4080" s="30"/>
      <c r="Q4080" s="35">
        <v>183.0</v>
      </c>
      <c r="R4080" s="32">
        <v>45637.0</v>
      </c>
      <c r="S4080" s="32">
        <v>44685.0</v>
      </c>
      <c r="T4080" s="29"/>
      <c r="U4080" s="33"/>
      <c r="V4080" s="1"/>
    </row>
    <row r="4081" ht="24.0" customHeight="1">
      <c r="A4081" s="1"/>
      <c r="B4081" s="24" t="str">
        <f>HYPERLINK("https://www.compass.com/listing/224-01-kingsbury-avenue-unit-u-queens-ny-11364/947887041083052569/view?agent_id=610d3f3370540700019b0833","224-01 Kingsbury Ave, Unit U")</f>
        <v>224-01 Kingsbury Ave, Unit U</v>
      </c>
      <c r="C4081" s="25" t="s">
        <v>364</v>
      </c>
      <c r="D4081" s="26" t="s">
        <v>23</v>
      </c>
      <c r="E4081" s="27" t="str">
        <f>HYPERLINK("https://www.compass.com/building/224-01-kingsbury-ave-queens-ny-11364/307452324498549573/","224-01 Kingsbury Ave")</f>
        <v>224-01 Kingsbury Ave</v>
      </c>
      <c r="F4081" s="25" t="s">
        <v>37</v>
      </c>
      <c r="G4081" s="28">
        <v>324999.0</v>
      </c>
      <c r="H4081" s="29"/>
      <c r="I4081" s="28">
        <v>877.0</v>
      </c>
      <c r="J4081" s="28">
        <v>10523.0</v>
      </c>
      <c r="K4081" s="25" t="s">
        <v>25</v>
      </c>
      <c r="L4081" s="26">
        <v>5.0</v>
      </c>
      <c r="M4081" s="26">
        <v>2.0</v>
      </c>
      <c r="N4081" s="26">
        <v>1.0</v>
      </c>
      <c r="O4081" s="26">
        <v>0.0</v>
      </c>
      <c r="P4081" s="30"/>
      <c r="Q4081" s="35">
        <v>162.0</v>
      </c>
      <c r="R4081" s="32">
        <v>44722.0</v>
      </c>
      <c r="S4081" s="32">
        <v>44559.0</v>
      </c>
      <c r="T4081" s="29"/>
      <c r="U4081" s="33"/>
      <c r="V4081" s="1"/>
    </row>
    <row r="4082" ht="24.0" customHeight="1">
      <c r="A4082" s="1"/>
      <c r="B4082" s="24" t="str">
        <f>HYPERLINK("https://www.compass.com/listing/920-east-17th-street-unit-3o6-brooklyn-ny-11230/734159871732034121/view?agent_id=610d3f3370540700019b0833","920 E 17th St, Unit 3O6")</f>
        <v>920 E 17th St, Unit 3O6</v>
      </c>
      <c r="C4082" s="25" t="s">
        <v>364</v>
      </c>
      <c r="D4082" s="26" t="s">
        <v>23</v>
      </c>
      <c r="E4082" s="27" t="str">
        <f>HYPERLINK("https://www.compass.com/building/terrace-gardens-plaza-brooklyn-ny/293416523777812613/","Terrace Gardens Plaza")</f>
        <v>Terrace Gardens Plaza</v>
      </c>
      <c r="F4082" s="25" t="s">
        <v>34</v>
      </c>
      <c r="G4082" s="28">
        <v>360000.0</v>
      </c>
      <c r="H4082" s="29"/>
      <c r="I4082" s="28">
        <v>899.0</v>
      </c>
      <c r="J4082" s="28">
        <v>0.0</v>
      </c>
      <c r="K4082" s="25" t="s">
        <v>25</v>
      </c>
      <c r="L4082" s="26">
        <v>5.0</v>
      </c>
      <c r="M4082" s="26">
        <v>2.0</v>
      </c>
      <c r="N4082" s="26">
        <v>1.0</v>
      </c>
      <c r="O4082" s="30"/>
      <c r="P4082" s="30"/>
      <c r="Q4082" s="35">
        <v>118.0</v>
      </c>
      <c r="R4082" s="32">
        <v>44383.0</v>
      </c>
      <c r="S4082" s="32">
        <v>44264.0</v>
      </c>
      <c r="T4082" s="29"/>
      <c r="U4082" s="33"/>
      <c r="V4082" s="1"/>
    </row>
    <row r="4083" ht="24.0" customHeight="1">
      <c r="A4083" s="1"/>
      <c r="B4083" s="24" t="str">
        <f>HYPERLINK("https://www.compass.com/listing/75-29-217th-street-unit-uppr-queens-ny-11364/1299506501922344737/view?agent_id=610d3f3370540700019b0833","75-29 217th St, Unit UPPR")</f>
        <v>75-29 217th St, Unit UPPR</v>
      </c>
      <c r="C4083" s="25" t="s">
        <v>370</v>
      </c>
      <c r="D4083" s="26" t="s">
        <v>23</v>
      </c>
      <c r="E4083" s="27" t="str">
        <f>HYPERLINK("https://www.compass.com/building/75-29-217th-st-queens-ny-11364/467398877097231781/","75-29 217th St")</f>
        <v>75-29 217th St</v>
      </c>
      <c r="F4083" s="25" t="s">
        <v>37</v>
      </c>
      <c r="G4083" s="28">
        <v>339000.0</v>
      </c>
      <c r="H4083" s="29"/>
      <c r="I4083" s="28">
        <v>0.0</v>
      </c>
      <c r="J4083" s="28">
        <v>0.0</v>
      </c>
      <c r="K4083" s="25" t="s">
        <v>25</v>
      </c>
      <c r="L4083" s="26">
        <v>4.0</v>
      </c>
      <c r="M4083" s="26">
        <v>2.0</v>
      </c>
      <c r="N4083" s="26">
        <v>1.0</v>
      </c>
      <c r="O4083" s="30"/>
      <c r="P4083" s="30"/>
      <c r="Q4083" s="35">
        <v>455.0</v>
      </c>
      <c r="R4083" s="32">
        <v>45637.0</v>
      </c>
      <c r="S4083" s="32">
        <v>43892.0</v>
      </c>
      <c r="T4083" s="29"/>
      <c r="U4083" s="33"/>
      <c r="V4083" s="1"/>
    </row>
    <row r="4084" ht="24.0" customHeight="1">
      <c r="A4084" s="1"/>
      <c r="B4084" s="24" t="str">
        <f>HYPERLINK("https://www.compass.com/listing/73-10-springfield-boulevard-unit-u-queens-ny-11364/788489135150552249/view?agent_id=610d3f3370540700019b0833","73-10 Springfield Blvd, Unit U")</f>
        <v>73-10 Springfield Blvd, Unit U</v>
      </c>
      <c r="C4084" s="25" t="s">
        <v>370</v>
      </c>
      <c r="D4084" s="26" t="s">
        <v>23</v>
      </c>
      <c r="E4084" s="27" t="str">
        <f>HYPERLINK("https://www.compass.com/building/73-10-springfield-blvd-queens-ny-11364/381308520918984389/","73-10 Springfield Blvd")</f>
        <v>73-10 Springfield Blvd</v>
      </c>
      <c r="F4084" s="25" t="s">
        <v>37</v>
      </c>
      <c r="G4084" s="28">
        <v>339999.0</v>
      </c>
      <c r="H4084" s="29"/>
      <c r="I4084" s="28">
        <v>965.0</v>
      </c>
      <c r="J4084" s="28">
        <v>0.0</v>
      </c>
      <c r="K4084" s="25" t="s">
        <v>25</v>
      </c>
      <c r="L4084" s="26">
        <v>5.0</v>
      </c>
      <c r="M4084" s="26">
        <v>2.0</v>
      </c>
      <c r="N4084" s="26">
        <v>1.0</v>
      </c>
      <c r="O4084" s="26">
        <v>0.0</v>
      </c>
      <c r="P4084" s="30"/>
      <c r="Q4084" s="35">
        <v>436.0</v>
      </c>
      <c r="R4084" s="32">
        <v>44776.0</v>
      </c>
      <c r="S4084" s="32">
        <v>44339.0</v>
      </c>
      <c r="T4084" s="29"/>
      <c r="U4084" s="33"/>
      <c r="V4084" s="1"/>
    </row>
    <row r="4085" ht="24.0" customHeight="1">
      <c r="A4085" s="1"/>
      <c r="B4085" s="24" t="str">
        <f>HYPERLINK("https://www.compass.com/listing/224-33-kingsbury-avenue-unit-b-queens-ny-11364/1658917746559774881/view?agent_id=610d3f3370540700019b0833","224-33 Kingsbury Ave, Unit B")</f>
        <v>224-33 Kingsbury Ave, Unit B</v>
      </c>
      <c r="C4085" s="25" t="s">
        <v>370</v>
      </c>
      <c r="D4085" s="26" t="s">
        <v>23</v>
      </c>
      <c r="E4085" s="27" t="str">
        <f>HYPERLINK("https://www.compass.com/building/224-33-kingsbury-ave-queens-ny-11364/307431776662068629/","224-33 Kingsbury Ave")</f>
        <v>224-33 Kingsbury Ave</v>
      </c>
      <c r="F4085" s="25" t="s">
        <v>37</v>
      </c>
      <c r="G4085" s="28">
        <v>389999.0</v>
      </c>
      <c r="H4085" s="29"/>
      <c r="I4085" s="28">
        <v>1102.0</v>
      </c>
      <c r="J4085" s="28">
        <v>0.0</v>
      </c>
      <c r="K4085" s="25" t="s">
        <v>25</v>
      </c>
      <c r="L4085" s="26">
        <v>4.0</v>
      </c>
      <c r="M4085" s="26">
        <v>2.0</v>
      </c>
      <c r="N4085" s="26">
        <v>1.0</v>
      </c>
      <c r="O4085" s="30"/>
      <c r="P4085" s="30"/>
      <c r="Q4085" s="35">
        <v>5.0</v>
      </c>
      <c r="R4085" s="32">
        <v>45717.0</v>
      </c>
      <c r="S4085" s="32">
        <v>45540.0</v>
      </c>
      <c r="T4085" s="29"/>
      <c r="U4085" s="33"/>
      <c r="V4085" s="1"/>
    </row>
    <row r="4086" ht="24.0" customHeight="1">
      <c r="A4086" s="1"/>
      <c r="B4086" s="24" t="str">
        <f>HYPERLINK("https://www.compass.com/listing/116-12-ocean-promenade-unit-510-queens-ny-11694/4852329944031694673/view?agent_id=610d3f3370540700019b0833","116-12 Ocean Promenade, Unit 510")</f>
        <v>116-12 Ocean Promenade, Unit 510</v>
      </c>
      <c r="C4086" s="25" t="s">
        <v>370</v>
      </c>
      <c r="D4086" s="26" t="s">
        <v>23</v>
      </c>
      <c r="E4086" s="27" t="str">
        <f>HYPERLINK("https://www.compass.com/building/116-12-ocean-promenade-queens-ny-11694/307458200500239989/","116-12 Ocean Promenade")</f>
        <v>116-12 Ocean Promenade</v>
      </c>
      <c r="F4086" s="25" t="s">
        <v>427</v>
      </c>
      <c r="G4086" s="28">
        <v>655000.0</v>
      </c>
      <c r="H4086" s="28">
        <v>496.0</v>
      </c>
      <c r="I4086" s="28">
        <v>572.0</v>
      </c>
      <c r="J4086" s="29"/>
      <c r="K4086" s="25" t="s">
        <v>28</v>
      </c>
      <c r="L4086" s="26">
        <v>5.0</v>
      </c>
      <c r="M4086" s="26">
        <v>2.0</v>
      </c>
      <c r="N4086" s="26">
        <v>0.0</v>
      </c>
      <c r="O4086" s="26">
        <v>0.0</v>
      </c>
      <c r="P4086" s="34">
        <v>1320.0</v>
      </c>
      <c r="Q4086" s="35">
        <v>0.0</v>
      </c>
      <c r="R4086" s="32">
        <v>44581.0</v>
      </c>
      <c r="S4086" s="32">
        <v>41538.0</v>
      </c>
      <c r="T4086" s="29"/>
      <c r="U4086" s="33"/>
      <c r="V4086" s="1"/>
    </row>
    <row r="4087" ht="24.0" customHeight="1">
      <c r="A4087" s="1"/>
      <c r="B4087" s="24" t="str">
        <f>HYPERLINK("https://www.compass.com/listing/69-39-210th-street-unit-u-queens-ny-11364/633931636796767545/view?agent_id=610d3f3370540700019b0833","69-39 210th St, Unit U")</f>
        <v>69-39 210th St, Unit U</v>
      </c>
      <c r="C4087" s="25" t="s">
        <v>365</v>
      </c>
      <c r="D4087" s="26" t="s">
        <v>23</v>
      </c>
      <c r="E4087" s="27" t="str">
        <f>HYPERLINK("https://www.compass.com/building/69-39-210th-st-queens-ny-11364/455665748640355541/","69-39 210th St")</f>
        <v>69-39 210th St</v>
      </c>
      <c r="F4087" s="25" t="s">
        <v>37</v>
      </c>
      <c r="G4087" s="28">
        <v>365000.0</v>
      </c>
      <c r="H4087" s="29"/>
      <c r="I4087" s="28">
        <v>887.0</v>
      </c>
      <c r="J4087" s="28">
        <v>0.0</v>
      </c>
      <c r="K4087" s="25" t="s">
        <v>25</v>
      </c>
      <c r="L4087" s="26">
        <v>5.0</v>
      </c>
      <c r="M4087" s="26">
        <v>2.0</v>
      </c>
      <c r="N4087" s="26">
        <v>1.0</v>
      </c>
      <c r="O4087" s="30"/>
      <c r="P4087" s="30"/>
      <c r="Q4087" s="35">
        <v>28.0</v>
      </c>
      <c r="R4087" s="32">
        <v>44160.0</v>
      </c>
      <c r="S4087" s="32">
        <v>44126.0</v>
      </c>
      <c r="T4087" s="29"/>
      <c r="U4087" s="33"/>
      <c r="V4087" s="1"/>
    </row>
    <row r="4088" ht="24.0" customHeight="1">
      <c r="A4088" s="1"/>
      <c r="B4088" s="24" t="str">
        <f>HYPERLINK("https://www.compass.com/listing/217-03-75th-avenue-unit-uppr-queens-ny-11364/1299492962936564065/view?agent_id=610d3f3370540700019b0833","217-03 75th Ave, Unit UPPR")</f>
        <v>217-03 75th Ave, Unit UPPR</v>
      </c>
      <c r="C4088" s="25" t="s">
        <v>370</v>
      </c>
      <c r="D4088" s="26" t="s">
        <v>23</v>
      </c>
      <c r="E4088" s="27" t="str">
        <f>HYPERLINK("https://www.compass.com/building/217-03-75th-ave-queens-ny-11364/445802767807205677/","217-03 75th Ave")</f>
        <v>217-03 75th Ave</v>
      </c>
      <c r="F4088" s="25" t="s">
        <v>37</v>
      </c>
      <c r="G4088" s="28">
        <v>299000.0</v>
      </c>
      <c r="H4088" s="29"/>
      <c r="I4088" s="28">
        <v>0.0</v>
      </c>
      <c r="J4088" s="28">
        <v>0.0</v>
      </c>
      <c r="K4088" s="25" t="s">
        <v>25</v>
      </c>
      <c r="L4088" s="26">
        <v>4.0</v>
      </c>
      <c r="M4088" s="26">
        <v>2.0</v>
      </c>
      <c r="N4088" s="26">
        <v>1.0</v>
      </c>
      <c r="O4088" s="30"/>
      <c r="P4088" s="30"/>
      <c r="Q4088" s="35">
        <v>741.0</v>
      </c>
      <c r="R4088" s="32">
        <v>45597.0</v>
      </c>
      <c r="S4088" s="32">
        <v>44237.0</v>
      </c>
      <c r="T4088" s="29"/>
      <c r="U4088" s="33"/>
      <c r="V4088" s="1"/>
    </row>
    <row r="4089" ht="24.0" customHeight="1">
      <c r="A4089" s="1"/>
      <c r="B4089" s="24" t="str">
        <f>HYPERLINK("https://www.compass.com/listing/217-05-73rd-avenue-unit-uppr-queens-ny-11364/1292163640005789321/view?agent_id=610d3f3370540700019b0833","217-05 73rd Ave, Unit UPPR")</f>
        <v>217-05 73rd Ave, Unit UPPR</v>
      </c>
      <c r="C4089" s="25" t="s">
        <v>370</v>
      </c>
      <c r="D4089" s="26" t="s">
        <v>23</v>
      </c>
      <c r="E4089" s="27" t="str">
        <f>HYPERLINK("https://www.compass.com/building/217-05-73rd-ave-queens-ny-11364/307450898577771173/","217-05 73rd Ave")</f>
        <v>217-05 73rd Ave</v>
      </c>
      <c r="F4089" s="25" t="s">
        <v>37</v>
      </c>
      <c r="G4089" s="28">
        <v>285000.0</v>
      </c>
      <c r="H4089" s="29"/>
      <c r="I4089" s="28">
        <v>0.0</v>
      </c>
      <c r="J4089" s="28">
        <v>0.0</v>
      </c>
      <c r="K4089" s="25" t="s">
        <v>25</v>
      </c>
      <c r="L4089" s="26">
        <v>5.0</v>
      </c>
      <c r="M4089" s="26">
        <v>2.0</v>
      </c>
      <c r="N4089" s="26">
        <v>1.0</v>
      </c>
      <c r="O4089" s="30"/>
      <c r="P4089" s="30"/>
      <c r="Q4089" s="35">
        <v>267.0</v>
      </c>
      <c r="R4089" s="32">
        <v>45597.0</v>
      </c>
      <c r="S4089" s="32">
        <v>43310.0</v>
      </c>
      <c r="T4089" s="29"/>
      <c r="U4089" s="33"/>
      <c r="V4089" s="1"/>
    </row>
    <row r="4090" ht="24.0" customHeight="1">
      <c r="A4090" s="1"/>
      <c r="B4090" s="24" t="str">
        <f>HYPERLINK("https://www.compass.com/listing/73-02-springfield-boulevard-unit-uppr-queens-ny-11364/1726639823687327561/view?agent_id=610d3f3370540700019b0833","73-02 Springfield Blvd, Unit UPPR")</f>
        <v>73-02 Springfield Blvd, Unit UPPR</v>
      </c>
      <c r="C4090" s="25" t="s">
        <v>370</v>
      </c>
      <c r="D4090" s="26" t="s">
        <v>23</v>
      </c>
      <c r="E4090" s="27" t="str">
        <f>HYPERLINK("https://www.compass.com/building/73-02-springfield-blvd-queens-ny-11364/381306682379353317/","73-02 Springfield Blvd")</f>
        <v>73-02 Springfield Blvd</v>
      </c>
      <c r="F4090" s="25" t="s">
        <v>37</v>
      </c>
      <c r="G4090" s="28">
        <v>209939.0</v>
      </c>
      <c r="H4090" s="29"/>
      <c r="I4090" s="28">
        <v>0.0</v>
      </c>
      <c r="J4090" s="28">
        <v>0.0</v>
      </c>
      <c r="K4090" s="25" t="s">
        <v>25</v>
      </c>
      <c r="L4090" s="26">
        <v>5.0</v>
      </c>
      <c r="M4090" s="26">
        <v>2.0</v>
      </c>
      <c r="N4090" s="26">
        <v>1.0</v>
      </c>
      <c r="O4090" s="30"/>
      <c r="P4090" s="30"/>
      <c r="Q4090" s="35">
        <v>360.0</v>
      </c>
      <c r="R4090" s="32">
        <v>45634.0</v>
      </c>
      <c r="S4090" s="32">
        <v>41758.0</v>
      </c>
      <c r="T4090" s="29"/>
      <c r="U4090" s="33"/>
      <c r="V4090" s="1"/>
    </row>
    <row r="4091" ht="24.0" customHeight="1">
      <c r="A4091" s="1"/>
      <c r="B4091" s="24" t="str">
        <f>HYPERLINK("https://www.compass.com/listing/73-23-217th-street-unit-u-queens-ny-11364/743324361259537161/view?agent_id=610d3f3370540700019b0833","73-23 217th St, Unit U")</f>
        <v>73-23 217th St, Unit U</v>
      </c>
      <c r="C4091" s="25" t="s">
        <v>364</v>
      </c>
      <c r="D4091" s="26" t="s">
        <v>23</v>
      </c>
      <c r="E4091" s="27" t="str">
        <f>HYPERLINK("https://www.compass.com/building/73-23-217th-st-queens-ny-11364/307443973010328901/","73-23 217th St")</f>
        <v>73-23 217th St</v>
      </c>
      <c r="F4091" s="25" t="s">
        <v>37</v>
      </c>
      <c r="G4091" s="28">
        <v>319000.0</v>
      </c>
      <c r="H4091" s="29"/>
      <c r="I4091" s="28">
        <v>891.0</v>
      </c>
      <c r="J4091" s="28">
        <v>0.0</v>
      </c>
      <c r="K4091" s="25" t="s">
        <v>25</v>
      </c>
      <c r="L4091" s="26">
        <v>4.0</v>
      </c>
      <c r="M4091" s="26">
        <v>2.0</v>
      </c>
      <c r="N4091" s="26">
        <v>1.0</v>
      </c>
      <c r="O4091" s="26">
        <v>0.0</v>
      </c>
      <c r="P4091" s="30"/>
      <c r="Q4091" s="35">
        <v>339.0</v>
      </c>
      <c r="R4091" s="32">
        <v>44616.0</v>
      </c>
      <c r="S4091" s="32">
        <v>44277.0</v>
      </c>
      <c r="T4091" s="29"/>
      <c r="U4091" s="33"/>
      <c r="V4091" s="1"/>
    </row>
    <row r="4092" ht="24.0" customHeight="1">
      <c r="A4092" s="1"/>
      <c r="B4092" s="24" t="str">
        <f>HYPERLINK("https://www.compass.com/listing/74-01-220th-street-unit-lowr-queens-ny-11364/408003123343008897/view?agent_id=610d3f3370540700019b0833","74-01 220th St, Unit LOWR")</f>
        <v>74-01 220th St, Unit LOWR</v>
      </c>
      <c r="C4092" s="25" t="s">
        <v>370</v>
      </c>
      <c r="D4092" s="26" t="s">
        <v>23</v>
      </c>
      <c r="E4092" s="27" t="str">
        <f>HYPERLINK("https://www.compass.com/building/74-01-220th-st-queens-ny-11364/307443523699488533/","74-01 220th St")</f>
        <v>74-01 220th St</v>
      </c>
      <c r="F4092" s="25" t="s">
        <v>37</v>
      </c>
      <c r="G4092" s="28">
        <v>359000.0</v>
      </c>
      <c r="H4092" s="29"/>
      <c r="I4092" s="28">
        <v>0.0</v>
      </c>
      <c r="J4092" s="28">
        <v>0.0</v>
      </c>
      <c r="K4092" s="25" t="s">
        <v>25</v>
      </c>
      <c r="L4092" s="26">
        <v>5.0</v>
      </c>
      <c r="M4092" s="26">
        <v>2.0</v>
      </c>
      <c r="N4092" s="26">
        <v>1.0</v>
      </c>
      <c r="O4092" s="30"/>
      <c r="P4092" s="30"/>
      <c r="Q4092" s="35">
        <v>364.0</v>
      </c>
      <c r="R4092" s="32">
        <v>45637.0</v>
      </c>
      <c r="S4092" s="32">
        <v>43813.0</v>
      </c>
      <c r="T4092" s="29"/>
      <c r="U4092" s="33"/>
      <c r="V4092" s="1"/>
    </row>
    <row r="4093" ht="24.0" customHeight="1">
      <c r="A4093" s="1"/>
      <c r="B4093" s="24" t="str">
        <f>HYPERLINK("https://www.compass.com/listing/133-beach-116th-street-unit-7k-queens-ny-11694/70904457512092465/view?agent_id=610d3f3370540700019b0833","133 Beach 116th St, Unit 7K")</f>
        <v>133 Beach 116th St, Unit 7K</v>
      </c>
      <c r="C4093" s="25" t="s">
        <v>365</v>
      </c>
      <c r="D4093" s="26" t="s">
        <v>23</v>
      </c>
      <c r="E4093" s="27" t="str">
        <f>HYPERLINK("https://www.compass.com/building/one-sixteen-queens-ny/307460680424547605/","One Sixteen")</f>
        <v>One Sixteen</v>
      </c>
      <c r="F4093" s="25" t="s">
        <v>427</v>
      </c>
      <c r="G4093" s="28">
        <v>768000.0</v>
      </c>
      <c r="H4093" s="28">
        <v>637.0</v>
      </c>
      <c r="I4093" s="28">
        <v>1346.0</v>
      </c>
      <c r="J4093" s="28">
        <v>9145.0</v>
      </c>
      <c r="K4093" s="25" t="s">
        <v>28</v>
      </c>
      <c r="L4093" s="26">
        <v>4.0</v>
      </c>
      <c r="M4093" s="26">
        <v>2.0</v>
      </c>
      <c r="N4093" s="26">
        <v>1.0</v>
      </c>
      <c r="O4093" s="30"/>
      <c r="P4093" s="34">
        <v>1205.0</v>
      </c>
      <c r="Q4093" s="31"/>
      <c r="R4093" s="32">
        <v>43908.0</v>
      </c>
      <c r="S4093" s="33"/>
      <c r="T4093" s="29"/>
      <c r="U4093" s="33"/>
      <c r="V4093" s="1"/>
    </row>
    <row r="4094" ht="24.0" customHeight="1">
      <c r="A4094" s="1"/>
      <c r="B4094" s="24" t="str">
        <f>HYPERLINK("https://www.compass.com/listing/74-91-220th-street-unit-lowr-queens-ny-11364/1730514091123545745/view?agent_id=610d3f3370540700019b0833","74-91 220th St, Unit LOWR")</f>
        <v>74-91 220th St, Unit LOWR</v>
      </c>
      <c r="C4094" s="25" t="s">
        <v>370</v>
      </c>
      <c r="D4094" s="26" t="s">
        <v>23</v>
      </c>
      <c r="E4094" s="27" t="str">
        <f>HYPERLINK("https://www.compass.com/building/74-91-220th-st-queens-ny-11364/307432256498843589/","74-91 220th St")</f>
        <v>74-91 220th St</v>
      </c>
      <c r="F4094" s="25" t="s">
        <v>37</v>
      </c>
      <c r="G4094" s="28">
        <v>236000.0</v>
      </c>
      <c r="H4094" s="29"/>
      <c r="I4094" s="28">
        <v>0.0</v>
      </c>
      <c r="J4094" s="28">
        <v>0.0</v>
      </c>
      <c r="K4094" s="25" t="s">
        <v>25</v>
      </c>
      <c r="L4094" s="26">
        <v>4.0</v>
      </c>
      <c r="M4094" s="26">
        <v>2.0</v>
      </c>
      <c r="N4094" s="26">
        <v>1.0</v>
      </c>
      <c r="O4094" s="30"/>
      <c r="P4094" s="30"/>
      <c r="Q4094" s="35">
        <v>365.0</v>
      </c>
      <c r="R4094" s="32">
        <v>45597.0</v>
      </c>
      <c r="S4094" s="32">
        <v>41025.0</v>
      </c>
      <c r="T4094" s="29"/>
      <c r="U4094" s="33"/>
      <c r="V4094" s="1"/>
    </row>
    <row r="4095" ht="24.0" customHeight="1">
      <c r="A4095" s="1"/>
      <c r="B4095" s="24" t="str">
        <f>HYPERLINK("https://www.compass.com/listing/21954-75th-avenue-unit-1-queens-ny-11364/1088336147775869145/view?agent_id=610d3f3370540700019b0833","21954 75th Ave, Unit 1")</f>
        <v>21954 75th Ave, Unit 1</v>
      </c>
      <c r="C4095" s="25" t="s">
        <v>370</v>
      </c>
      <c r="D4095" s="26" t="s">
        <v>23</v>
      </c>
      <c r="E4095" s="26" t="s">
        <v>432</v>
      </c>
      <c r="F4095" s="25" t="s">
        <v>37</v>
      </c>
      <c r="G4095" s="28">
        <v>338888.0</v>
      </c>
      <c r="H4095" s="29"/>
      <c r="I4095" s="28">
        <v>796.0</v>
      </c>
      <c r="J4095" s="28">
        <v>0.0</v>
      </c>
      <c r="K4095" s="25" t="s">
        <v>25</v>
      </c>
      <c r="L4095" s="26">
        <v>5.0</v>
      </c>
      <c r="M4095" s="26">
        <v>2.0</v>
      </c>
      <c r="N4095" s="26">
        <v>1.0</v>
      </c>
      <c r="O4095" s="30"/>
      <c r="P4095" s="30"/>
      <c r="Q4095" s="35">
        <v>41.0</v>
      </c>
      <c r="R4095" s="32">
        <v>44928.0</v>
      </c>
      <c r="S4095" s="32">
        <v>44885.0</v>
      </c>
      <c r="T4095" s="29"/>
      <c r="U4095" s="33"/>
      <c r="V4095" s="1"/>
    </row>
    <row r="4096" ht="24.0" customHeight="1">
      <c r="A4096" s="1"/>
      <c r="B4096" s="24" t="str">
        <f>HYPERLINK("https://www.compass.com/listing/210-17-73rd-avenue-unit-lowr-queens-ny-11364/1730716522612627681/view?agent_id=610d3f3370540700019b0833","210-17 73rd Ave, Unit LOWR")</f>
        <v>210-17 73rd Ave, Unit LOWR</v>
      </c>
      <c r="C4096" s="25" t="s">
        <v>370</v>
      </c>
      <c r="D4096" s="26" t="s">
        <v>23</v>
      </c>
      <c r="E4096" s="27" t="str">
        <f>HYPERLINK("https://www.compass.com/building/210-17-73rd-ave-queens-ny-11364/445798145231257205/","210-17 73rd Ave")</f>
        <v>210-17 73rd Ave</v>
      </c>
      <c r="F4096" s="25" t="s">
        <v>37</v>
      </c>
      <c r="G4096" s="28">
        <v>235000.0</v>
      </c>
      <c r="H4096" s="29"/>
      <c r="I4096" s="28">
        <v>0.0</v>
      </c>
      <c r="J4096" s="28">
        <v>0.0</v>
      </c>
      <c r="K4096" s="25" t="s">
        <v>25</v>
      </c>
      <c r="L4096" s="26">
        <v>4.0</v>
      </c>
      <c r="M4096" s="26">
        <v>2.0</v>
      </c>
      <c r="N4096" s="26">
        <v>1.0</v>
      </c>
      <c r="O4096" s="30"/>
      <c r="P4096" s="30"/>
      <c r="Q4096" s="35">
        <v>319.0</v>
      </c>
      <c r="R4096" s="32">
        <v>45597.0</v>
      </c>
      <c r="S4096" s="32">
        <v>41198.0</v>
      </c>
      <c r="T4096" s="29"/>
      <c r="U4096" s="33"/>
      <c r="V4096" s="1"/>
    </row>
    <row r="4097" ht="24.0" customHeight="1">
      <c r="A4097" s="1"/>
      <c r="B4097" s="24" t="str">
        <f>HYPERLINK("https://www.compass.com/listing/69-22-215th-street-unit-uppr-queens-ny-11364/1730719245143693457/view?agent_id=610d3f3370540700019b0833","69-22 215th St, Unit UPPR")</f>
        <v>69-22 215th St, Unit UPPR</v>
      </c>
      <c r="C4097" s="25" t="s">
        <v>370</v>
      </c>
      <c r="D4097" s="26" t="s">
        <v>23</v>
      </c>
      <c r="E4097" s="27" t="str">
        <f>HYPERLINK("https://www.compass.com/building/69-22-215th-st-queens-ny-11364/307433864410476485/","69-22 215th St")</f>
        <v>69-22 215th St</v>
      </c>
      <c r="F4097" s="25" t="s">
        <v>37</v>
      </c>
      <c r="G4097" s="28">
        <v>239888.0</v>
      </c>
      <c r="H4097" s="29"/>
      <c r="I4097" s="28">
        <v>0.0</v>
      </c>
      <c r="J4097" s="28">
        <v>0.0</v>
      </c>
      <c r="K4097" s="25" t="s">
        <v>25</v>
      </c>
      <c r="L4097" s="26">
        <v>5.0</v>
      </c>
      <c r="M4097" s="26">
        <v>2.0</v>
      </c>
      <c r="N4097" s="26">
        <v>1.0</v>
      </c>
      <c r="O4097" s="30"/>
      <c r="P4097" s="30"/>
      <c r="Q4097" s="35">
        <v>182.0</v>
      </c>
      <c r="R4097" s="32">
        <v>45597.0</v>
      </c>
      <c r="S4097" s="32">
        <v>40938.0</v>
      </c>
      <c r="T4097" s="29"/>
      <c r="U4097" s="33"/>
      <c r="V4097" s="1"/>
    </row>
    <row r="4098" ht="24.0" customHeight="1">
      <c r="A4098" s="1"/>
      <c r="B4098" s="24" t="str">
        <f>HYPERLINK("https://www.compass.com/listing/440-neptune-avenue-unit-14b-brooklyn-ny-11224/417363331639068689/view?agent_id=610d3f3370540700019b0833","440 Neptune Ave, Unit 14B")</f>
        <v>440 Neptune Ave, Unit 14B</v>
      </c>
      <c r="C4098" s="25" t="s">
        <v>364</v>
      </c>
      <c r="D4098" s="26" t="s">
        <v>23</v>
      </c>
      <c r="E4098" s="27" t="str">
        <f>HYPERLINK("https://www.compass.com/building/trump-village-section-3-brooklyn-ny/293528845284329061/","Trump Village Section 3")</f>
        <v>Trump Village Section 3</v>
      </c>
      <c r="F4098" s="25" t="s">
        <v>183</v>
      </c>
      <c r="G4098" s="28">
        <v>499000.0</v>
      </c>
      <c r="H4098" s="28">
        <v>416.0</v>
      </c>
      <c r="I4098" s="28">
        <v>727.0</v>
      </c>
      <c r="J4098" s="28">
        <v>0.0</v>
      </c>
      <c r="K4098" s="25" t="s">
        <v>25</v>
      </c>
      <c r="L4098" s="26">
        <v>5.0</v>
      </c>
      <c r="M4098" s="26">
        <v>2.0</v>
      </c>
      <c r="N4098" s="26">
        <v>1.0</v>
      </c>
      <c r="O4098" s="26">
        <v>0.0</v>
      </c>
      <c r="P4098" s="34">
        <v>1200.0</v>
      </c>
      <c r="Q4098" s="35">
        <v>30.0</v>
      </c>
      <c r="R4098" s="32">
        <v>43859.0</v>
      </c>
      <c r="S4098" s="32">
        <v>43829.0</v>
      </c>
      <c r="T4098" s="29"/>
      <c r="U4098" s="33"/>
      <c r="V4098" s="1"/>
    </row>
    <row r="4099" ht="24.0" customHeight="1">
      <c r="A4099" s="1"/>
      <c r="B4099" s="24" t="str">
        <f>HYPERLINK("https://www.compass.com/listing/62-65-223rd-place-unit-a-queens-ny-11364/1170467663281514033/view?agent_id=610d3f3370540700019b0833","62-65 223rd Pl, Unit A")</f>
        <v>62-65 223rd Pl, Unit A</v>
      </c>
      <c r="C4099" s="25" t="s">
        <v>365</v>
      </c>
      <c r="D4099" s="26" t="s">
        <v>23</v>
      </c>
      <c r="E4099" s="26" t="s">
        <v>433</v>
      </c>
      <c r="F4099" s="25" t="s">
        <v>37</v>
      </c>
      <c r="G4099" s="28">
        <v>269000.0</v>
      </c>
      <c r="H4099" s="29"/>
      <c r="I4099" s="28">
        <v>1008.0</v>
      </c>
      <c r="J4099" s="28">
        <v>0.0</v>
      </c>
      <c r="K4099" s="25" t="s">
        <v>25</v>
      </c>
      <c r="L4099" s="26">
        <v>5.0</v>
      </c>
      <c r="M4099" s="26">
        <v>2.0</v>
      </c>
      <c r="N4099" s="26">
        <v>1.0</v>
      </c>
      <c r="O4099" s="26">
        <v>0.0</v>
      </c>
      <c r="P4099" s="30"/>
      <c r="Q4099" s="35">
        <v>0.0</v>
      </c>
      <c r="R4099" s="32">
        <v>44866.0</v>
      </c>
      <c r="S4099" s="32">
        <v>44866.0</v>
      </c>
      <c r="T4099" s="29"/>
      <c r="U4099" s="33"/>
      <c r="V4099" s="1"/>
    </row>
    <row r="4100" ht="24.0" customHeight="1">
      <c r="A4100" s="1"/>
      <c r="B4100" s="24" t="str">
        <f>HYPERLINK("https://www.compass.com/listing/1620-avenue-i-unit-503-brooklyn-ny-11230/617410334443311961/view?agent_id=610d3f3370540700019b0833","1620 Avenue I, Unit 503")</f>
        <v>1620 Avenue I, Unit 503</v>
      </c>
      <c r="C4100" s="25" t="s">
        <v>365</v>
      </c>
      <c r="D4100" s="26" t="s">
        <v>23</v>
      </c>
      <c r="E4100" s="27" t="str">
        <f>HYPERLINK("https://www.compass.com/building/1620-avenue-i-brooklyn-ny-11230/389283081193471925/","1620 Avenue I")</f>
        <v>1620 Avenue I</v>
      </c>
      <c r="F4100" s="25" t="s">
        <v>34</v>
      </c>
      <c r="G4100" s="28">
        <v>549000.0</v>
      </c>
      <c r="H4100" s="29"/>
      <c r="I4100" s="28">
        <v>972.0</v>
      </c>
      <c r="J4100" s="28">
        <v>0.0</v>
      </c>
      <c r="K4100" s="25" t="s">
        <v>25</v>
      </c>
      <c r="L4100" s="26">
        <v>5.0</v>
      </c>
      <c r="M4100" s="26">
        <v>2.0</v>
      </c>
      <c r="N4100" s="26">
        <v>1.0</v>
      </c>
      <c r="O4100" s="26">
        <v>0.0</v>
      </c>
      <c r="P4100" s="30"/>
      <c r="Q4100" s="35">
        <v>161.0</v>
      </c>
      <c r="R4100" s="32">
        <v>44300.0</v>
      </c>
      <c r="S4100" s="32">
        <v>44117.0</v>
      </c>
      <c r="T4100" s="29"/>
      <c r="U4100" s="33"/>
      <c r="V4100" s="1"/>
    </row>
    <row r="4101" ht="24.0" customHeight="1">
      <c r="A4101" s="1"/>
      <c r="B4101" s="24" t="str">
        <f>HYPERLINK("https://www.compass.com/listing/73-63-217th-street-unit-uppr-queens-ny-11364/1299477535657458377/view?agent_id=610d3f3370540700019b0833","73-63 217th St, Unit UPPR")</f>
        <v>73-63 217th St, Unit UPPR</v>
      </c>
      <c r="C4101" s="25" t="s">
        <v>370</v>
      </c>
      <c r="D4101" s="26" t="s">
        <v>23</v>
      </c>
      <c r="E4101" s="27" t="str">
        <f t="shared" ref="E4101:E4102" si="167">HYPERLINK("https://www.compass.com/building/73-63-217th-st-queens-ny-11364/307440605529335157/","73-63 217th St")</f>
        <v>73-63 217th St</v>
      </c>
      <c r="F4101" s="25" t="s">
        <v>37</v>
      </c>
      <c r="G4101" s="28">
        <v>338900.0</v>
      </c>
      <c r="H4101" s="29"/>
      <c r="I4101" s="28">
        <v>0.0</v>
      </c>
      <c r="J4101" s="28">
        <v>0.0</v>
      </c>
      <c r="K4101" s="25" t="s">
        <v>25</v>
      </c>
      <c r="L4101" s="26">
        <v>4.0</v>
      </c>
      <c r="M4101" s="26">
        <v>2.0</v>
      </c>
      <c r="N4101" s="26">
        <v>1.0</v>
      </c>
      <c r="O4101" s="30"/>
      <c r="P4101" s="30"/>
      <c r="Q4101" s="35">
        <v>364.0</v>
      </c>
      <c r="R4101" s="32">
        <v>45597.0</v>
      </c>
      <c r="S4101" s="32">
        <v>44323.0</v>
      </c>
      <c r="T4101" s="29"/>
      <c r="U4101" s="33"/>
      <c r="V4101" s="1"/>
    </row>
    <row r="4102" ht="24.0" customHeight="1">
      <c r="A4102" s="1"/>
      <c r="B4102" s="24" t="str">
        <f>HYPERLINK("https://www.compass.com/listing/73-63-217th-street-unit-u-queens-ny-11364/778896406667827673/view?agent_id=610d3f3370540700019b0833","73-63 217th St, Unit U")</f>
        <v>73-63 217th St, Unit U</v>
      </c>
      <c r="C4102" s="25" t="s">
        <v>364</v>
      </c>
      <c r="D4102" s="26" t="s">
        <v>23</v>
      </c>
      <c r="E4102" s="27" t="str">
        <f t="shared" si="167"/>
        <v>73-63 217th St</v>
      </c>
      <c r="F4102" s="25" t="s">
        <v>37</v>
      </c>
      <c r="G4102" s="28">
        <v>338900.0</v>
      </c>
      <c r="H4102" s="29"/>
      <c r="I4102" s="28">
        <v>1000.0</v>
      </c>
      <c r="J4102" s="28">
        <v>0.0</v>
      </c>
      <c r="K4102" s="25" t="s">
        <v>25</v>
      </c>
      <c r="L4102" s="26">
        <v>4.0</v>
      </c>
      <c r="M4102" s="26">
        <v>2.0</v>
      </c>
      <c r="N4102" s="26">
        <v>1.0</v>
      </c>
      <c r="O4102" s="26">
        <v>0.0</v>
      </c>
      <c r="P4102" s="30"/>
      <c r="Q4102" s="35">
        <v>239.0</v>
      </c>
      <c r="R4102" s="32">
        <v>44565.0</v>
      </c>
      <c r="S4102" s="32">
        <v>44326.0</v>
      </c>
      <c r="T4102" s="29"/>
      <c r="U4102" s="33"/>
      <c r="V4102" s="1"/>
    </row>
    <row r="4103" ht="24.0" customHeight="1">
      <c r="A4103" s="1"/>
      <c r="B4103" s="24" t="str">
        <f>HYPERLINK("https://www.compass.com/listing/226-59-union-turnpike-queens-ny-11364/1729025206690016857/view?agent_id=610d3f3370540700019b0833","226- 59 Union Tpke")</f>
        <v>226- 59 Union Tpke</v>
      </c>
      <c r="C4103" s="25" t="s">
        <v>370</v>
      </c>
      <c r="D4103" s="26" t="s">
        <v>23</v>
      </c>
      <c r="E4103" s="26" t="s">
        <v>434</v>
      </c>
      <c r="F4103" s="25" t="s">
        <v>37</v>
      </c>
      <c r="G4103" s="28">
        <v>349888.0</v>
      </c>
      <c r="H4103" s="29"/>
      <c r="I4103" s="28">
        <v>0.0</v>
      </c>
      <c r="J4103" s="28">
        <v>0.0</v>
      </c>
      <c r="K4103" s="25" t="s">
        <v>25</v>
      </c>
      <c r="L4103" s="26">
        <v>5.0</v>
      </c>
      <c r="M4103" s="26">
        <v>2.0</v>
      </c>
      <c r="N4103" s="26">
        <v>1.0</v>
      </c>
      <c r="O4103" s="30"/>
      <c r="P4103" s="30"/>
      <c r="Q4103" s="35">
        <v>366.0</v>
      </c>
      <c r="R4103" s="32">
        <v>45637.0</v>
      </c>
      <c r="S4103" s="32">
        <v>43623.0</v>
      </c>
      <c r="T4103" s="29"/>
      <c r="U4103" s="33"/>
      <c r="V4103" s="1"/>
    </row>
    <row r="4104" ht="24.0" customHeight="1">
      <c r="A4104" s="1"/>
      <c r="B4104" s="24" t="str">
        <f>HYPERLINK("https://www.compass.com/listing/219-82-75th-avenue-unit-lowr-queens-ny-11364/1299542518327750041/view?agent_id=610d3f3370540700019b0833","219-82 75th Ave, Unit LOWR")</f>
        <v>219-82 75th Ave, Unit LOWR</v>
      </c>
      <c r="C4104" s="25" t="s">
        <v>370</v>
      </c>
      <c r="D4104" s="26" t="s">
        <v>23</v>
      </c>
      <c r="E4104" s="27" t="str">
        <f>HYPERLINK("https://www.compass.com/building/219-82-75th-ave-queens-ny-11364/307455063345638373/","219-82 75th Ave")</f>
        <v>219-82 75th Ave</v>
      </c>
      <c r="F4104" s="25" t="s">
        <v>37</v>
      </c>
      <c r="G4104" s="28">
        <v>319999.0</v>
      </c>
      <c r="H4104" s="29"/>
      <c r="I4104" s="28">
        <v>0.0</v>
      </c>
      <c r="J4104" s="28">
        <v>0.0</v>
      </c>
      <c r="K4104" s="25" t="s">
        <v>25</v>
      </c>
      <c r="L4104" s="26">
        <v>4.0</v>
      </c>
      <c r="M4104" s="26">
        <v>2.0</v>
      </c>
      <c r="N4104" s="26">
        <v>1.0</v>
      </c>
      <c r="O4104" s="30"/>
      <c r="P4104" s="30"/>
      <c r="Q4104" s="35">
        <v>365.0</v>
      </c>
      <c r="R4104" s="32">
        <v>45637.0</v>
      </c>
      <c r="S4104" s="32">
        <v>43925.0</v>
      </c>
      <c r="T4104" s="29"/>
      <c r="U4104" s="33"/>
      <c r="V4104" s="1"/>
    </row>
    <row r="4105" ht="24.0" customHeight="1">
      <c r="A4105" s="1"/>
      <c r="B4105" s="24" t="str">
        <f>HYPERLINK("https://www.compass.com/listing/219-38-75th-avenue-unit-u-queens-ny-11364/465833883855362873/view?agent_id=610d3f3370540700019b0833","219-38 75th Ave, Unit U")</f>
        <v>219-38 75th Ave, Unit U</v>
      </c>
      <c r="C4105" s="25" t="s">
        <v>365</v>
      </c>
      <c r="D4105" s="26" t="s">
        <v>23</v>
      </c>
      <c r="E4105" s="27" t="str">
        <f>HYPERLINK("https://www.compass.com/building/219-38-75th-ave-queens-ny-11364/307457459668784309/","219-38 75th Ave")</f>
        <v>219-38 75th Ave</v>
      </c>
      <c r="F4105" s="25" t="s">
        <v>37</v>
      </c>
      <c r="G4105" s="28">
        <v>325000.0</v>
      </c>
      <c r="H4105" s="29"/>
      <c r="I4105" s="28">
        <v>625.0</v>
      </c>
      <c r="J4105" s="28">
        <v>0.0</v>
      </c>
      <c r="K4105" s="25" t="s">
        <v>25</v>
      </c>
      <c r="L4105" s="26">
        <v>4.0</v>
      </c>
      <c r="M4105" s="26">
        <v>2.0</v>
      </c>
      <c r="N4105" s="26">
        <v>1.0</v>
      </c>
      <c r="O4105" s="30"/>
      <c r="P4105" s="30"/>
      <c r="Q4105" s="35">
        <v>151.0</v>
      </c>
      <c r="R4105" s="32">
        <v>44140.0</v>
      </c>
      <c r="S4105" s="32">
        <v>43894.0</v>
      </c>
      <c r="T4105" s="29"/>
      <c r="U4105" s="33"/>
      <c r="V4105" s="1"/>
    </row>
    <row r="4106" ht="24.0" customHeight="1">
      <c r="A4106" s="1"/>
      <c r="B4106" s="24" t="str">
        <f>HYPERLINK("https://www.compass.com/listing/219-82-75th-avenue-unit-l-queens-ny-11364/488938419318833089/view?agent_id=610d3f3370540700019b0833","219-82 75th Ave, Unit L")</f>
        <v>219-82 75th Ave, Unit L</v>
      </c>
      <c r="C4106" s="25" t="s">
        <v>370</v>
      </c>
      <c r="D4106" s="26" t="s">
        <v>23</v>
      </c>
      <c r="E4106" s="27" t="str">
        <f>HYPERLINK("https://www.compass.com/building/219-82-75th-ave-queens-ny-11364/307455063345638373/","219-82 75th Ave")</f>
        <v>219-82 75th Ave</v>
      </c>
      <c r="F4106" s="25" t="s">
        <v>37</v>
      </c>
      <c r="G4106" s="28">
        <v>319999.0</v>
      </c>
      <c r="H4106" s="29"/>
      <c r="I4106" s="28">
        <v>863.0</v>
      </c>
      <c r="J4106" s="28">
        <v>0.0</v>
      </c>
      <c r="K4106" s="25" t="s">
        <v>25</v>
      </c>
      <c r="L4106" s="26">
        <v>4.0</v>
      </c>
      <c r="M4106" s="26">
        <v>2.0</v>
      </c>
      <c r="N4106" s="26">
        <v>1.0</v>
      </c>
      <c r="O4106" s="30"/>
      <c r="P4106" s="30"/>
      <c r="Q4106" s="35">
        <v>286.0</v>
      </c>
      <c r="R4106" s="32">
        <v>44290.0</v>
      </c>
      <c r="S4106" s="32">
        <v>43973.0</v>
      </c>
      <c r="T4106" s="29"/>
      <c r="U4106" s="33"/>
      <c r="V4106" s="1"/>
    </row>
    <row r="4107" ht="24.0" customHeight="1">
      <c r="A4107" s="1"/>
      <c r="B4107" s="24" t="str">
        <f>HYPERLINK("https://www.compass.com/listing/74-73-220th-street-unit-u-queens-ny-11364/1089139272702716809/view?agent_id=610d3f3370540700019b0833","74-73 220th St, Unit U")</f>
        <v>74-73 220th St, Unit U</v>
      </c>
      <c r="C4107" s="25" t="s">
        <v>370</v>
      </c>
      <c r="D4107" s="26" t="s">
        <v>23</v>
      </c>
      <c r="E4107" s="27" t="str">
        <f>HYPERLINK("https://www.compass.com/building/74-73-220th-st-queens-ny-11364/307442154167143029/","74-73 220th St")</f>
        <v>74-73 220th St</v>
      </c>
      <c r="F4107" s="25" t="s">
        <v>37</v>
      </c>
      <c r="G4107" s="28">
        <v>324000.0</v>
      </c>
      <c r="H4107" s="29"/>
      <c r="I4107" s="28">
        <v>960.0</v>
      </c>
      <c r="J4107" s="28">
        <v>11520.0</v>
      </c>
      <c r="K4107" s="25" t="s">
        <v>25</v>
      </c>
      <c r="L4107" s="26">
        <v>5.0</v>
      </c>
      <c r="M4107" s="26">
        <v>2.0</v>
      </c>
      <c r="N4107" s="26">
        <v>1.0</v>
      </c>
      <c r="O4107" s="26">
        <v>0.0</v>
      </c>
      <c r="P4107" s="30"/>
      <c r="Q4107" s="35">
        <v>364.0</v>
      </c>
      <c r="R4107" s="32">
        <v>45119.0</v>
      </c>
      <c r="S4107" s="32">
        <v>44754.0</v>
      </c>
      <c r="T4107" s="29"/>
      <c r="U4107" s="33"/>
      <c r="V4107" s="1"/>
    </row>
    <row r="4108" ht="24.0" customHeight="1">
      <c r="A4108" s="1"/>
      <c r="B4108" s="24" t="str">
        <f>HYPERLINK("https://www.compass.com/listing/76-18-springfield-boulevard-unit-lowr-queens-ny-11364/1726473170794153841/view?agent_id=610d3f3370540700019b0833","76-18 Springfield Blvd, Unit LOWR")</f>
        <v>76-18 Springfield Blvd, Unit LOWR</v>
      </c>
      <c r="C4108" s="25" t="s">
        <v>370</v>
      </c>
      <c r="D4108" s="26" t="s">
        <v>23</v>
      </c>
      <c r="E4108" s="27" t="str">
        <f>HYPERLINK("https://www.compass.com/building/76-18-springfield-blvd-queens-ny-11364/381299520638991237/","76-18 Springfield Blvd")</f>
        <v>76-18 Springfield Blvd</v>
      </c>
      <c r="F4108" s="25" t="s">
        <v>37</v>
      </c>
      <c r="G4108" s="28">
        <v>212600.0</v>
      </c>
      <c r="H4108" s="29"/>
      <c r="I4108" s="28">
        <v>0.0</v>
      </c>
      <c r="J4108" s="28">
        <v>0.0</v>
      </c>
      <c r="K4108" s="25" t="s">
        <v>25</v>
      </c>
      <c r="L4108" s="26">
        <v>5.0</v>
      </c>
      <c r="M4108" s="26">
        <v>2.0</v>
      </c>
      <c r="N4108" s="26">
        <v>1.0</v>
      </c>
      <c r="O4108" s="30"/>
      <c r="P4108" s="30"/>
      <c r="Q4108" s="35">
        <v>184.0</v>
      </c>
      <c r="R4108" s="32">
        <v>45633.0</v>
      </c>
      <c r="S4108" s="32">
        <v>41708.0</v>
      </c>
      <c r="T4108" s="29"/>
      <c r="U4108" s="33"/>
      <c r="V4108" s="1"/>
    </row>
    <row r="4109" ht="24.0" customHeight="1">
      <c r="A4109" s="1"/>
      <c r="B4109" s="24" t="str">
        <f>HYPERLINK("https://www.compass.com/listing/74-69-220th-street-unit-uppr-queens-ny-11364/1730611276947648489/view?agent_id=610d3f3370540700019b0833","74-69 220th St, Unit UPPR")</f>
        <v>74-69 220th St, Unit UPPR</v>
      </c>
      <c r="C4109" s="25" t="s">
        <v>370</v>
      </c>
      <c r="D4109" s="26" t="s">
        <v>23</v>
      </c>
      <c r="E4109" s="27" t="str">
        <f>HYPERLINK("https://www.compass.com/building/74-69-220th-st-queens-ny-11364/307437113242619925/","74-69 220th St")</f>
        <v>74-69 220th St</v>
      </c>
      <c r="F4109" s="25" t="s">
        <v>37</v>
      </c>
      <c r="G4109" s="28">
        <v>231452.0</v>
      </c>
      <c r="H4109" s="29"/>
      <c r="I4109" s="28">
        <v>0.0</v>
      </c>
      <c r="J4109" s="28">
        <v>0.0</v>
      </c>
      <c r="K4109" s="25" t="s">
        <v>25</v>
      </c>
      <c r="L4109" s="26">
        <v>4.0</v>
      </c>
      <c r="M4109" s="26">
        <v>2.0</v>
      </c>
      <c r="N4109" s="26">
        <v>1.0</v>
      </c>
      <c r="O4109" s="30"/>
      <c r="P4109" s="30"/>
      <c r="Q4109" s="35">
        <v>446.0</v>
      </c>
      <c r="R4109" s="32">
        <v>45597.0</v>
      </c>
      <c r="S4109" s="32">
        <v>41079.0</v>
      </c>
      <c r="T4109" s="29"/>
      <c r="U4109" s="33"/>
      <c r="V4109" s="1"/>
    </row>
    <row r="4110" ht="24.0" customHeight="1">
      <c r="A4110" s="1"/>
      <c r="B4110" s="24" t="str">
        <f>HYPERLINK("https://www.compass.com/listing/75-17-217th-street-unit-lowr-queens-ny-11364/1730714781347172225/view?agent_id=610d3f3370540700019b0833","75-17 217th St, Unit LOWR")</f>
        <v>75-17 217th St, Unit LOWR</v>
      </c>
      <c r="C4110" s="25" t="s">
        <v>370</v>
      </c>
      <c r="D4110" s="26" t="s">
        <v>23</v>
      </c>
      <c r="E4110" s="27" t="str">
        <f>HYPERLINK("https://www.compass.com/building/75-17-217th-st-queens-ny-11364/307446922226640517/","75-17 217th St")</f>
        <v>75-17 217th St</v>
      </c>
      <c r="F4110" s="25" t="s">
        <v>37</v>
      </c>
      <c r="G4110" s="28">
        <v>212000.0</v>
      </c>
      <c r="H4110" s="29"/>
      <c r="I4110" s="28">
        <v>0.0</v>
      </c>
      <c r="J4110" s="28">
        <v>0.0</v>
      </c>
      <c r="K4110" s="25" t="s">
        <v>25</v>
      </c>
      <c r="L4110" s="26">
        <v>5.0</v>
      </c>
      <c r="M4110" s="26">
        <v>2.0</v>
      </c>
      <c r="N4110" s="26">
        <v>1.0</v>
      </c>
      <c r="O4110" s="30"/>
      <c r="P4110" s="30"/>
      <c r="Q4110" s="35">
        <v>365.0</v>
      </c>
      <c r="R4110" s="32">
        <v>45597.0</v>
      </c>
      <c r="S4110" s="32">
        <v>41411.0</v>
      </c>
      <c r="T4110" s="29"/>
      <c r="U4110" s="33"/>
      <c r="V4110" s="1"/>
    </row>
    <row r="4111" ht="24.0" customHeight="1">
      <c r="A4111" s="1"/>
      <c r="B4111" s="24" t="str">
        <f>HYPERLINK("https://www.compass.com/listing/220-56-75th-avenue-unit-uppr-queens-ny-11364/1730593157470335745/view?agent_id=610d3f3370540700019b0833","220-56 75th Ave, Unit UPPR")</f>
        <v>220-56 75th Ave, Unit UPPR</v>
      </c>
      <c r="C4111" s="25" t="s">
        <v>370</v>
      </c>
      <c r="D4111" s="26" t="s">
        <v>23</v>
      </c>
      <c r="E4111" s="27" t="str">
        <f>HYPERLINK("https://www.compass.com/building/220-56-75th-ave-queens-ny-11364/307459458900514293/","220-56 75th Ave")</f>
        <v>220-56 75th Ave</v>
      </c>
      <c r="F4111" s="25" t="s">
        <v>37</v>
      </c>
      <c r="G4111" s="28">
        <v>229760.0</v>
      </c>
      <c r="H4111" s="29"/>
      <c r="I4111" s="28">
        <v>0.0</v>
      </c>
      <c r="J4111" s="28">
        <v>0.0</v>
      </c>
      <c r="K4111" s="25" t="s">
        <v>25</v>
      </c>
      <c r="L4111" s="26">
        <v>4.0</v>
      </c>
      <c r="M4111" s="26">
        <v>2.0</v>
      </c>
      <c r="N4111" s="26">
        <v>1.0</v>
      </c>
      <c r="O4111" s="30"/>
      <c r="P4111" s="30"/>
      <c r="Q4111" s="35">
        <v>365.0</v>
      </c>
      <c r="R4111" s="32">
        <v>45597.0</v>
      </c>
      <c r="S4111" s="32">
        <v>41577.0</v>
      </c>
      <c r="T4111" s="29"/>
      <c r="U4111" s="33"/>
      <c r="V4111" s="1"/>
    </row>
    <row r="4112" ht="24.0" customHeight="1">
      <c r="A4112" s="1"/>
      <c r="B4112" s="24" t="str">
        <f>HYPERLINK("https://www.compass.com/listing/73-67-217th-street-unit-lowr-queens-ny-11364/1730612248507660145/view?agent_id=610d3f3370540700019b0833","73-67 217th St, Unit LOWR")</f>
        <v>73-67 217th St, Unit LOWR</v>
      </c>
      <c r="C4112" s="25" t="s">
        <v>370</v>
      </c>
      <c r="D4112" s="26" t="s">
        <v>23</v>
      </c>
      <c r="E4112" s="27" t="str">
        <f>HYPERLINK("https://www.compass.com/building/73-67-217th-st-queens-ny-11364/307431653215233749/","73-67 217th St")</f>
        <v>73-67 217th St</v>
      </c>
      <c r="F4112" s="25" t="s">
        <v>37</v>
      </c>
      <c r="G4112" s="28">
        <v>210302.0</v>
      </c>
      <c r="H4112" s="29"/>
      <c r="I4112" s="28">
        <v>0.0</v>
      </c>
      <c r="J4112" s="28">
        <v>0.0</v>
      </c>
      <c r="K4112" s="25" t="s">
        <v>25</v>
      </c>
      <c r="L4112" s="26">
        <v>4.0</v>
      </c>
      <c r="M4112" s="26">
        <v>2.0</v>
      </c>
      <c r="N4112" s="26">
        <v>1.0</v>
      </c>
      <c r="O4112" s="30"/>
      <c r="P4112" s="30"/>
      <c r="Q4112" s="35">
        <v>181.0</v>
      </c>
      <c r="R4112" s="32">
        <v>45612.0</v>
      </c>
      <c r="S4112" s="32">
        <v>40924.0</v>
      </c>
      <c r="T4112" s="29"/>
      <c r="U4112" s="33"/>
      <c r="V4112" s="1"/>
    </row>
    <row r="4113" ht="24.0" customHeight="1">
      <c r="A4113" s="1"/>
      <c r="B4113" s="24" t="str">
        <f>HYPERLINK("https://www.compass.com/listing/220-04-73rd-avenue-unit-lowr-queens-ny-11364/1730615153574487945/view?agent_id=610d3f3370540700019b0833","220-04 73rd Ave, Unit LOWR")</f>
        <v>220-04 73rd Ave, Unit LOWR</v>
      </c>
      <c r="C4113" s="25" t="s">
        <v>370</v>
      </c>
      <c r="D4113" s="26" t="s">
        <v>23</v>
      </c>
      <c r="E4113" s="27" t="str">
        <f>HYPERLINK("https://www.compass.com/building/220-04-73rd-ave-queens-ny-11364/445084792636309229/","220-04 73rd Ave")</f>
        <v>220-04 73rd Ave</v>
      </c>
      <c r="F4113" s="25" t="s">
        <v>37</v>
      </c>
      <c r="G4113" s="28">
        <v>209000.0</v>
      </c>
      <c r="H4113" s="29"/>
      <c r="I4113" s="28">
        <v>0.0</v>
      </c>
      <c r="J4113" s="28">
        <v>0.0</v>
      </c>
      <c r="K4113" s="25" t="s">
        <v>25</v>
      </c>
      <c r="L4113" s="26">
        <v>5.0</v>
      </c>
      <c r="M4113" s="26">
        <v>2.0</v>
      </c>
      <c r="N4113" s="26">
        <v>1.0</v>
      </c>
      <c r="O4113" s="30"/>
      <c r="P4113" s="30"/>
      <c r="Q4113" s="35">
        <v>373.0</v>
      </c>
      <c r="R4113" s="32">
        <v>45597.0</v>
      </c>
      <c r="S4113" s="32">
        <v>41386.0</v>
      </c>
      <c r="T4113" s="29"/>
      <c r="U4113" s="33"/>
      <c r="V4113" s="1"/>
    </row>
    <row r="4114" ht="24.0" customHeight="1">
      <c r="A4114" s="1"/>
      <c r="B4114" s="24" t="str">
        <f>HYPERLINK("https://www.compass.com/listing/211-05-75th-avenue-unit-2e-queens-ny-11364/1730621401200072753/view?agent_id=610d3f3370540700019b0833","211-05 75th Ave, Unit 2E")</f>
        <v>211-05 75th Ave, Unit 2E</v>
      </c>
      <c r="C4114" s="25" t="s">
        <v>370</v>
      </c>
      <c r="D4114" s="26" t="s">
        <v>23</v>
      </c>
      <c r="E4114" s="27" t="str">
        <f>HYPERLINK("https://www.compass.com/building/211-05-75th-ave-queens-ny-11364/441134983214931837/","211-05 75th Ave")</f>
        <v>211-05 75th Ave</v>
      </c>
      <c r="F4114" s="25" t="s">
        <v>37</v>
      </c>
      <c r="G4114" s="28">
        <v>249500.0</v>
      </c>
      <c r="H4114" s="29"/>
      <c r="I4114" s="28">
        <v>0.0</v>
      </c>
      <c r="J4114" s="28">
        <v>0.0</v>
      </c>
      <c r="K4114" s="25" t="s">
        <v>25</v>
      </c>
      <c r="L4114" s="26">
        <v>6.0</v>
      </c>
      <c r="M4114" s="26">
        <v>2.0</v>
      </c>
      <c r="N4114" s="26">
        <v>1.0</v>
      </c>
      <c r="O4114" s="30"/>
      <c r="P4114" s="30"/>
      <c r="Q4114" s="35">
        <v>183.0</v>
      </c>
      <c r="R4114" s="32">
        <v>45597.0</v>
      </c>
      <c r="S4114" s="32">
        <v>41366.0</v>
      </c>
      <c r="T4114" s="29"/>
      <c r="U4114" s="33"/>
      <c r="V4114" s="1"/>
    </row>
    <row r="4115" ht="24.0" customHeight="1">
      <c r="A4115" s="1"/>
      <c r="B4115" s="24" t="str">
        <f>HYPERLINK("https://www.compass.com/listing/73-33-217th-street-unit-uppr-queens-ny-11364/1730710813964106785/view?agent_id=610d3f3370540700019b0833","73-33 217th St, Unit UPPR")</f>
        <v>73-33 217th St, Unit UPPR</v>
      </c>
      <c r="C4115" s="25" t="s">
        <v>370</v>
      </c>
      <c r="D4115" s="26" t="s">
        <v>23</v>
      </c>
      <c r="E4115" s="27" t="str">
        <f>HYPERLINK("https://www.compass.com/building/73-33-217th-st-queens-ny-11364/307435208827461349/","73-33 217th St")</f>
        <v>73-33 217th St</v>
      </c>
      <c r="F4115" s="25" t="s">
        <v>37</v>
      </c>
      <c r="G4115" s="28">
        <v>211600.0</v>
      </c>
      <c r="H4115" s="29"/>
      <c r="I4115" s="28">
        <v>0.0</v>
      </c>
      <c r="J4115" s="28">
        <v>0.0</v>
      </c>
      <c r="K4115" s="25" t="s">
        <v>25</v>
      </c>
      <c r="L4115" s="26">
        <v>4.0</v>
      </c>
      <c r="M4115" s="26">
        <v>2.0</v>
      </c>
      <c r="N4115" s="26">
        <v>1.0</v>
      </c>
      <c r="O4115" s="30"/>
      <c r="P4115" s="30"/>
      <c r="Q4115" s="35">
        <v>265.0</v>
      </c>
      <c r="R4115" s="32">
        <v>45597.0</v>
      </c>
      <c r="S4115" s="32">
        <v>41375.0</v>
      </c>
      <c r="T4115" s="29"/>
      <c r="U4115" s="33"/>
      <c r="V4115" s="1"/>
    </row>
    <row r="4116" ht="24.0" customHeight="1">
      <c r="A4116" s="1"/>
      <c r="B4116" s="24" t="str">
        <f>HYPERLINK("https://www.compass.com/listing/68-67-218th-street-unit-uppr-queens-ny-11364/1299585056078247913/view?agent_id=610d3f3370540700019b0833","68-67 218th St, Unit UPPR")</f>
        <v>68-67 218th St, Unit UPPR</v>
      </c>
      <c r="C4116" s="25" t="s">
        <v>370</v>
      </c>
      <c r="D4116" s="26" t="s">
        <v>23</v>
      </c>
      <c r="E4116" s="27" t="str">
        <f>HYPERLINK("https://www.compass.com/building/68-67-218th-st-queens-ny-11364/307433435391889845/","68-67 218th St")</f>
        <v>68-67 218th St</v>
      </c>
      <c r="F4116" s="25" t="s">
        <v>37</v>
      </c>
      <c r="G4116" s="28">
        <v>279500.0</v>
      </c>
      <c r="H4116" s="29"/>
      <c r="I4116" s="28">
        <v>0.0</v>
      </c>
      <c r="J4116" s="28">
        <v>0.0</v>
      </c>
      <c r="K4116" s="25" t="s">
        <v>25</v>
      </c>
      <c r="L4116" s="26">
        <v>5.0</v>
      </c>
      <c r="M4116" s="26">
        <v>2.0</v>
      </c>
      <c r="N4116" s="26">
        <v>1.0</v>
      </c>
      <c r="O4116" s="30"/>
      <c r="P4116" s="30"/>
      <c r="Q4116" s="35">
        <v>183.0</v>
      </c>
      <c r="R4116" s="32">
        <v>45597.0</v>
      </c>
      <c r="S4116" s="32">
        <v>42795.0</v>
      </c>
      <c r="T4116" s="29"/>
      <c r="U4116" s="33"/>
      <c r="V4116" s="1"/>
    </row>
    <row r="4117" ht="24.0" customHeight="1">
      <c r="A4117" s="1"/>
      <c r="B4117" s="24" t="str">
        <f>HYPERLINK("https://www.compass.com/listing/220-06-75th-avenue-unit-l-queens-ny-11364/723212185245639337/view?agent_id=610d3f3370540700019b0833","220-06 75th Ave, Unit L")</f>
        <v>220-06 75th Ave, Unit L</v>
      </c>
      <c r="C4117" s="25" t="s">
        <v>365</v>
      </c>
      <c r="D4117" s="26" t="s">
        <v>23</v>
      </c>
      <c r="E4117" s="26" t="s">
        <v>435</v>
      </c>
      <c r="F4117" s="25" t="s">
        <v>37</v>
      </c>
      <c r="G4117" s="28">
        <v>329999.0</v>
      </c>
      <c r="H4117" s="29"/>
      <c r="I4117" s="28">
        <v>1024.0</v>
      </c>
      <c r="J4117" s="28">
        <v>0.0</v>
      </c>
      <c r="K4117" s="25" t="s">
        <v>25</v>
      </c>
      <c r="L4117" s="26">
        <v>5.0</v>
      </c>
      <c r="M4117" s="26">
        <v>2.0</v>
      </c>
      <c r="N4117" s="26">
        <v>1.0</v>
      </c>
      <c r="O4117" s="26">
        <v>0.0</v>
      </c>
      <c r="P4117" s="30"/>
      <c r="Q4117" s="35">
        <v>175.0</v>
      </c>
      <c r="R4117" s="32">
        <v>44425.0</v>
      </c>
      <c r="S4117" s="32">
        <v>44249.0</v>
      </c>
      <c r="T4117" s="29"/>
      <c r="U4117" s="33"/>
      <c r="V4117" s="1"/>
    </row>
    <row r="4118" ht="24.0" customHeight="1">
      <c r="A4118" s="1"/>
      <c r="B4118" s="24" t="str">
        <f>HYPERLINK("https://www.compass.com/listing/220-06-75th-avenue-unit-1-queens-ny-11364/1299569929404762761/view?agent_id=610d3f3370540700019b0833","220-06 75th Ave, Unit 1")</f>
        <v>220-06 75th Ave, Unit 1</v>
      </c>
      <c r="C4118" s="25" t="s">
        <v>370</v>
      </c>
      <c r="D4118" s="26" t="s">
        <v>23</v>
      </c>
      <c r="E4118" s="26" t="s">
        <v>435</v>
      </c>
      <c r="F4118" s="25" t="s">
        <v>37</v>
      </c>
      <c r="G4118" s="28">
        <v>339000.0</v>
      </c>
      <c r="H4118" s="28">
        <v>377.0</v>
      </c>
      <c r="I4118" s="28">
        <v>0.0</v>
      </c>
      <c r="J4118" s="28">
        <v>0.0</v>
      </c>
      <c r="K4118" s="25" t="s">
        <v>25</v>
      </c>
      <c r="L4118" s="26">
        <v>5.0</v>
      </c>
      <c r="M4118" s="26">
        <v>2.0</v>
      </c>
      <c r="N4118" s="26">
        <v>1.0</v>
      </c>
      <c r="O4118" s="30"/>
      <c r="P4118" s="26">
        <v>900.0</v>
      </c>
      <c r="Q4118" s="35">
        <v>372.0</v>
      </c>
      <c r="R4118" s="32">
        <v>45597.0</v>
      </c>
      <c r="S4118" s="32">
        <v>44249.0</v>
      </c>
      <c r="T4118" s="29"/>
      <c r="U4118" s="33"/>
      <c r="V4118" s="1"/>
    </row>
    <row r="4119" ht="24.0" customHeight="1">
      <c r="A4119" s="1"/>
      <c r="B4119" s="24" t="str">
        <f>HYPERLINK("https://www.compass.com/listing/219-18-75th-avenue-unit-uppr-queens-ny-11364/1367418446433501817/view?agent_id=610d3f3370540700019b0833","219-18 75th Ave, Unit UPPR")</f>
        <v>219-18 75th Ave, Unit UPPR</v>
      </c>
      <c r="C4119" s="25" t="s">
        <v>364</v>
      </c>
      <c r="D4119" s="26" t="s">
        <v>23</v>
      </c>
      <c r="E4119" s="27" t="str">
        <f>HYPERLINK("https://www.compass.com/building/219-18-75th-ave-queens-ny-11364/307441159831863925/","219-18 75th Ave")</f>
        <v>219-18 75th Ave</v>
      </c>
      <c r="F4119" s="25" t="s">
        <v>37</v>
      </c>
      <c r="G4119" s="28">
        <v>305000.0</v>
      </c>
      <c r="H4119" s="29"/>
      <c r="I4119" s="28">
        <v>0.0</v>
      </c>
      <c r="J4119" s="28">
        <v>0.0</v>
      </c>
      <c r="K4119" s="25" t="s">
        <v>25</v>
      </c>
      <c r="L4119" s="26">
        <v>4.0</v>
      </c>
      <c r="M4119" s="26">
        <v>2.0</v>
      </c>
      <c r="N4119" s="26">
        <v>1.0</v>
      </c>
      <c r="O4119" s="30"/>
      <c r="P4119" s="30"/>
      <c r="Q4119" s="35">
        <v>329.0</v>
      </c>
      <c r="R4119" s="32">
        <v>45631.0</v>
      </c>
      <c r="S4119" s="32">
        <v>45138.0</v>
      </c>
      <c r="T4119" s="29"/>
      <c r="U4119" s="33"/>
      <c r="V4119" s="1"/>
    </row>
    <row r="4120" ht="24.0" customHeight="1">
      <c r="A4120" s="1"/>
      <c r="B4120" s="24" t="str">
        <f>HYPERLINK("https://www.compass.com/listing/73-16-220th-street-unit-lowr-queens-ny-11364/1299525076985175745/view?agent_id=610d3f3370540700019b0833","73-16 220th St, Unit LOWR")</f>
        <v>73-16 220th St, Unit LOWR</v>
      </c>
      <c r="C4120" s="25" t="s">
        <v>370</v>
      </c>
      <c r="D4120" s="26" t="s">
        <v>23</v>
      </c>
      <c r="E4120" s="27" t="str">
        <f>HYPERLINK("https://www.compass.com/building/73-16-220th-st-queens-ny-11364/567492750134237757/","73-16 220th St")</f>
        <v>73-16 220th St</v>
      </c>
      <c r="F4120" s="25" t="s">
        <v>37</v>
      </c>
      <c r="G4120" s="28">
        <v>316000.0</v>
      </c>
      <c r="H4120" s="29"/>
      <c r="I4120" s="28">
        <v>0.0</v>
      </c>
      <c r="J4120" s="28">
        <v>0.0</v>
      </c>
      <c r="K4120" s="25" t="s">
        <v>25</v>
      </c>
      <c r="L4120" s="26">
        <v>5.0</v>
      </c>
      <c r="M4120" s="26">
        <v>2.0</v>
      </c>
      <c r="N4120" s="26">
        <v>1.0</v>
      </c>
      <c r="O4120" s="30"/>
      <c r="P4120" s="30"/>
      <c r="Q4120" s="35">
        <v>366.0</v>
      </c>
      <c r="R4120" s="32">
        <v>45597.0</v>
      </c>
      <c r="S4120" s="32">
        <v>43754.0</v>
      </c>
      <c r="T4120" s="29"/>
      <c r="U4120" s="33"/>
      <c r="V4120" s="1"/>
    </row>
    <row r="4121" ht="24.0" customHeight="1">
      <c r="A4121" s="1"/>
      <c r="B4121" s="24" t="str">
        <f>HYPERLINK("https://www.compass.com/listing/73-70-springfield-boulevard-unit-uppr-queens-ny-11364/1299506987833362777/view?agent_id=610d3f3370540700019b0833","73-70 Springfield Blvd, Unit UPPR")</f>
        <v>73-70 Springfield Blvd, Unit UPPR</v>
      </c>
      <c r="C4121" s="25" t="s">
        <v>370</v>
      </c>
      <c r="D4121" s="26" t="s">
        <v>23</v>
      </c>
      <c r="E4121" s="27" t="str">
        <f>HYPERLINK("https://www.compass.com/building/73-70-springfield-blvd-queens-ny-11364/381308801534430901/","73-70 Springfield Blvd")</f>
        <v>73-70 Springfield Blvd</v>
      </c>
      <c r="F4121" s="25" t="s">
        <v>37</v>
      </c>
      <c r="G4121" s="28">
        <v>299000.0</v>
      </c>
      <c r="H4121" s="29"/>
      <c r="I4121" s="28">
        <v>0.0</v>
      </c>
      <c r="J4121" s="28">
        <v>0.0</v>
      </c>
      <c r="K4121" s="25" t="s">
        <v>25</v>
      </c>
      <c r="L4121" s="26">
        <v>4.0</v>
      </c>
      <c r="M4121" s="26">
        <v>2.0</v>
      </c>
      <c r="N4121" s="26">
        <v>1.0</v>
      </c>
      <c r="O4121" s="30"/>
      <c r="P4121" s="30"/>
      <c r="Q4121" s="35">
        <v>293.0</v>
      </c>
      <c r="R4121" s="32">
        <v>45597.0</v>
      </c>
      <c r="S4121" s="32">
        <v>44312.0</v>
      </c>
      <c r="T4121" s="29"/>
      <c r="U4121" s="33"/>
      <c r="V4121" s="1"/>
    </row>
    <row r="4122" ht="24.0" customHeight="1">
      <c r="A4122" s="1"/>
      <c r="B4122" s="24" t="str">
        <f>HYPERLINK("https://www.compass.com/listing/219-12-75th-avenue-unit-uppr-queens-ny-11364/1730614590657360041/view?agent_id=610d3f3370540700019b0833","219-12 75th Ave, Unit UPPR")</f>
        <v>219-12 75th Ave, Unit UPPR</v>
      </c>
      <c r="C4122" s="25" t="s">
        <v>370</v>
      </c>
      <c r="D4122" s="26" t="s">
        <v>23</v>
      </c>
      <c r="E4122" s="27" t="str">
        <f>HYPERLINK("https://www.compass.com/building/219-12-75th-ave-queens-ny-11364/307458511357190613/","219-12 75th Ave")</f>
        <v>219-12 75th Ave</v>
      </c>
      <c r="F4122" s="25" t="s">
        <v>37</v>
      </c>
      <c r="G4122" s="28">
        <v>211600.0</v>
      </c>
      <c r="H4122" s="29"/>
      <c r="I4122" s="28">
        <v>0.0</v>
      </c>
      <c r="J4122" s="28">
        <v>0.0</v>
      </c>
      <c r="K4122" s="25" t="s">
        <v>25</v>
      </c>
      <c r="L4122" s="26">
        <v>4.0</v>
      </c>
      <c r="M4122" s="26">
        <v>2.0</v>
      </c>
      <c r="N4122" s="26">
        <v>1.0</v>
      </c>
      <c r="O4122" s="30"/>
      <c r="P4122" s="30"/>
      <c r="Q4122" s="35">
        <v>182.0</v>
      </c>
      <c r="R4122" s="32">
        <v>45597.0</v>
      </c>
      <c r="S4122" s="32">
        <v>41457.0</v>
      </c>
      <c r="T4122" s="29"/>
      <c r="U4122" s="33"/>
      <c r="V4122" s="1"/>
    </row>
    <row r="4123" ht="24.0" customHeight="1">
      <c r="A4123" s="1"/>
      <c r="B4123" s="24" t="str">
        <f>HYPERLINK("https://www.compass.com/listing/73-12-220th-street-unit-uppr-queens-ny-11364/1730704708600685825/view?agent_id=610d3f3370540700019b0833","73-12 220th St, Unit UPPR")</f>
        <v>73-12 220th St, Unit UPPR</v>
      </c>
      <c r="C4123" s="25" t="s">
        <v>370</v>
      </c>
      <c r="D4123" s="26" t="s">
        <v>23</v>
      </c>
      <c r="E4123" s="27" t="str">
        <f>HYPERLINK("https://www.compass.com/building/73-12-220th-st-queens-ny-11364/445085839945635917/","73-12 220th St")</f>
        <v>73-12 220th St</v>
      </c>
      <c r="F4123" s="25" t="s">
        <v>37</v>
      </c>
      <c r="G4123" s="28">
        <v>220888.0</v>
      </c>
      <c r="H4123" s="29"/>
      <c r="I4123" s="28">
        <v>0.0</v>
      </c>
      <c r="J4123" s="28">
        <v>0.0</v>
      </c>
      <c r="K4123" s="25" t="s">
        <v>25</v>
      </c>
      <c r="L4123" s="26">
        <v>4.0</v>
      </c>
      <c r="M4123" s="26">
        <v>2.0</v>
      </c>
      <c r="N4123" s="26">
        <v>1.0</v>
      </c>
      <c r="O4123" s="30"/>
      <c r="P4123" s="30"/>
      <c r="Q4123" s="35">
        <v>365.0</v>
      </c>
      <c r="R4123" s="32">
        <v>45597.0</v>
      </c>
      <c r="S4123" s="32">
        <v>42336.0</v>
      </c>
      <c r="T4123" s="29"/>
      <c r="U4123" s="33"/>
      <c r="V4123" s="1"/>
    </row>
    <row r="4124" ht="24.0" customHeight="1">
      <c r="A4124" s="1"/>
      <c r="B4124" s="24" t="str">
        <f>HYPERLINK("https://www.compass.com/listing/69-43-210th-street-unit-a-queens-ny-11364/424447216906796737/view?agent_id=610d3f3370540700019b0833","69-43 210th St, Unit A")</f>
        <v>69-43 210th St, Unit A</v>
      </c>
      <c r="C4124" s="25" t="s">
        <v>370</v>
      </c>
      <c r="D4124" s="26" t="s">
        <v>23</v>
      </c>
      <c r="E4124" s="27" t="str">
        <f>HYPERLINK("https://www.compass.com/building/69-43-210th-st-queens-ny-11364/424789279528808421/","69-43 210th St")</f>
        <v>69-43 210th St</v>
      </c>
      <c r="F4124" s="25" t="s">
        <v>37</v>
      </c>
      <c r="G4124" s="28">
        <v>338888.0</v>
      </c>
      <c r="H4124" s="29"/>
      <c r="I4124" s="28">
        <v>814.0</v>
      </c>
      <c r="J4124" s="28">
        <v>0.0</v>
      </c>
      <c r="K4124" s="25" t="s">
        <v>25</v>
      </c>
      <c r="L4124" s="26">
        <v>5.0</v>
      </c>
      <c r="M4124" s="26">
        <v>2.0</v>
      </c>
      <c r="N4124" s="26">
        <v>1.0</v>
      </c>
      <c r="O4124" s="26">
        <v>0.0</v>
      </c>
      <c r="P4124" s="30"/>
      <c r="Q4124" s="35">
        <v>72.0</v>
      </c>
      <c r="R4124" s="32">
        <v>44050.0</v>
      </c>
      <c r="S4124" s="32">
        <v>43837.0</v>
      </c>
      <c r="T4124" s="29"/>
      <c r="U4124" s="33"/>
      <c r="V4124" s="1"/>
    </row>
    <row r="4125" ht="24.0" customHeight="1">
      <c r="A4125" s="1"/>
      <c r="B4125" s="24" t="str">
        <f>HYPERLINK("https://www.compass.com/listing/211-19a-73rd-avenue-unit-l-queens-ny-11364/1146362094190811249/view?agent_id=610d3f3370540700019b0833","211-19A 73rd Ave, Unit L")</f>
        <v>211-19A 73rd Ave, Unit L</v>
      </c>
      <c r="C4125" s="25" t="s">
        <v>370</v>
      </c>
      <c r="D4125" s="26" t="s">
        <v>23</v>
      </c>
      <c r="E4125" s="27" t="str">
        <f>HYPERLINK("https://www.compass.com/building/211-19a-73rd-ave-queens-ny-11364/381307206246350741/","211-19a 73rd Ave")</f>
        <v>211-19a 73rd Ave</v>
      </c>
      <c r="F4125" s="25" t="s">
        <v>37</v>
      </c>
      <c r="G4125" s="28">
        <v>360000.0</v>
      </c>
      <c r="H4125" s="29"/>
      <c r="I4125" s="28">
        <v>850.0</v>
      </c>
      <c r="J4125" s="28">
        <v>10200.0</v>
      </c>
      <c r="K4125" s="25" t="s">
        <v>25</v>
      </c>
      <c r="L4125" s="26">
        <v>5.0</v>
      </c>
      <c r="M4125" s="26">
        <v>2.0</v>
      </c>
      <c r="N4125" s="26">
        <v>1.0</v>
      </c>
      <c r="O4125" s="26">
        <v>0.0</v>
      </c>
      <c r="P4125" s="30"/>
      <c r="Q4125" s="35">
        <v>364.0</v>
      </c>
      <c r="R4125" s="32">
        <v>45198.0</v>
      </c>
      <c r="S4125" s="32">
        <v>44833.0</v>
      </c>
      <c r="T4125" s="29"/>
      <c r="U4125" s="33"/>
      <c r="V4125" s="1"/>
    </row>
    <row r="4126" ht="24.0" customHeight="1">
      <c r="A4126" s="1"/>
      <c r="B4126" s="24" t="str">
        <f>HYPERLINK("https://www.compass.com/listing/219-30-74th-avenue-unit-lowr-queens-ny-11364/1299548334132504161/view?agent_id=610d3f3370540700019b0833","219-30 74th Ave, Unit LOWR")</f>
        <v>219-30 74th Ave, Unit LOWR</v>
      </c>
      <c r="C4126" s="25" t="s">
        <v>370</v>
      </c>
      <c r="D4126" s="26" t="s">
        <v>23</v>
      </c>
      <c r="E4126" s="27" t="str">
        <f>HYPERLINK("https://www.compass.com/building/219-30-74th-ave-queens-ny-11364/307446613089732757/","219-30 74th Ave")</f>
        <v>219-30 74th Ave</v>
      </c>
      <c r="F4126" s="25" t="s">
        <v>37</v>
      </c>
      <c r="G4126" s="28">
        <v>354999.0</v>
      </c>
      <c r="H4126" s="29"/>
      <c r="I4126" s="28">
        <v>0.0</v>
      </c>
      <c r="J4126" s="28">
        <v>0.0</v>
      </c>
      <c r="K4126" s="25" t="s">
        <v>25</v>
      </c>
      <c r="L4126" s="26">
        <v>4.0</v>
      </c>
      <c r="M4126" s="26">
        <v>2.0</v>
      </c>
      <c r="N4126" s="26">
        <v>1.0</v>
      </c>
      <c r="O4126" s="30"/>
      <c r="P4126" s="30"/>
      <c r="Q4126" s="35">
        <v>366.0</v>
      </c>
      <c r="R4126" s="32">
        <v>45637.0</v>
      </c>
      <c r="S4126" s="32">
        <v>43861.0</v>
      </c>
      <c r="T4126" s="29"/>
      <c r="U4126" s="33"/>
      <c r="V4126" s="1"/>
    </row>
    <row r="4127" ht="24.0" customHeight="1">
      <c r="A4127" s="1"/>
      <c r="B4127" s="24" t="str">
        <f>HYPERLINK("https://www.compass.com/listing/211-19a-73rd-avenue-unit-lowr-queens-ny-11364/807330701620836857/view?agent_id=610d3f3370540700019b0833","211-19A 73rd Ave, Unit LOWR")</f>
        <v>211-19A 73rd Ave, Unit LOWR</v>
      </c>
      <c r="C4127" s="25" t="s">
        <v>370</v>
      </c>
      <c r="D4127" s="26" t="s">
        <v>23</v>
      </c>
      <c r="E4127" s="27" t="str">
        <f>HYPERLINK("https://www.compass.com/building/211-19a-73rd-ave-queens-ny-11364/381307206246350741/","211-19a 73rd Ave")</f>
        <v>211-19a 73rd Ave</v>
      </c>
      <c r="F4127" s="25" t="s">
        <v>37</v>
      </c>
      <c r="G4127" s="28">
        <v>359999.0</v>
      </c>
      <c r="H4127" s="29"/>
      <c r="I4127" s="28">
        <v>850.0</v>
      </c>
      <c r="J4127" s="28">
        <v>0.0</v>
      </c>
      <c r="K4127" s="25" t="s">
        <v>25</v>
      </c>
      <c r="L4127" s="26">
        <v>5.0</v>
      </c>
      <c r="M4127" s="26">
        <v>2.0</v>
      </c>
      <c r="N4127" s="26">
        <v>1.0</v>
      </c>
      <c r="O4127" s="30"/>
      <c r="P4127" s="30"/>
      <c r="Q4127" s="35">
        <v>365.0</v>
      </c>
      <c r="R4127" s="32">
        <v>45638.0</v>
      </c>
      <c r="S4127" s="32">
        <v>44832.0</v>
      </c>
      <c r="T4127" s="29"/>
      <c r="U4127" s="33"/>
      <c r="V4127" s="1"/>
    </row>
    <row r="4128" ht="24.0" customHeight="1">
      <c r="A4128" s="1"/>
      <c r="B4128" s="24" t="str">
        <f>HYPERLINK("https://www.compass.com/listing/67-38-108th-street-unit-a53-queens-ny-11375/1075706829568408249/view?agent_id=610d3f3370540700019b0833","67-38 108th St, Unit A53")</f>
        <v>67-38 108th St, Unit A53</v>
      </c>
      <c r="C4128" s="25" t="s">
        <v>370</v>
      </c>
      <c r="D4128" s="26" t="s">
        <v>23</v>
      </c>
      <c r="E4128" s="27" t="str">
        <f>HYPERLINK("https://www.compass.com/building/67-38-108th-st-queens-ny-11375/293530282873597669/","67-38 108th St")</f>
        <v>67-38 108th St</v>
      </c>
      <c r="F4128" s="25" t="s">
        <v>83</v>
      </c>
      <c r="G4128" s="28">
        <v>469000.0</v>
      </c>
      <c r="H4128" s="29"/>
      <c r="I4128" s="28">
        <v>0.0</v>
      </c>
      <c r="J4128" s="28">
        <v>0.0</v>
      </c>
      <c r="K4128" s="25" t="s">
        <v>25</v>
      </c>
      <c r="L4128" s="26">
        <v>5.0</v>
      </c>
      <c r="M4128" s="26">
        <v>2.0</v>
      </c>
      <c r="N4128" s="26">
        <v>1.0</v>
      </c>
      <c r="O4128" s="30"/>
      <c r="P4128" s="30"/>
      <c r="Q4128" s="35">
        <v>166.0</v>
      </c>
      <c r="R4128" s="32">
        <v>45638.0</v>
      </c>
      <c r="S4128" s="32">
        <v>44760.0</v>
      </c>
      <c r="T4128" s="29"/>
      <c r="U4128" s="33"/>
      <c r="V4128" s="1"/>
    </row>
    <row r="4129" ht="24.0" customHeight="1">
      <c r="A4129" s="1"/>
      <c r="B4129" s="24" t="str">
        <f>HYPERLINK("https://www.compass.com/listing/73-14-springfield-boulevard-unit-l-queens-ny-11364/1236287189281501889/view?agent_id=610d3f3370540700019b0833","73-14 Springfield Blvd, Unit L")</f>
        <v>73-14 Springfield Blvd, Unit L</v>
      </c>
      <c r="C4129" s="25" t="s">
        <v>370</v>
      </c>
      <c r="D4129" s="26" t="s">
        <v>23</v>
      </c>
      <c r="E4129" s="26" t="s">
        <v>436</v>
      </c>
      <c r="F4129" s="25" t="s">
        <v>37</v>
      </c>
      <c r="G4129" s="28">
        <v>359999.0</v>
      </c>
      <c r="H4129" s="29"/>
      <c r="I4129" s="28">
        <v>961.0</v>
      </c>
      <c r="J4129" s="28">
        <v>11537.0</v>
      </c>
      <c r="K4129" s="25" t="s">
        <v>25</v>
      </c>
      <c r="L4129" s="26">
        <v>4.0</v>
      </c>
      <c r="M4129" s="26">
        <v>2.0</v>
      </c>
      <c r="N4129" s="26">
        <v>1.0</v>
      </c>
      <c r="O4129" s="26">
        <v>0.0</v>
      </c>
      <c r="P4129" s="30"/>
      <c r="Q4129" s="35">
        <v>181.0</v>
      </c>
      <c r="R4129" s="32">
        <v>45139.0</v>
      </c>
      <c r="S4129" s="32">
        <v>44957.0</v>
      </c>
      <c r="T4129" s="29"/>
      <c r="U4129" s="33"/>
      <c r="V4129" s="1"/>
    </row>
    <row r="4130" ht="24.0" customHeight="1">
      <c r="A4130" s="1"/>
      <c r="B4130" s="24" t="str">
        <f>HYPERLINK("https://www.compass.com/listing/73-14-springfield-boulevard-unit-lowr-queens-ny-11364/1299561299338391017/view?agent_id=610d3f3370540700019b0833","73-14 Springfield Blvd, Unit LOWR")</f>
        <v>73-14 Springfield Blvd, Unit LOWR</v>
      </c>
      <c r="C4130" s="25" t="s">
        <v>370</v>
      </c>
      <c r="D4130" s="26" t="s">
        <v>23</v>
      </c>
      <c r="E4130" s="26" t="s">
        <v>436</v>
      </c>
      <c r="F4130" s="25" t="s">
        <v>37</v>
      </c>
      <c r="G4130" s="28">
        <v>359999.0</v>
      </c>
      <c r="H4130" s="29"/>
      <c r="I4130" s="28">
        <v>0.0</v>
      </c>
      <c r="J4130" s="28">
        <v>0.0</v>
      </c>
      <c r="K4130" s="25" t="s">
        <v>25</v>
      </c>
      <c r="L4130" s="26">
        <v>4.0</v>
      </c>
      <c r="M4130" s="26">
        <v>2.0</v>
      </c>
      <c r="N4130" s="26">
        <v>1.0</v>
      </c>
      <c r="O4130" s="30"/>
      <c r="P4130" s="30"/>
      <c r="Q4130" s="35">
        <v>180.0</v>
      </c>
      <c r="R4130" s="32">
        <v>45597.0</v>
      </c>
      <c r="S4130" s="32">
        <v>44957.0</v>
      </c>
      <c r="T4130" s="29"/>
      <c r="U4130" s="33"/>
      <c r="V4130" s="1"/>
    </row>
    <row r="4131" ht="24.0" customHeight="1">
      <c r="A4131" s="1"/>
      <c r="B4131" s="24" t="str">
        <f>HYPERLINK("https://www.compass.com/listing/140-39-34th-avenue-unit-3m-queens-ny-11354/466112758028056089/view?agent_id=610d3f3370540700019b0833","140-39 34th Ave, Unit 3M")</f>
        <v>140-39 34th Ave, Unit 3M</v>
      </c>
      <c r="C4131" s="25" t="s">
        <v>370</v>
      </c>
      <c r="D4131" s="26" t="s">
        <v>23</v>
      </c>
      <c r="E4131" s="27" t="str">
        <f>HYPERLINK("https://www.compass.com/building/140-39-34th-ave-queens-ny-11354/307455694881920949/","140-39 34th Ave")</f>
        <v>140-39 34th Ave</v>
      </c>
      <c r="F4131" s="25" t="s">
        <v>185</v>
      </c>
      <c r="G4131" s="28">
        <v>389000.0</v>
      </c>
      <c r="H4131" s="28">
        <v>380.0</v>
      </c>
      <c r="I4131" s="28">
        <v>956.0</v>
      </c>
      <c r="J4131" s="28">
        <v>0.0</v>
      </c>
      <c r="K4131" s="25" t="s">
        <v>25</v>
      </c>
      <c r="L4131" s="26">
        <v>5.0</v>
      </c>
      <c r="M4131" s="26">
        <v>2.0</v>
      </c>
      <c r="N4131" s="26">
        <v>1.0</v>
      </c>
      <c r="O4131" s="26">
        <v>0.0</v>
      </c>
      <c r="P4131" s="34">
        <v>1024.0</v>
      </c>
      <c r="Q4131" s="35">
        <v>33.0</v>
      </c>
      <c r="R4131" s="32">
        <v>44111.0</v>
      </c>
      <c r="S4131" s="32">
        <v>43900.0</v>
      </c>
      <c r="T4131" s="29"/>
      <c r="U4131" s="33"/>
      <c r="V4131" s="1"/>
    </row>
    <row r="4132" ht="24.0" customHeight="1">
      <c r="A4132" s="1"/>
      <c r="B4132" s="24" t="str">
        <f>HYPERLINK("https://www.compass.com/listing/501-surf-avenue-unit-6e-brooklyn-ny-11224/1399278060025055937/view?agent_id=610d3f3370540700019b0833","501 Surf Ave, Unit 6E")</f>
        <v>501 Surf Ave, Unit 6E</v>
      </c>
      <c r="C4132" s="25" t="s">
        <v>370</v>
      </c>
      <c r="D4132" s="26" t="s">
        <v>23</v>
      </c>
      <c r="E4132" s="27" t="str">
        <f>HYPERLINK("https://www.compass.com/building/brightwater-towers-brooklyn-ny/294843377849785077/","Brightwater Towers")</f>
        <v>Brightwater Towers</v>
      </c>
      <c r="F4132" s="25" t="s">
        <v>183</v>
      </c>
      <c r="G4132" s="28">
        <v>549000.0</v>
      </c>
      <c r="H4132" s="28">
        <v>610.0</v>
      </c>
      <c r="I4132" s="28">
        <v>1047.0</v>
      </c>
      <c r="J4132" s="28">
        <v>1260.0</v>
      </c>
      <c r="K4132" s="25" t="s">
        <v>28</v>
      </c>
      <c r="L4132" s="26">
        <v>4.0</v>
      </c>
      <c r="M4132" s="26">
        <v>2.0</v>
      </c>
      <c r="N4132" s="26">
        <v>1.0</v>
      </c>
      <c r="O4132" s="26">
        <v>0.0</v>
      </c>
      <c r="P4132" s="26">
        <v>900.0</v>
      </c>
      <c r="Q4132" s="35">
        <v>140.0</v>
      </c>
      <c r="R4132" s="32">
        <v>45323.0</v>
      </c>
      <c r="S4132" s="32">
        <v>45182.0</v>
      </c>
      <c r="T4132" s="29"/>
      <c r="U4132" s="33"/>
      <c r="V4132" s="1"/>
    </row>
    <row r="4133" ht="24.0" customHeight="1">
      <c r="A4133" s="1"/>
      <c r="B4133" s="24" t="str">
        <f>HYPERLINK("https://www.compass.com/listing/76-30-springfield-boulevard-unit-u-queens-ny-11364/1065303604946671929/view?agent_id=610d3f3370540700019b0833","76-30 Springfield Blvd, Unit U")</f>
        <v>76-30 Springfield Blvd, Unit U</v>
      </c>
      <c r="C4133" s="25" t="s">
        <v>364</v>
      </c>
      <c r="D4133" s="26" t="s">
        <v>23</v>
      </c>
      <c r="E4133" s="26" t="s">
        <v>437</v>
      </c>
      <c r="F4133" s="25" t="s">
        <v>37</v>
      </c>
      <c r="G4133" s="28">
        <v>299999.0</v>
      </c>
      <c r="H4133" s="29"/>
      <c r="I4133" s="28">
        <v>653.0</v>
      </c>
      <c r="J4133" s="28">
        <v>0.0</v>
      </c>
      <c r="K4133" s="25" t="s">
        <v>25</v>
      </c>
      <c r="L4133" s="26">
        <v>4.0</v>
      </c>
      <c r="M4133" s="26">
        <v>2.0</v>
      </c>
      <c r="N4133" s="26">
        <v>1.0</v>
      </c>
      <c r="O4133" s="26">
        <v>0.0</v>
      </c>
      <c r="P4133" s="30"/>
      <c r="Q4133" s="35">
        <v>0.0</v>
      </c>
      <c r="R4133" s="32">
        <v>44721.0</v>
      </c>
      <c r="S4133" s="32">
        <v>44721.0</v>
      </c>
      <c r="T4133" s="29"/>
      <c r="U4133" s="33"/>
      <c r="V4133" s="1"/>
    </row>
    <row r="4134" ht="24.0" customHeight="1">
      <c r="A4134" s="1"/>
      <c r="B4134" s="24" t="str">
        <f>HYPERLINK("https://www.compass.com/listing/76-30-springfield-boulevard-unit-uppr-queens-ny-11364/1299531272987049929/view?agent_id=610d3f3370540700019b0833","76-30 Springfield Blvd, Unit UPPR")</f>
        <v>76-30 Springfield Blvd, Unit UPPR</v>
      </c>
      <c r="C4134" s="25" t="s">
        <v>370</v>
      </c>
      <c r="D4134" s="26" t="s">
        <v>23</v>
      </c>
      <c r="E4134" s="26" t="s">
        <v>437</v>
      </c>
      <c r="F4134" s="25" t="s">
        <v>37</v>
      </c>
      <c r="G4134" s="28">
        <v>299999.0</v>
      </c>
      <c r="H4134" s="29"/>
      <c r="I4134" s="28">
        <v>0.0</v>
      </c>
      <c r="J4134" s="28">
        <v>0.0</v>
      </c>
      <c r="K4134" s="25" t="s">
        <v>25</v>
      </c>
      <c r="L4134" s="26">
        <v>4.0</v>
      </c>
      <c r="M4134" s="26">
        <v>2.0</v>
      </c>
      <c r="N4134" s="26">
        <v>1.0</v>
      </c>
      <c r="O4134" s="30"/>
      <c r="P4134" s="30"/>
      <c r="Q4134" s="35">
        <v>122.0</v>
      </c>
      <c r="R4134" s="32">
        <v>45597.0</v>
      </c>
      <c r="S4134" s="32">
        <v>44721.0</v>
      </c>
      <c r="T4134" s="29"/>
      <c r="U4134" s="33"/>
      <c r="V4134" s="1"/>
    </row>
    <row r="4135" ht="24.0" customHeight="1">
      <c r="A4135" s="1"/>
      <c r="B4135" s="24" t="str">
        <f>HYPERLINK("https://www.compass.com/listing/220-19-75th-avenue-unit-u-queens-ny-11364/434706673954474777/view?agent_id=610d3f3370540700019b0833","220-19 75th Ave, Unit U")</f>
        <v>220-19 75th Ave, Unit U</v>
      </c>
      <c r="C4135" s="25" t="s">
        <v>364</v>
      </c>
      <c r="D4135" s="26" t="s">
        <v>23</v>
      </c>
      <c r="E4135" s="27" t="str">
        <f>HYPERLINK("https://www.compass.com/building/220-19-75th-ave-queens-ny-11364/307434329156067461/","220-19 75th Ave")</f>
        <v>220-19 75th Ave</v>
      </c>
      <c r="F4135" s="25" t="s">
        <v>37</v>
      </c>
      <c r="G4135" s="28">
        <v>359000.0</v>
      </c>
      <c r="H4135" s="29"/>
      <c r="I4135" s="28">
        <v>994.0</v>
      </c>
      <c r="J4135" s="28">
        <v>0.0</v>
      </c>
      <c r="K4135" s="25" t="s">
        <v>25</v>
      </c>
      <c r="L4135" s="26">
        <v>4.0</v>
      </c>
      <c r="M4135" s="26">
        <v>2.0</v>
      </c>
      <c r="N4135" s="26">
        <v>1.0</v>
      </c>
      <c r="O4135" s="30"/>
      <c r="P4135" s="30"/>
      <c r="Q4135" s="35">
        <v>110.0</v>
      </c>
      <c r="R4135" s="32">
        <v>44091.0</v>
      </c>
      <c r="S4135" s="32">
        <v>44039.0</v>
      </c>
      <c r="T4135" s="29"/>
      <c r="U4135" s="33"/>
      <c r="V4135" s="1"/>
    </row>
    <row r="4136" ht="24.0" customHeight="1">
      <c r="A4136" s="1"/>
      <c r="B4136" s="24" t="str">
        <f>HYPERLINK("https://www.compass.com/listing/217-12-67th-avenue-unit-l-queens-ny-11364/1154442490258149393/view?agent_id=610d3f3370540700019b0833","217-12 67th Ave, Unit L")</f>
        <v>217-12 67th Ave, Unit L</v>
      </c>
      <c r="C4136" s="25" t="s">
        <v>370</v>
      </c>
      <c r="D4136" s="26" t="s">
        <v>23</v>
      </c>
      <c r="E4136" s="26" t="s">
        <v>438</v>
      </c>
      <c r="F4136" s="25" t="s">
        <v>37</v>
      </c>
      <c r="G4136" s="28">
        <v>255000.0</v>
      </c>
      <c r="H4136" s="29"/>
      <c r="I4136" s="28">
        <v>788.0</v>
      </c>
      <c r="J4136" s="28">
        <v>0.0</v>
      </c>
      <c r="K4136" s="25" t="s">
        <v>25</v>
      </c>
      <c r="L4136" s="26">
        <v>5.0</v>
      </c>
      <c r="M4136" s="26">
        <v>2.0</v>
      </c>
      <c r="N4136" s="26">
        <v>1.0</v>
      </c>
      <c r="O4136" s="26">
        <v>0.0</v>
      </c>
      <c r="P4136" s="30"/>
      <c r="Q4136" s="35">
        <v>365.0</v>
      </c>
      <c r="R4136" s="32">
        <v>45210.0</v>
      </c>
      <c r="S4136" s="32">
        <v>44844.0</v>
      </c>
      <c r="T4136" s="29"/>
      <c r="U4136" s="33"/>
      <c r="V4136" s="1"/>
    </row>
    <row r="4137" ht="24.0" customHeight="1">
      <c r="A4137" s="1"/>
      <c r="B4137" s="24" t="str">
        <f>HYPERLINK("https://www.compass.com/listing/219-48-74th-avenue-unit-uppr-queens-ny-11364/1292179393593143689/view?agent_id=610d3f3370540700019b0833","219-48 74th Ave, Unit UPPR")</f>
        <v>219-48 74th Ave, Unit UPPR</v>
      </c>
      <c r="C4137" s="25" t="s">
        <v>370</v>
      </c>
      <c r="D4137" s="26" t="s">
        <v>23</v>
      </c>
      <c r="E4137" s="27" t="str">
        <f>HYPERLINK("https://www.compass.com/building/219-48-74th-ave-queens-ny-11364/307435851478513061/","219-48 74th Ave")</f>
        <v>219-48 74th Ave</v>
      </c>
      <c r="F4137" s="25" t="s">
        <v>37</v>
      </c>
      <c r="G4137" s="28">
        <v>250888.0</v>
      </c>
      <c r="H4137" s="29"/>
      <c r="I4137" s="28">
        <v>0.0</v>
      </c>
      <c r="J4137" s="28">
        <v>0.0</v>
      </c>
      <c r="K4137" s="25" t="s">
        <v>25</v>
      </c>
      <c r="L4137" s="26">
        <v>5.0</v>
      </c>
      <c r="M4137" s="26">
        <v>2.0</v>
      </c>
      <c r="N4137" s="26">
        <v>1.0</v>
      </c>
      <c r="O4137" s="30"/>
      <c r="P4137" s="30"/>
      <c r="Q4137" s="35">
        <v>365.0</v>
      </c>
      <c r="R4137" s="32">
        <v>45636.0</v>
      </c>
      <c r="S4137" s="32">
        <v>42643.0</v>
      </c>
      <c r="T4137" s="29"/>
      <c r="U4137" s="33"/>
      <c r="V4137" s="1"/>
    </row>
    <row r="4138" ht="24.0" customHeight="1">
      <c r="A4138" s="1"/>
      <c r="B4138" s="24" t="str">
        <f>HYPERLINK("https://www.compass.com/listing/220-40-75th-avenue-unit-uppr-queens-ny-11364/1730595008987117729/view?agent_id=610d3f3370540700019b0833","220-40 75th Ave, Unit UPPR")</f>
        <v>220-40 75th Ave, Unit UPPR</v>
      </c>
      <c r="C4138" s="25" t="s">
        <v>370</v>
      </c>
      <c r="D4138" s="26" t="s">
        <v>23</v>
      </c>
      <c r="E4138" s="27" t="str">
        <f>HYPERLINK("https://www.compass.com/building/220-40-75th-ave-queens-ny-11364/307439444487158389/","220-40 75th Ave")</f>
        <v>220-40 75th Ave</v>
      </c>
      <c r="F4138" s="25" t="s">
        <v>37</v>
      </c>
      <c r="G4138" s="28">
        <v>209813.0</v>
      </c>
      <c r="H4138" s="29"/>
      <c r="I4138" s="28">
        <v>0.0</v>
      </c>
      <c r="J4138" s="28">
        <v>0.0</v>
      </c>
      <c r="K4138" s="25" t="s">
        <v>25</v>
      </c>
      <c r="L4138" s="26">
        <v>5.0</v>
      </c>
      <c r="M4138" s="26">
        <v>2.0</v>
      </c>
      <c r="N4138" s="26">
        <v>1.0</v>
      </c>
      <c r="O4138" s="30"/>
      <c r="P4138" s="30"/>
      <c r="Q4138" s="35">
        <v>182.0</v>
      </c>
      <c r="R4138" s="32">
        <v>45597.0</v>
      </c>
      <c r="S4138" s="32">
        <v>41557.0</v>
      </c>
      <c r="T4138" s="29"/>
      <c r="U4138" s="33"/>
      <c r="V4138" s="1"/>
    </row>
    <row r="4139" ht="24.0" customHeight="1">
      <c r="A4139" s="1"/>
      <c r="B4139" s="24" t="str">
        <f>HYPERLINK("https://www.compass.com/listing/220-43-73rd-avenue-unit-uppr-queens-ny-11364/500860028367111289/view?agent_id=610d3f3370540700019b0833","220-43 73rd Ave, Unit UPPR")</f>
        <v>220-43 73rd Ave, Unit UPPR</v>
      </c>
      <c r="C4139" s="25" t="s">
        <v>370</v>
      </c>
      <c r="D4139" s="26" t="s">
        <v>23</v>
      </c>
      <c r="E4139" s="27" t="str">
        <f>HYPERLINK("https://www.compass.com/building/220-43-73rd-ave-queens-ny-11364/307440544284106981/","220-43 73rd Ave")</f>
        <v>220-43 73rd Ave</v>
      </c>
      <c r="F4139" s="25" t="s">
        <v>37</v>
      </c>
      <c r="G4139" s="28">
        <v>249500.0</v>
      </c>
      <c r="H4139" s="29"/>
      <c r="I4139" s="28">
        <v>0.0</v>
      </c>
      <c r="J4139" s="28">
        <v>0.0</v>
      </c>
      <c r="K4139" s="25" t="s">
        <v>25</v>
      </c>
      <c r="L4139" s="26">
        <v>5.0</v>
      </c>
      <c r="M4139" s="26">
        <v>2.0</v>
      </c>
      <c r="N4139" s="26">
        <v>1.0</v>
      </c>
      <c r="O4139" s="30"/>
      <c r="P4139" s="30"/>
      <c r="Q4139" s="35">
        <v>87.0</v>
      </c>
      <c r="R4139" s="32">
        <v>45597.0</v>
      </c>
      <c r="S4139" s="32">
        <v>42829.0</v>
      </c>
      <c r="T4139" s="29"/>
      <c r="U4139" s="33"/>
      <c r="V4139" s="1"/>
    </row>
    <row r="4140" ht="24.0" customHeight="1">
      <c r="A4140" s="1"/>
      <c r="B4140" s="24" t="str">
        <f>HYPERLINK("https://www.compass.com/listing/219-18-75th-avenue-unit-uppr-queens-ny-11364/1726793668039881225/view?agent_id=610d3f3370540700019b0833","219-18 75th Ave, Unit UPPR")</f>
        <v>219-18 75th Ave, Unit UPPR</v>
      </c>
      <c r="C4140" s="25" t="s">
        <v>370</v>
      </c>
      <c r="D4140" s="26" t="s">
        <v>23</v>
      </c>
      <c r="E4140" s="27" t="str">
        <f>HYPERLINK("https://www.compass.com/building/219-18-75th-ave-queens-ny-11364/307441159831863925/","219-18 75th Ave")</f>
        <v>219-18 75th Ave</v>
      </c>
      <c r="F4140" s="25" t="s">
        <v>37</v>
      </c>
      <c r="G4140" s="28">
        <v>213000.0</v>
      </c>
      <c r="H4140" s="29"/>
      <c r="I4140" s="28">
        <v>0.0</v>
      </c>
      <c r="J4140" s="28">
        <v>0.0</v>
      </c>
      <c r="K4140" s="25" t="s">
        <v>25</v>
      </c>
      <c r="L4140" s="26">
        <v>4.0</v>
      </c>
      <c r="M4140" s="26">
        <v>2.0</v>
      </c>
      <c r="N4140" s="26">
        <v>1.0</v>
      </c>
      <c r="O4140" s="30"/>
      <c r="P4140" s="30"/>
      <c r="Q4140" s="35">
        <v>365.0</v>
      </c>
      <c r="R4140" s="32">
        <v>45634.0</v>
      </c>
      <c r="S4140" s="32">
        <v>41886.0</v>
      </c>
      <c r="T4140" s="29"/>
      <c r="U4140" s="33"/>
      <c r="V4140" s="1"/>
    </row>
    <row r="4141" ht="24.0" customHeight="1">
      <c r="A4141" s="1"/>
      <c r="B4141" s="24" t="str">
        <f>HYPERLINK("https://www.compass.com/listing/73-16-220th-street-unit-uppr-queens-ny-11364/1730803189869004625/view?agent_id=610d3f3370540700019b0833","73-16 220th St, Unit UPPR")</f>
        <v>73-16 220th St, Unit UPPR</v>
      </c>
      <c r="C4141" s="25" t="s">
        <v>370</v>
      </c>
      <c r="D4141" s="26" t="s">
        <v>23</v>
      </c>
      <c r="E4141" s="27" t="str">
        <f>HYPERLINK("https://www.compass.com/building/73-16-220th-st-queens-ny-11364/567492750134237757/","73-16 220th St")</f>
        <v>73-16 220th St</v>
      </c>
      <c r="F4141" s="25" t="s">
        <v>37</v>
      </c>
      <c r="G4141" s="28">
        <v>210302.0</v>
      </c>
      <c r="H4141" s="29"/>
      <c r="I4141" s="28">
        <v>0.0</v>
      </c>
      <c r="J4141" s="28">
        <v>0.0</v>
      </c>
      <c r="K4141" s="25" t="s">
        <v>25</v>
      </c>
      <c r="L4141" s="26">
        <v>4.0</v>
      </c>
      <c r="M4141" s="26">
        <v>2.0</v>
      </c>
      <c r="N4141" s="26">
        <v>1.0</v>
      </c>
      <c r="O4141" s="30"/>
      <c r="P4141" s="30"/>
      <c r="Q4141" s="35">
        <v>183.0</v>
      </c>
      <c r="R4141" s="32">
        <v>45597.0</v>
      </c>
      <c r="S4141" s="32">
        <v>41079.0</v>
      </c>
      <c r="T4141" s="29"/>
      <c r="U4141" s="33"/>
      <c r="V4141" s="1"/>
    </row>
    <row r="4142" ht="24.0" customHeight="1">
      <c r="A4142" s="1"/>
      <c r="B4142" s="24" t="str">
        <f>HYPERLINK("https://www.compass.com/listing/73-70-springfield-boulevard-unit-u-queens-ny-11364/774501300682622065/view?agent_id=610d3f3370540700019b0833","73-70 Springfield Blvd, Unit U")</f>
        <v>73-70 Springfield Blvd, Unit U</v>
      </c>
      <c r="C4142" s="25" t="s">
        <v>364</v>
      </c>
      <c r="D4142" s="26" t="s">
        <v>23</v>
      </c>
      <c r="E4142" s="27" t="str">
        <f>HYPERLINK("https://www.compass.com/building/73-70-springfield-blvd-queens-ny-11364/381308801534430901/","73-70 Springfield Blvd")</f>
        <v>73-70 Springfield Blvd</v>
      </c>
      <c r="F4142" s="25" t="s">
        <v>37</v>
      </c>
      <c r="G4142" s="28">
        <v>299000.0</v>
      </c>
      <c r="H4142" s="29"/>
      <c r="I4142" s="28">
        <v>965.0</v>
      </c>
      <c r="J4142" s="28">
        <v>0.0</v>
      </c>
      <c r="K4142" s="25" t="s">
        <v>25</v>
      </c>
      <c r="L4142" s="26">
        <v>5.0</v>
      </c>
      <c r="M4142" s="26">
        <v>2.0</v>
      </c>
      <c r="N4142" s="26">
        <v>1.0</v>
      </c>
      <c r="O4142" s="26">
        <v>0.0</v>
      </c>
      <c r="P4142" s="30"/>
      <c r="Q4142" s="35">
        <v>135.0</v>
      </c>
      <c r="R4142" s="32">
        <v>44455.0</v>
      </c>
      <c r="S4142" s="32">
        <v>44320.0</v>
      </c>
      <c r="T4142" s="29"/>
      <c r="U4142" s="33"/>
      <c r="V4142" s="1"/>
    </row>
    <row r="4143" ht="24.0" customHeight="1">
      <c r="A4143" s="1"/>
      <c r="B4143" s="24" t="str">
        <f>HYPERLINK("https://www.compass.com/listing/444-neptune-avenue-unit-10b-brooklyn-ny-11224/560546389632206297/view?agent_id=610d3f3370540700019b0833","444 Neptune Ave, Unit 10B")</f>
        <v>444 Neptune Ave, Unit 10B</v>
      </c>
      <c r="C4143" s="25" t="s">
        <v>364</v>
      </c>
      <c r="D4143" s="26" t="s">
        <v>23</v>
      </c>
      <c r="E4143" s="27" t="str">
        <f>HYPERLINK("https://www.compass.com/building/444-neptune-ave-brooklyn-ny-11224/307451216866644581/","444 Neptune Ave")</f>
        <v>444 Neptune Ave</v>
      </c>
      <c r="F4143" s="25" t="s">
        <v>183</v>
      </c>
      <c r="G4143" s="28">
        <v>439000.0</v>
      </c>
      <c r="H4143" s="28">
        <v>450.0</v>
      </c>
      <c r="I4143" s="28">
        <v>709.0</v>
      </c>
      <c r="J4143" s="29"/>
      <c r="K4143" s="25" t="s">
        <v>25</v>
      </c>
      <c r="L4143" s="26">
        <v>4.0</v>
      </c>
      <c r="M4143" s="26">
        <v>2.0</v>
      </c>
      <c r="N4143" s="26">
        <v>1.0</v>
      </c>
      <c r="O4143" s="26">
        <v>0.0</v>
      </c>
      <c r="P4143" s="26">
        <v>975.0</v>
      </c>
      <c r="Q4143" s="35">
        <v>75.0</v>
      </c>
      <c r="R4143" s="32">
        <v>45636.0</v>
      </c>
      <c r="S4143" s="32">
        <v>44007.0</v>
      </c>
      <c r="T4143" s="29"/>
      <c r="U4143" s="33"/>
      <c r="V4143" s="1"/>
    </row>
    <row r="4144" ht="24.0" customHeight="1">
      <c r="A4144" s="1"/>
      <c r="B4144" s="24" t="str">
        <f>HYPERLINK("https://www.compass.com/listing/139-16-28th-road-unit-4c-queens-ny-11354/836251029677497489/view?agent_id=610d3f3370540700019b0833","139-16 28th Rd, Unit 4C")</f>
        <v>139-16 28th Rd, Unit 4C</v>
      </c>
      <c r="C4144" s="25" t="s">
        <v>365</v>
      </c>
      <c r="D4144" s="26" t="s">
        <v>23</v>
      </c>
      <c r="E4144" s="27" t="str">
        <f>HYPERLINK("https://www.compass.com/building/139-16-28th-rd-queens-ny-11354/307442116401332005/","139-16 28th Rd")</f>
        <v>139-16 28th Rd</v>
      </c>
      <c r="F4144" s="25" t="s">
        <v>185</v>
      </c>
      <c r="G4144" s="28">
        <v>328000.0</v>
      </c>
      <c r="H4144" s="29"/>
      <c r="I4144" s="28">
        <v>693.0</v>
      </c>
      <c r="J4144" s="28">
        <v>0.0</v>
      </c>
      <c r="K4144" s="25" t="s">
        <v>25</v>
      </c>
      <c r="L4144" s="26">
        <v>4.0</v>
      </c>
      <c r="M4144" s="26">
        <v>2.0</v>
      </c>
      <c r="N4144" s="26">
        <v>1.0</v>
      </c>
      <c r="O4144" s="26">
        <v>0.0</v>
      </c>
      <c r="P4144" s="30"/>
      <c r="Q4144" s="35">
        <v>44.0</v>
      </c>
      <c r="R4144" s="32">
        <v>44454.0</v>
      </c>
      <c r="S4144" s="32">
        <v>44410.0</v>
      </c>
      <c r="T4144" s="29"/>
      <c r="U4144" s="33"/>
      <c r="V4144" s="1"/>
    </row>
    <row r="4145" ht="24.0" customHeight="1">
      <c r="A4145" s="1"/>
      <c r="B4145" s="24" t="str">
        <f>HYPERLINK("https://www.compass.com/listing/2940-west-5th-street-unit-4f-brooklyn-ny-11224/1227682271432897801/view?agent_id=610d3f3370540700019b0833","2940 W 5th St, Unit 4F")</f>
        <v>2940 W 5th St, Unit 4F</v>
      </c>
      <c r="C4145" s="25" t="s">
        <v>364</v>
      </c>
      <c r="D4145" s="26" t="s">
        <v>23</v>
      </c>
      <c r="E4145" s="27" t="str">
        <f>HYPERLINK("https://www.compass.com/building/2940-w-5th-st-brooklyn-ny-11224/293527099900282709/","2940 W 5th St")</f>
        <v>2940 W 5th St</v>
      </c>
      <c r="F4145" s="25" t="s">
        <v>183</v>
      </c>
      <c r="G4145" s="28">
        <v>449000.0</v>
      </c>
      <c r="H4145" s="29"/>
      <c r="I4145" s="28">
        <v>895.0</v>
      </c>
      <c r="J4145" s="28">
        <v>0.0</v>
      </c>
      <c r="K4145" s="25" t="s">
        <v>25</v>
      </c>
      <c r="L4145" s="26">
        <v>4.0</v>
      </c>
      <c r="M4145" s="26">
        <v>2.0</v>
      </c>
      <c r="N4145" s="26">
        <v>1.0</v>
      </c>
      <c r="O4145" s="30"/>
      <c r="P4145" s="30"/>
      <c r="Q4145" s="35">
        <v>57.0</v>
      </c>
      <c r="R4145" s="32">
        <v>45003.0</v>
      </c>
      <c r="S4145" s="32">
        <v>44945.0</v>
      </c>
      <c r="T4145" s="29"/>
      <c r="U4145" s="33"/>
      <c r="V4145" s="1"/>
    </row>
    <row r="4146" ht="24.0" customHeight="1">
      <c r="A4146" s="1"/>
      <c r="B4146" s="24" t="str">
        <f>HYPERLINK("https://www.compass.com/listing/226-19-kingsbury-avenue-unit-b-queens-ny-11364/1236389762066842065/view?agent_id=610d3f3370540700019b0833","226-19 Kingsbury Ave, Unit B")</f>
        <v>226-19 Kingsbury Ave, Unit B</v>
      </c>
      <c r="C4146" s="25" t="s">
        <v>364</v>
      </c>
      <c r="D4146" s="26" t="s">
        <v>23</v>
      </c>
      <c r="E4146" s="26" t="s">
        <v>439</v>
      </c>
      <c r="F4146" s="25" t="s">
        <v>37</v>
      </c>
      <c r="G4146" s="28">
        <v>239000.0</v>
      </c>
      <c r="H4146" s="29"/>
      <c r="I4146" s="28">
        <v>1021.0</v>
      </c>
      <c r="J4146" s="28">
        <v>0.0</v>
      </c>
      <c r="K4146" s="25" t="s">
        <v>25</v>
      </c>
      <c r="L4146" s="26">
        <v>5.0</v>
      </c>
      <c r="M4146" s="26">
        <v>2.0</v>
      </c>
      <c r="N4146" s="26">
        <v>1.0</v>
      </c>
      <c r="O4146" s="26">
        <v>0.0</v>
      </c>
      <c r="P4146" s="30"/>
      <c r="Q4146" s="35">
        <v>390.0</v>
      </c>
      <c r="R4146" s="32">
        <v>45348.0</v>
      </c>
      <c r="S4146" s="32">
        <v>44957.0</v>
      </c>
      <c r="T4146" s="29"/>
      <c r="U4146" s="33"/>
      <c r="V4146" s="1"/>
    </row>
    <row r="4147" ht="24.0" customHeight="1">
      <c r="A4147" s="1"/>
      <c r="B4147" s="24" t="str">
        <f>HYPERLINK("https://www.compass.com/listing/68-67-218th-street-unit-uppr-queens-ny-11364/1299585056078247905/view?agent_id=610d3f3370540700019b0833","68-67 218th St, Unit UPPR")</f>
        <v>68-67 218th St, Unit UPPR</v>
      </c>
      <c r="C4147" s="25" t="s">
        <v>370</v>
      </c>
      <c r="D4147" s="26" t="s">
        <v>23</v>
      </c>
      <c r="E4147" s="27" t="str">
        <f>HYPERLINK("https://www.compass.com/building/68-67-218th-st-queens-ny-11364/307433435391889845/","68-67 218th St")</f>
        <v>68-67 218th St</v>
      </c>
      <c r="F4147" s="25" t="s">
        <v>37</v>
      </c>
      <c r="G4147" s="28">
        <v>290000.0</v>
      </c>
      <c r="H4147" s="29"/>
      <c r="I4147" s="28">
        <v>0.0</v>
      </c>
      <c r="J4147" s="28">
        <v>0.0</v>
      </c>
      <c r="K4147" s="25" t="s">
        <v>25</v>
      </c>
      <c r="L4147" s="26">
        <v>5.0</v>
      </c>
      <c r="M4147" s="26">
        <v>2.0</v>
      </c>
      <c r="N4147" s="26">
        <v>1.0</v>
      </c>
      <c r="O4147" s="30"/>
      <c r="P4147" s="30"/>
      <c r="Q4147" s="35">
        <v>365.0</v>
      </c>
      <c r="R4147" s="32">
        <v>45636.0</v>
      </c>
      <c r="S4147" s="32">
        <v>43209.0</v>
      </c>
      <c r="T4147" s="29"/>
      <c r="U4147" s="33"/>
      <c r="V4147" s="1"/>
    </row>
    <row r="4148" ht="24.0" customHeight="1">
      <c r="A4148" s="1"/>
      <c r="B4148" s="24" t="str">
        <f>HYPERLINK("https://www.compass.com/listing/76-30-springfield-boulevard-unit-uppr-queens-ny-11364/1299531272987049921/view?agent_id=610d3f3370540700019b0833","76-30 Springfield Blvd, Unit UPPR")</f>
        <v>76-30 Springfield Blvd, Unit UPPR</v>
      </c>
      <c r="C4148" s="25" t="s">
        <v>370</v>
      </c>
      <c r="D4148" s="26" t="s">
        <v>23</v>
      </c>
      <c r="E4148" s="26" t="s">
        <v>437</v>
      </c>
      <c r="F4148" s="25" t="s">
        <v>37</v>
      </c>
      <c r="G4148" s="28">
        <v>299999.0</v>
      </c>
      <c r="H4148" s="29"/>
      <c r="I4148" s="28">
        <v>0.0</v>
      </c>
      <c r="J4148" s="28">
        <v>0.0</v>
      </c>
      <c r="K4148" s="25" t="s">
        <v>25</v>
      </c>
      <c r="L4148" s="26">
        <v>4.0</v>
      </c>
      <c r="M4148" s="26">
        <v>2.0</v>
      </c>
      <c r="N4148" s="26">
        <v>1.0</v>
      </c>
      <c r="O4148" s="30"/>
      <c r="P4148" s="30"/>
      <c r="Q4148" s="35">
        <v>120.0</v>
      </c>
      <c r="R4148" s="32">
        <v>45597.0</v>
      </c>
      <c r="S4148" s="32">
        <v>44897.0</v>
      </c>
      <c r="T4148" s="29"/>
      <c r="U4148" s="33"/>
      <c r="V4148" s="1"/>
    </row>
    <row r="4149" ht="24.0" customHeight="1">
      <c r="A4149" s="1"/>
      <c r="B4149" s="24" t="str">
        <f>HYPERLINK("https://www.compass.com/listing/69-23-218th-street-unit-uppr-queens-ny-11364/1299563406833686769/view?agent_id=610d3f3370540700019b0833","69-23 218th St, Unit UPPR")</f>
        <v>69-23 218th St, Unit UPPR</v>
      </c>
      <c r="C4149" s="25" t="s">
        <v>370</v>
      </c>
      <c r="D4149" s="26" t="s">
        <v>23</v>
      </c>
      <c r="E4149" s="27" t="str">
        <f>HYPERLINK("https://www.compass.com/building/69-23-218th-st-queens-ny-11364/307438402353887093/","69-23 218th St")</f>
        <v>69-23 218th St</v>
      </c>
      <c r="F4149" s="25" t="s">
        <v>37</v>
      </c>
      <c r="G4149" s="28">
        <v>285000.0</v>
      </c>
      <c r="H4149" s="29"/>
      <c r="I4149" s="28">
        <v>0.0</v>
      </c>
      <c r="J4149" s="28">
        <v>0.0</v>
      </c>
      <c r="K4149" s="25" t="s">
        <v>25</v>
      </c>
      <c r="L4149" s="26">
        <v>5.0</v>
      </c>
      <c r="M4149" s="26">
        <v>2.0</v>
      </c>
      <c r="N4149" s="26">
        <v>1.0</v>
      </c>
      <c r="O4149" s="30"/>
      <c r="P4149" s="30"/>
      <c r="Q4149" s="35">
        <v>365.0</v>
      </c>
      <c r="R4149" s="32">
        <v>45636.0</v>
      </c>
      <c r="S4149" s="32">
        <v>43193.0</v>
      </c>
      <c r="T4149" s="29"/>
      <c r="U4149" s="33"/>
      <c r="V4149" s="1"/>
    </row>
    <row r="4150" ht="24.0" customHeight="1">
      <c r="A4150" s="1"/>
      <c r="B4150" s="24" t="str">
        <f>HYPERLINK("https://www.compass.com/listing/219-47-74th-avenue-unit-uppr-queens-ny-11364/1730728230366320993/view?agent_id=610d3f3370540700019b0833","219-47 74th Ave, Unit UPPR")</f>
        <v>219-47 74th Ave, Unit UPPR</v>
      </c>
      <c r="C4150" s="25" t="s">
        <v>370</v>
      </c>
      <c r="D4150" s="26" t="s">
        <v>23</v>
      </c>
      <c r="E4150" s="27" t="str">
        <f>HYPERLINK("https://www.compass.com/building/219-47-74th-ave-queens-ny-11364/344160550616811413/","219-47 74th Ave")</f>
        <v>219-47 74th Ave</v>
      </c>
      <c r="F4150" s="25" t="s">
        <v>37</v>
      </c>
      <c r="G4150" s="28">
        <v>232126.0</v>
      </c>
      <c r="H4150" s="29"/>
      <c r="I4150" s="28">
        <v>0.0</v>
      </c>
      <c r="J4150" s="28">
        <v>0.0</v>
      </c>
      <c r="K4150" s="25" t="s">
        <v>25</v>
      </c>
      <c r="L4150" s="26">
        <v>5.0</v>
      </c>
      <c r="M4150" s="26">
        <v>2.0</v>
      </c>
      <c r="N4150" s="26">
        <v>1.0</v>
      </c>
      <c r="O4150" s="30"/>
      <c r="P4150" s="30"/>
      <c r="Q4150" s="35">
        <v>365.0</v>
      </c>
      <c r="R4150" s="32">
        <v>45597.0</v>
      </c>
      <c r="S4150" s="32">
        <v>41647.0</v>
      </c>
      <c r="T4150" s="29"/>
      <c r="U4150" s="33"/>
      <c r="V4150" s="1"/>
    </row>
    <row r="4151" ht="24.0" customHeight="1">
      <c r="A4151" s="1"/>
      <c r="B4151" s="24" t="str">
        <f>HYPERLINK("https://www.compass.com/listing/76-30-springfield-boulevard-unit-uppr-queens-ny-11364/1764892536129081905/view?agent_id=610d3f3370540700019b0833","76-30 Springfield Blvd, Unit UPPR")</f>
        <v>76-30 Springfield Blvd, Unit UPPR</v>
      </c>
      <c r="C4151" s="25" t="s">
        <v>370</v>
      </c>
      <c r="D4151" s="26" t="s">
        <v>23</v>
      </c>
      <c r="E4151" s="26" t="s">
        <v>437</v>
      </c>
      <c r="F4151" s="25" t="s">
        <v>37</v>
      </c>
      <c r="G4151" s="28">
        <v>299999.0</v>
      </c>
      <c r="H4151" s="29"/>
      <c r="I4151" s="28">
        <v>0.0</v>
      </c>
      <c r="J4151" s="28">
        <v>0.0</v>
      </c>
      <c r="K4151" s="25" t="s">
        <v>25</v>
      </c>
      <c r="L4151" s="26">
        <v>4.0</v>
      </c>
      <c r="M4151" s="26">
        <v>2.0</v>
      </c>
      <c r="N4151" s="26">
        <v>1.0</v>
      </c>
      <c r="O4151" s="30"/>
      <c r="P4151" s="30"/>
      <c r="Q4151" s="35">
        <v>164.0</v>
      </c>
      <c r="R4151" s="32">
        <v>45597.0</v>
      </c>
      <c r="S4151" s="32">
        <v>44721.0</v>
      </c>
      <c r="T4151" s="29"/>
      <c r="U4151" s="33"/>
      <c r="V4151" s="1"/>
    </row>
    <row r="4152" ht="24.0" customHeight="1">
      <c r="A4152" s="1"/>
      <c r="B4152" s="24" t="str">
        <f>HYPERLINK("https://www.compass.com/listing/116-12-ocean-promenade-unit-313-queens-ny-11694/4852329945424203889/view?agent_id=610d3f3370540700019b0833","116-12 Ocean Promenade, Unit 313")</f>
        <v>116-12 Ocean Promenade, Unit 313</v>
      </c>
      <c r="C4152" s="25" t="s">
        <v>370</v>
      </c>
      <c r="D4152" s="26" t="s">
        <v>23</v>
      </c>
      <c r="E4152" s="27" t="str">
        <f>HYPERLINK("https://www.compass.com/building/116-12-ocean-promenade-queens-ny-11694/307458200500239989/","116-12 Ocean Promenade")</f>
        <v>116-12 Ocean Promenade</v>
      </c>
      <c r="F4152" s="25" t="s">
        <v>427</v>
      </c>
      <c r="G4152" s="28">
        <v>745000.0</v>
      </c>
      <c r="H4152" s="28">
        <v>564.0</v>
      </c>
      <c r="I4152" s="28">
        <v>573.0</v>
      </c>
      <c r="J4152" s="29"/>
      <c r="K4152" s="25" t="s">
        <v>28</v>
      </c>
      <c r="L4152" s="26">
        <v>5.0</v>
      </c>
      <c r="M4152" s="26">
        <v>2.0</v>
      </c>
      <c r="N4152" s="26">
        <v>0.0</v>
      </c>
      <c r="O4152" s="26">
        <v>0.0</v>
      </c>
      <c r="P4152" s="34">
        <v>1322.0</v>
      </c>
      <c r="Q4152" s="35">
        <v>0.0</v>
      </c>
      <c r="R4152" s="32">
        <v>44581.0</v>
      </c>
      <c r="S4152" s="32">
        <v>41538.0</v>
      </c>
      <c r="T4152" s="29"/>
      <c r="U4152" s="33"/>
      <c r="V4152" s="1"/>
    </row>
    <row r="4153" ht="24.0" customHeight="1">
      <c r="A4153" s="1"/>
      <c r="B4153" s="24" t="str">
        <f>HYPERLINK("https://www.compass.com/listing/76-30-springfield-boulevard-unit-u-queens-ny-11364/1073357773170510313/view?agent_id=610d3f3370540700019b0833","76-30 Springfield Blvd, Unit U")</f>
        <v>76-30 Springfield Blvd, Unit U</v>
      </c>
      <c r="C4153" s="25" t="s">
        <v>364</v>
      </c>
      <c r="D4153" s="26" t="s">
        <v>23</v>
      </c>
      <c r="E4153" s="26" t="s">
        <v>437</v>
      </c>
      <c r="F4153" s="25" t="s">
        <v>37</v>
      </c>
      <c r="G4153" s="28">
        <v>299999.0</v>
      </c>
      <c r="H4153" s="29"/>
      <c r="I4153" s="28">
        <v>653.0</v>
      </c>
      <c r="J4153" s="28">
        <v>7837.0</v>
      </c>
      <c r="K4153" s="25" t="s">
        <v>25</v>
      </c>
      <c r="L4153" s="26">
        <v>4.0</v>
      </c>
      <c r="M4153" s="26">
        <v>2.0</v>
      </c>
      <c r="N4153" s="26">
        <v>1.0</v>
      </c>
      <c r="O4153" s="26">
        <v>0.0</v>
      </c>
      <c r="P4153" s="30"/>
      <c r="Q4153" s="35">
        <v>192.0</v>
      </c>
      <c r="R4153" s="32">
        <v>45009.0</v>
      </c>
      <c r="S4153" s="32">
        <v>44732.0</v>
      </c>
      <c r="T4153" s="29"/>
      <c r="U4153" s="33"/>
      <c r="V4153" s="1"/>
    </row>
    <row r="4154" ht="24.0" customHeight="1">
      <c r="A4154" s="1"/>
      <c r="B4154" s="24" t="str">
        <f>HYPERLINK("https://www.compass.com/listing/515-avenue-i-unit-4g-brooklyn-ny-11230/1248219278398497801/view?agent_id=610d3f3370540700019b0833","515 Avenue I, Unit 4G")</f>
        <v>515 Avenue I, Unit 4G</v>
      </c>
      <c r="C4154" s="25" t="s">
        <v>364</v>
      </c>
      <c r="D4154" s="26" t="s">
        <v>23</v>
      </c>
      <c r="E4154" s="27" t="str">
        <f>HYPERLINK("https://www.compass.com/building/515-avenue-i-brooklyn-ny-11230/389274490446872165/","515 Avenue I")</f>
        <v>515 Avenue I</v>
      </c>
      <c r="F4154" s="25" t="s">
        <v>34</v>
      </c>
      <c r="G4154" s="28">
        <v>519999.0</v>
      </c>
      <c r="H4154" s="29"/>
      <c r="I4154" s="28">
        <v>793.0</v>
      </c>
      <c r="J4154" s="29"/>
      <c r="K4154" s="25" t="s">
        <v>25</v>
      </c>
      <c r="L4154" s="26">
        <v>4.0</v>
      </c>
      <c r="M4154" s="26">
        <v>2.0</v>
      </c>
      <c r="N4154" s="26">
        <v>1.0</v>
      </c>
      <c r="O4154" s="26">
        <v>0.0</v>
      </c>
      <c r="P4154" s="30"/>
      <c r="Q4154" s="31"/>
      <c r="R4154" s="32">
        <v>45636.0</v>
      </c>
      <c r="S4154" s="33"/>
      <c r="T4154" s="29"/>
      <c r="U4154" s="33"/>
      <c r="V4154" s="1"/>
    </row>
    <row r="4155" ht="24.0" customHeight="1">
      <c r="A4155" s="1"/>
      <c r="B4155" s="24" t="str">
        <f>HYPERLINK("https://www.compass.com/listing/224-01-kingsbury-avenue-unit-b-queens-ny-11364/1292231376421395105/view?agent_id=610d3f3370540700019b0833","224-01 Kingsbury Ave, Unit B")</f>
        <v>224-01 Kingsbury Ave, Unit B</v>
      </c>
      <c r="C4155" s="25" t="s">
        <v>370</v>
      </c>
      <c r="D4155" s="26" t="s">
        <v>23</v>
      </c>
      <c r="E4155" s="27" t="str">
        <f t="shared" ref="E4155:E4156" si="168">HYPERLINK("https://www.compass.com/building/224-01-kingsbury-ave-queens-ny-11364/307452324498549573/","224-01 Kingsbury Ave")</f>
        <v>224-01 Kingsbury Ave</v>
      </c>
      <c r="F4155" s="25" t="s">
        <v>37</v>
      </c>
      <c r="G4155" s="28">
        <v>369000.0</v>
      </c>
      <c r="H4155" s="29"/>
      <c r="I4155" s="28">
        <v>876.0</v>
      </c>
      <c r="J4155" s="29"/>
      <c r="K4155" s="25" t="s">
        <v>25</v>
      </c>
      <c r="L4155" s="26">
        <v>5.0</v>
      </c>
      <c r="M4155" s="26">
        <v>2.0</v>
      </c>
      <c r="N4155" s="26">
        <v>1.0</v>
      </c>
      <c r="O4155" s="30"/>
      <c r="P4155" s="30"/>
      <c r="Q4155" s="35">
        <v>448.0</v>
      </c>
      <c r="R4155" s="32">
        <v>45027.0</v>
      </c>
      <c r="S4155" s="32">
        <v>44075.0</v>
      </c>
      <c r="T4155" s="29"/>
      <c r="U4155" s="33"/>
      <c r="V4155" s="1"/>
    </row>
    <row r="4156" ht="24.0" customHeight="1">
      <c r="A4156" s="1"/>
      <c r="B4156" s="24" t="str">
        <f>HYPERLINK("https://www.compass.com/listing/224-01-kingsbury-avenue-unit-b-queens-ny-11364/1709601738022353353/view?agent_id=610d3f3370540700019b0833","224-01 Kingsbury Ave, Unit B")</f>
        <v>224-01 Kingsbury Ave, Unit B</v>
      </c>
      <c r="C4156" s="25" t="s">
        <v>370</v>
      </c>
      <c r="D4156" s="26" t="s">
        <v>23</v>
      </c>
      <c r="E4156" s="27" t="str">
        <f t="shared" si="168"/>
        <v>224-01 Kingsbury Ave</v>
      </c>
      <c r="F4156" s="25" t="s">
        <v>37</v>
      </c>
      <c r="G4156" s="28">
        <v>379000.0</v>
      </c>
      <c r="H4156" s="29"/>
      <c r="I4156" s="28">
        <v>0.0</v>
      </c>
      <c r="J4156" s="28">
        <v>0.0</v>
      </c>
      <c r="K4156" s="25" t="s">
        <v>25</v>
      </c>
      <c r="L4156" s="26">
        <v>5.0</v>
      </c>
      <c r="M4156" s="26">
        <v>2.0</v>
      </c>
      <c r="N4156" s="26">
        <v>1.0</v>
      </c>
      <c r="O4156" s="30"/>
      <c r="P4156" s="30"/>
      <c r="Q4156" s="35">
        <v>365.0</v>
      </c>
      <c r="R4156" s="32">
        <v>45597.0</v>
      </c>
      <c r="S4156" s="32">
        <v>44075.0</v>
      </c>
      <c r="T4156" s="29"/>
      <c r="U4156" s="33"/>
      <c r="V4156" s="1"/>
    </row>
    <row r="4157" ht="24.0" customHeight="1">
      <c r="A4157" s="1"/>
      <c r="B4157" s="24" t="str">
        <f>HYPERLINK("https://www.compass.com/listing/73-35-210th-street-unit-6e-queens-ny-11364/469434737216998425/view?agent_id=610d3f3370540700019b0833","73-35 210th St, Unit 6E")</f>
        <v>73-35 210th St, Unit 6E</v>
      </c>
      <c r="C4157" s="25" t="s">
        <v>364</v>
      </c>
      <c r="D4157" s="26" t="s">
        <v>23</v>
      </c>
      <c r="E4157" s="27" t="str">
        <f>HYPERLINK("https://www.compass.com/building/73-35-210th-st-queens-ny-11364/567838141447108829/","73-35 210th St")</f>
        <v>73-35 210th St</v>
      </c>
      <c r="F4157" s="25" t="s">
        <v>37</v>
      </c>
      <c r="G4157" s="28">
        <v>365555.0</v>
      </c>
      <c r="H4157" s="29"/>
      <c r="I4157" s="28">
        <v>865.0</v>
      </c>
      <c r="J4157" s="28">
        <v>0.0</v>
      </c>
      <c r="K4157" s="25" t="s">
        <v>25</v>
      </c>
      <c r="L4157" s="26">
        <v>5.0</v>
      </c>
      <c r="M4157" s="26">
        <v>2.0</v>
      </c>
      <c r="N4157" s="26">
        <v>1.0</v>
      </c>
      <c r="O4157" s="26">
        <v>0.0</v>
      </c>
      <c r="P4157" s="30"/>
      <c r="Q4157" s="31"/>
      <c r="R4157" s="32">
        <v>44152.0</v>
      </c>
      <c r="S4157" s="33"/>
      <c r="T4157" s="29"/>
      <c r="U4157" s="33"/>
      <c r="V4157" s="1"/>
    </row>
    <row r="4158" ht="24.0" customHeight="1">
      <c r="A4158" s="1"/>
      <c r="B4158" s="24" t="str">
        <f>HYPERLINK("https://www.compass.com/listing/75-29-217th-street-unit-u-queens-ny-11364/465112295057031297/view?agent_id=610d3f3370540700019b0833","75-29 217th St, Unit U")</f>
        <v>75-29 217th St, Unit U</v>
      </c>
      <c r="C4158" s="25" t="s">
        <v>364</v>
      </c>
      <c r="D4158" s="26" t="s">
        <v>23</v>
      </c>
      <c r="E4158" s="27" t="str">
        <f>HYPERLINK("https://www.compass.com/building/75-29-217th-st-queens-ny-11364/467398877097231781/","75-29 217th St")</f>
        <v>75-29 217th St</v>
      </c>
      <c r="F4158" s="25" t="s">
        <v>37</v>
      </c>
      <c r="G4158" s="28">
        <v>339000.0</v>
      </c>
      <c r="H4158" s="29"/>
      <c r="I4158" s="28">
        <v>882.0</v>
      </c>
      <c r="J4158" s="28">
        <v>0.0</v>
      </c>
      <c r="K4158" s="25" t="s">
        <v>25</v>
      </c>
      <c r="L4158" s="26">
        <v>4.0</v>
      </c>
      <c r="M4158" s="26">
        <v>2.0</v>
      </c>
      <c r="N4158" s="26">
        <v>1.0</v>
      </c>
      <c r="O4158" s="26">
        <v>0.0</v>
      </c>
      <c r="P4158" s="30"/>
      <c r="Q4158" s="35">
        <v>160.0</v>
      </c>
      <c r="R4158" s="32">
        <v>44147.0</v>
      </c>
      <c r="S4158" s="32">
        <v>43893.0</v>
      </c>
      <c r="T4158" s="29"/>
      <c r="U4158" s="33"/>
      <c r="V4158" s="1"/>
    </row>
    <row r="4159" ht="24.0" customHeight="1">
      <c r="A4159" s="1"/>
      <c r="B4159" s="24" t="str">
        <f>HYPERLINK("https://www.compass.com/listing/34-20-parsons-boulevard-unit-6j-queens-ny-11354/565832177336946473/view?agent_id=610d3f3370540700019b0833","34-20 Parsons Blvd, Unit 6J")</f>
        <v>34-20 Parsons Blvd, Unit 6J</v>
      </c>
      <c r="C4159" s="25" t="s">
        <v>370</v>
      </c>
      <c r="D4159" s="26" t="s">
        <v>23</v>
      </c>
      <c r="E4159" s="27" t="str">
        <f>HYPERLINK("https://www.compass.com/building/34-20-parsons-blvd-queens-ny-11354/293527726621562373/","34-20 Parsons Blvd")</f>
        <v>34-20 Parsons Blvd</v>
      </c>
      <c r="F4159" s="25" t="s">
        <v>185</v>
      </c>
      <c r="G4159" s="28">
        <v>468000.0</v>
      </c>
      <c r="H4159" s="29"/>
      <c r="I4159" s="28">
        <v>0.0</v>
      </c>
      <c r="J4159" s="28">
        <v>0.0</v>
      </c>
      <c r="K4159" s="25" t="s">
        <v>25</v>
      </c>
      <c r="L4159" s="26">
        <v>5.0</v>
      </c>
      <c r="M4159" s="26">
        <v>2.0</v>
      </c>
      <c r="N4159" s="26">
        <v>1.0</v>
      </c>
      <c r="O4159" s="30"/>
      <c r="P4159" s="30"/>
      <c r="Q4159" s="35">
        <v>195.0</v>
      </c>
      <c r="R4159" s="32">
        <v>45597.0</v>
      </c>
      <c r="S4159" s="32">
        <v>44032.0</v>
      </c>
      <c r="T4159" s="29"/>
      <c r="U4159" s="33"/>
      <c r="V4159" s="1"/>
    </row>
    <row r="4160" ht="24.0" customHeight="1">
      <c r="A4160" s="1"/>
      <c r="B4160" s="24" t="str">
        <f>HYPERLINK("https://www.compass.com/listing/116-12-ocean-promenade-unit-513-queens-ny-11694/4852329944946053153/view?agent_id=610d3f3370540700019b0833","116-12 Ocean Promenade, Unit 513")</f>
        <v>116-12 Ocean Promenade, Unit 513</v>
      </c>
      <c r="C4160" s="25" t="s">
        <v>370</v>
      </c>
      <c r="D4160" s="26" t="s">
        <v>23</v>
      </c>
      <c r="E4160" s="27" t="str">
        <f>HYPERLINK("https://www.compass.com/building/116-12-ocean-promenade-queens-ny-11694/307458200500239989/","116-12 Ocean Promenade")</f>
        <v>116-12 Ocean Promenade</v>
      </c>
      <c r="F4160" s="25" t="s">
        <v>427</v>
      </c>
      <c r="G4160" s="28">
        <v>785000.0</v>
      </c>
      <c r="H4160" s="28">
        <v>596.0</v>
      </c>
      <c r="I4160" s="28">
        <v>572.0</v>
      </c>
      <c r="J4160" s="29"/>
      <c r="K4160" s="25" t="s">
        <v>28</v>
      </c>
      <c r="L4160" s="26">
        <v>5.0</v>
      </c>
      <c r="M4160" s="26">
        <v>2.0</v>
      </c>
      <c r="N4160" s="26">
        <v>0.0</v>
      </c>
      <c r="O4160" s="26">
        <v>0.0</v>
      </c>
      <c r="P4160" s="34">
        <v>1318.0</v>
      </c>
      <c r="Q4160" s="35">
        <v>0.0</v>
      </c>
      <c r="R4160" s="32">
        <v>44581.0</v>
      </c>
      <c r="S4160" s="32">
        <v>41538.0</v>
      </c>
      <c r="T4160" s="29"/>
      <c r="U4160" s="33"/>
      <c r="V4160" s="1"/>
    </row>
    <row r="4161" ht="24.0" customHeight="1">
      <c r="A4161" s="1"/>
      <c r="B4161" s="24" t="str">
        <f>HYPERLINK("https://www.compass.com/listing/219-25-75th-avenue-unit-l-queens-ny-11364/730390880852894049/view?agent_id=610d3f3370540700019b0833","219-25 75th Ave, Unit L")</f>
        <v>219-25 75th Ave, Unit L</v>
      </c>
      <c r="C4161" s="25" t="s">
        <v>364</v>
      </c>
      <c r="D4161" s="26" t="s">
        <v>23</v>
      </c>
      <c r="E4161" s="26" t="s">
        <v>440</v>
      </c>
      <c r="F4161" s="25" t="s">
        <v>37</v>
      </c>
      <c r="G4161" s="28">
        <v>369000.0</v>
      </c>
      <c r="H4161" s="29"/>
      <c r="I4161" s="28">
        <v>1016.0</v>
      </c>
      <c r="J4161" s="28">
        <v>258.0</v>
      </c>
      <c r="K4161" s="25" t="s">
        <v>25</v>
      </c>
      <c r="L4161" s="26">
        <v>5.0</v>
      </c>
      <c r="M4161" s="26">
        <v>2.0</v>
      </c>
      <c r="N4161" s="26">
        <v>1.0</v>
      </c>
      <c r="O4161" s="26">
        <v>0.0</v>
      </c>
      <c r="P4161" s="30"/>
      <c r="Q4161" s="31"/>
      <c r="R4161" s="32">
        <v>44263.0</v>
      </c>
      <c r="S4161" s="33"/>
      <c r="T4161" s="29"/>
      <c r="U4161" s="33"/>
      <c r="V4161" s="1"/>
    </row>
    <row r="4162" ht="24.0" customHeight="1">
      <c r="A4162" s="1"/>
      <c r="B4162" s="24" t="str">
        <f>HYPERLINK("https://www.compass.com/listing/219-05-75th-avenue-unit-lowr-queens-ny-11364/1299619506689655649/view?agent_id=610d3f3370540700019b0833","219-05 75th Ave, Unit LOWR")</f>
        <v>219-05 75th Ave, Unit LOWR</v>
      </c>
      <c r="C4162" s="25" t="s">
        <v>370</v>
      </c>
      <c r="D4162" s="26" t="s">
        <v>23</v>
      </c>
      <c r="E4162" s="27" t="str">
        <f>HYPERLINK("https://www.compass.com/building/219-05-75th-ave-queens-ny-11364/445080773563944845/","219-05 75th Ave")</f>
        <v>219-05 75th Ave</v>
      </c>
      <c r="F4162" s="25" t="s">
        <v>37</v>
      </c>
      <c r="G4162" s="28">
        <v>335000.0</v>
      </c>
      <c r="H4162" s="29"/>
      <c r="I4162" s="28">
        <v>0.0</v>
      </c>
      <c r="J4162" s="28">
        <v>0.0</v>
      </c>
      <c r="K4162" s="25" t="s">
        <v>25</v>
      </c>
      <c r="L4162" s="26">
        <v>5.0</v>
      </c>
      <c r="M4162" s="26">
        <v>2.0</v>
      </c>
      <c r="N4162" s="26">
        <v>1.0</v>
      </c>
      <c r="O4162" s="30"/>
      <c r="P4162" s="30"/>
      <c r="Q4162" s="35">
        <v>361.0</v>
      </c>
      <c r="R4162" s="32">
        <v>45597.0</v>
      </c>
      <c r="S4162" s="32">
        <v>43409.0</v>
      </c>
      <c r="T4162" s="29"/>
      <c r="U4162" s="33"/>
      <c r="V4162" s="1"/>
    </row>
    <row r="4163" ht="24.0" customHeight="1">
      <c r="A4163" s="1"/>
      <c r="B4163" s="24" t="str">
        <f>HYPERLINK("https://www.compass.com/listing/219-68-67th-avenue-unit-duplex-queens-ny-11364/424451180263898865/view?agent_id=610d3f3370540700019b0833","219-68 67th Ave, Unit DUPLEX")</f>
        <v>219-68 67th Ave, Unit DUPLEX</v>
      </c>
      <c r="C4163" s="25" t="s">
        <v>370</v>
      </c>
      <c r="D4163" s="26" t="s">
        <v>23</v>
      </c>
      <c r="E4163" s="27" t="str">
        <f>HYPERLINK("https://www.compass.com/building/219-68-67th-ave-queens-ny-11364/455675174835073965/","219-68 67th Ave")</f>
        <v>219-68 67th Ave</v>
      </c>
      <c r="F4163" s="25" t="s">
        <v>37</v>
      </c>
      <c r="G4163" s="28">
        <v>376000.0</v>
      </c>
      <c r="H4163" s="29"/>
      <c r="I4163" s="28">
        <v>625.0</v>
      </c>
      <c r="J4163" s="28">
        <v>0.0</v>
      </c>
      <c r="K4163" s="25" t="s">
        <v>25</v>
      </c>
      <c r="L4163" s="26">
        <v>5.0</v>
      </c>
      <c r="M4163" s="26">
        <v>2.0</v>
      </c>
      <c r="N4163" s="26">
        <v>1.0</v>
      </c>
      <c r="O4163" s="26">
        <v>0.0</v>
      </c>
      <c r="P4163" s="30"/>
      <c r="Q4163" s="35">
        <v>177.0</v>
      </c>
      <c r="R4163" s="32">
        <v>44109.0</v>
      </c>
      <c r="S4163" s="32">
        <v>43837.0</v>
      </c>
      <c r="T4163" s="29"/>
      <c r="U4163" s="33"/>
      <c r="V4163" s="1"/>
    </row>
    <row r="4164" ht="24.0" customHeight="1">
      <c r="A4164" s="1"/>
      <c r="B4164" s="24" t="str">
        <f>HYPERLINK("https://www.compass.com/listing/218-04-73rd-avenue-unit-lowr-queens-ny-11364/500856568127302753/view?agent_id=610d3f3370540700019b0833","218-04 73rd Avenue, Unit LOWR")</f>
        <v>218-04 73rd Avenue, Unit LOWR</v>
      </c>
      <c r="C4164" s="25" t="s">
        <v>370</v>
      </c>
      <c r="D4164" s="26" t="s">
        <v>23</v>
      </c>
      <c r="E4164" s="27" t="str">
        <f>HYPERLINK("https://www.compass.com/building/218-04-73rd-ave-queens-ny-11364/567833587665891381/","218-04 73rd Ave")</f>
        <v>218-04 73rd Ave</v>
      </c>
      <c r="F4164" s="25" t="s">
        <v>37</v>
      </c>
      <c r="G4164" s="28">
        <v>289700.0</v>
      </c>
      <c r="H4164" s="29"/>
      <c r="I4164" s="28">
        <v>0.0</v>
      </c>
      <c r="J4164" s="28">
        <v>0.0</v>
      </c>
      <c r="K4164" s="25" t="s">
        <v>25</v>
      </c>
      <c r="L4164" s="26">
        <v>5.0</v>
      </c>
      <c r="M4164" s="26">
        <v>2.0</v>
      </c>
      <c r="N4164" s="26">
        <v>1.0</v>
      </c>
      <c r="O4164" s="30"/>
      <c r="P4164" s="30"/>
      <c r="Q4164" s="35">
        <v>365.0</v>
      </c>
      <c r="R4164" s="32">
        <v>45636.0</v>
      </c>
      <c r="S4164" s="32">
        <v>43171.0</v>
      </c>
      <c r="T4164" s="29"/>
      <c r="U4164" s="33"/>
      <c r="V4164" s="1"/>
    </row>
    <row r="4165" ht="24.0" customHeight="1">
      <c r="A4165" s="1"/>
      <c r="B4165" s="24" t="str">
        <f>HYPERLINK("https://www.compass.com/listing/219-61-219th-street-unit-u-queens-ny-11364/557977722054545857/view?agent_id=610d3f3370540700019b0833","219-61 219th Street, Unit U")</f>
        <v>219-61 219th Street, Unit U</v>
      </c>
      <c r="C4165" s="25" t="s">
        <v>364</v>
      </c>
      <c r="D4165" s="26" t="s">
        <v>23</v>
      </c>
      <c r="E4165" s="27" t="str">
        <f>HYPERLINK("https://www.compass.com/building/219-61-219th-st-queens-ny-11364/567740339110730461/","219-61 219th St")</f>
        <v>219-61 219th St</v>
      </c>
      <c r="F4165" s="25" t="s">
        <v>37</v>
      </c>
      <c r="G4165" s="28">
        <v>349900.0</v>
      </c>
      <c r="H4165" s="29"/>
      <c r="I4165" s="28">
        <v>994.0</v>
      </c>
      <c r="J4165" s="28">
        <v>0.0</v>
      </c>
      <c r="K4165" s="25" t="s">
        <v>25</v>
      </c>
      <c r="L4165" s="26">
        <v>5.0</v>
      </c>
      <c r="M4165" s="26">
        <v>2.0</v>
      </c>
      <c r="N4165" s="26">
        <v>1.0</v>
      </c>
      <c r="O4165" s="26">
        <v>0.0</v>
      </c>
      <c r="P4165" s="30"/>
      <c r="Q4165" s="35">
        <v>234.0</v>
      </c>
      <c r="R4165" s="32">
        <v>44392.0</v>
      </c>
      <c r="S4165" s="32">
        <v>44155.0</v>
      </c>
      <c r="T4165" s="28">
        <v>349900.0</v>
      </c>
      <c r="U4165" s="32">
        <v>44390.0</v>
      </c>
      <c r="V4165" s="1"/>
    </row>
    <row r="4166" ht="24.0" customHeight="1">
      <c r="A4166" s="1"/>
      <c r="B4166" s="24" t="str">
        <f>HYPERLINK("https://www.compass.com/listing/116-12-ocean-promenade-unit-613-queens-ny-11694/4852330146792737505/view?agent_id=610d3f3370540700019b0833","116-12 Ocean Promenade, Unit 613")</f>
        <v>116-12 Ocean Promenade, Unit 613</v>
      </c>
      <c r="C4166" s="25" t="s">
        <v>370</v>
      </c>
      <c r="D4166" s="26" t="s">
        <v>23</v>
      </c>
      <c r="E4166" s="27" t="str">
        <f>HYPERLINK("https://www.compass.com/building/116-12-ocean-promenade-queens-ny-11694/307458200500239989/","116-12 Ocean Promenade")</f>
        <v>116-12 Ocean Promenade</v>
      </c>
      <c r="F4166" s="25" t="s">
        <v>427</v>
      </c>
      <c r="G4166" s="28">
        <v>860000.0</v>
      </c>
      <c r="H4166" s="28">
        <v>653.0</v>
      </c>
      <c r="I4166" s="28">
        <v>572.0</v>
      </c>
      <c r="J4166" s="29"/>
      <c r="K4166" s="25" t="s">
        <v>28</v>
      </c>
      <c r="L4166" s="26">
        <v>5.0</v>
      </c>
      <c r="M4166" s="26">
        <v>2.0</v>
      </c>
      <c r="N4166" s="26">
        <v>0.0</v>
      </c>
      <c r="O4166" s="26">
        <v>0.0</v>
      </c>
      <c r="P4166" s="34">
        <v>1318.0</v>
      </c>
      <c r="Q4166" s="35">
        <v>0.0</v>
      </c>
      <c r="R4166" s="32">
        <v>44581.0</v>
      </c>
      <c r="S4166" s="32">
        <v>41538.0</v>
      </c>
      <c r="T4166" s="29"/>
      <c r="U4166" s="33"/>
      <c r="V4166" s="1"/>
    </row>
    <row r="4167" ht="24.0" customHeight="1">
      <c r="A4167" s="1"/>
      <c r="B4167" s="24" t="str">
        <f>HYPERLINK("https://www.compass.com/listing/501-surf-avenue-unit-6e-brooklyn-ny-11224/1222578979491937553/view?agent_id=610d3f3370540700019b0833","501 Surf Avenue, Unit 6E")</f>
        <v>501 Surf Avenue, Unit 6E</v>
      </c>
      <c r="C4167" s="25" t="s">
        <v>370</v>
      </c>
      <c r="D4167" s="26" t="s">
        <v>23</v>
      </c>
      <c r="E4167" s="27" t="str">
        <f>HYPERLINK("https://www.compass.com/building/brightwater-towers-brooklyn-ny/294843377849785077/","Brightwater Towers")</f>
        <v>Brightwater Towers</v>
      </c>
      <c r="F4167" s="25" t="s">
        <v>183</v>
      </c>
      <c r="G4167" s="28">
        <v>554000.0</v>
      </c>
      <c r="H4167" s="28">
        <v>568.0</v>
      </c>
      <c r="I4167" s="28">
        <v>1047.0</v>
      </c>
      <c r="J4167" s="28">
        <v>1260.0</v>
      </c>
      <c r="K4167" s="25" t="s">
        <v>28</v>
      </c>
      <c r="L4167" s="26">
        <v>4.0</v>
      </c>
      <c r="M4167" s="26">
        <v>2.0</v>
      </c>
      <c r="N4167" s="26">
        <v>1.0</v>
      </c>
      <c r="O4167" s="26">
        <v>0.0</v>
      </c>
      <c r="P4167" s="26">
        <v>975.0</v>
      </c>
      <c r="Q4167" s="35">
        <v>143.0</v>
      </c>
      <c r="R4167" s="32">
        <v>45094.0</v>
      </c>
      <c r="S4167" s="32">
        <v>44938.0</v>
      </c>
      <c r="T4167" s="29"/>
      <c r="U4167" s="33"/>
      <c r="V4167" s="1"/>
    </row>
    <row r="4168" ht="24.0" customHeight="1">
      <c r="A4168" s="1"/>
      <c r="B4168" s="24" t="str">
        <f>HYPERLINK("https://www.compass.com/listing/901-avenue-h-unit-1e-brooklyn-ny-11230/734143565804809465/view?agent_id=610d3f3370540700019b0833","901 Avenue H, Unit 1E")</f>
        <v>901 Avenue H, Unit 1E</v>
      </c>
      <c r="C4168" s="25" t="s">
        <v>365</v>
      </c>
      <c r="D4168" s="26" t="s">
        <v>23</v>
      </c>
      <c r="E4168" s="27" t="str">
        <f>HYPERLINK("https://www.compass.com/building/901-avenue-h-brooklyn-ny-11230/389265154077189477/","901 Avenue H")</f>
        <v>901 Avenue H</v>
      </c>
      <c r="F4168" s="25" t="s">
        <v>34</v>
      </c>
      <c r="G4168" s="28">
        <v>360000.0</v>
      </c>
      <c r="H4168" s="29"/>
      <c r="I4168" s="28">
        <v>872.0</v>
      </c>
      <c r="J4168" s="28">
        <v>0.0</v>
      </c>
      <c r="K4168" s="25" t="s">
        <v>25</v>
      </c>
      <c r="L4168" s="26">
        <v>5.0</v>
      </c>
      <c r="M4168" s="26">
        <v>2.0</v>
      </c>
      <c r="N4168" s="26">
        <v>1.0</v>
      </c>
      <c r="O4168" s="30"/>
      <c r="P4168" s="30"/>
      <c r="Q4168" s="35">
        <v>91.0</v>
      </c>
      <c r="R4168" s="32">
        <v>44501.0</v>
      </c>
      <c r="S4168" s="32">
        <v>44264.0</v>
      </c>
      <c r="T4168" s="29"/>
      <c r="U4168" s="33"/>
      <c r="V4168" s="1"/>
    </row>
    <row r="4169" ht="24.0" customHeight="1">
      <c r="A4169" s="1"/>
      <c r="B4169" s="24" t="str">
        <f>HYPERLINK("https://www.compass.com/listing/1615-avenue-i-unit-305-brooklyn-ny-11230/593458674545585713/view?agent_id=610d3f3370540700019b0833","1615 Avenue I, Unit 305")</f>
        <v>1615 Avenue I, Unit 305</v>
      </c>
      <c r="C4169" s="25" t="s">
        <v>364</v>
      </c>
      <c r="D4169" s="26" t="s">
        <v>23</v>
      </c>
      <c r="E4169" s="27" t="str">
        <f>HYPERLINK("https://www.compass.com/building/terrace-gardens-plaza-brooklyn-ny/389280519439970837/","Terrace Gardens Plaza")</f>
        <v>Terrace Gardens Plaza</v>
      </c>
      <c r="F4169" s="25" t="s">
        <v>34</v>
      </c>
      <c r="G4169" s="28">
        <v>385000.0</v>
      </c>
      <c r="H4169" s="29"/>
      <c r="I4169" s="28">
        <v>899.0</v>
      </c>
      <c r="J4169" s="28">
        <v>0.0</v>
      </c>
      <c r="K4169" s="25" t="s">
        <v>25</v>
      </c>
      <c r="L4169" s="26">
        <v>5.0</v>
      </c>
      <c r="M4169" s="26">
        <v>2.0</v>
      </c>
      <c r="N4169" s="26">
        <v>1.0</v>
      </c>
      <c r="O4169" s="30"/>
      <c r="P4169" s="30"/>
      <c r="Q4169" s="35">
        <v>134.0</v>
      </c>
      <c r="R4169" s="32">
        <v>44385.0</v>
      </c>
      <c r="S4169" s="32">
        <v>44237.0</v>
      </c>
      <c r="T4169" s="29"/>
      <c r="U4169" s="33"/>
      <c r="V4169" s="1"/>
    </row>
    <row r="4170" ht="24.0" customHeight="1">
      <c r="A4170" s="1"/>
      <c r="B4170" s="24" t="str">
        <f>HYPERLINK("https://www.compass.com/listing/219-68-67th-avenue-unit-d-queens-ny-11364/450548868057961585/view?agent_id=610d3f3370540700019b0833","219-68 67th Avenue, Unit D")</f>
        <v>219-68 67th Avenue, Unit D</v>
      </c>
      <c r="C4170" s="25" t="s">
        <v>370</v>
      </c>
      <c r="D4170" s="26" t="s">
        <v>23</v>
      </c>
      <c r="E4170" s="27" t="str">
        <f>HYPERLINK("https://www.compass.com/building/219-68-67th-ave-queens-ny-11364/455675174835073965/","219-68 67th Ave")</f>
        <v>219-68 67th Ave</v>
      </c>
      <c r="F4170" s="25" t="s">
        <v>37</v>
      </c>
      <c r="G4170" s="28">
        <v>376000.0</v>
      </c>
      <c r="H4170" s="29"/>
      <c r="I4170" s="28">
        <v>625.0</v>
      </c>
      <c r="J4170" s="28">
        <v>0.0</v>
      </c>
      <c r="K4170" s="25" t="s">
        <v>25</v>
      </c>
      <c r="L4170" s="26">
        <v>5.0</v>
      </c>
      <c r="M4170" s="26">
        <v>2.0</v>
      </c>
      <c r="N4170" s="26">
        <v>1.0</v>
      </c>
      <c r="O4170" s="26">
        <v>0.0</v>
      </c>
      <c r="P4170" s="30"/>
      <c r="Q4170" s="35">
        <v>141.0</v>
      </c>
      <c r="R4170" s="32">
        <v>44109.0</v>
      </c>
      <c r="S4170" s="32">
        <v>43873.0</v>
      </c>
      <c r="T4170" s="29"/>
      <c r="U4170" s="33"/>
      <c r="V4170" s="1"/>
    </row>
    <row r="4171" ht="24.0" customHeight="1">
      <c r="A4171" s="1"/>
      <c r="B4171" s="24" t="str">
        <f>HYPERLINK("https://www.compass.com/listing/1615-avenue-i-unit-106-brooklyn-ny-11230/668959928818628945/view?agent_id=610d3f3370540700019b0833","1615 Avenue I, Unit 106")</f>
        <v>1615 Avenue I, Unit 106</v>
      </c>
      <c r="C4171" s="25" t="s">
        <v>364</v>
      </c>
      <c r="D4171" s="26" t="s">
        <v>23</v>
      </c>
      <c r="E4171" s="27" t="str">
        <f t="shared" ref="E4171:E4172" si="169">HYPERLINK("https://www.compass.com/building/terrace-gardens-plaza-brooklyn-ny/389280519439970837/","Terrace Gardens Plaza")</f>
        <v>Terrace Gardens Plaza</v>
      </c>
      <c r="F4171" s="25" t="s">
        <v>34</v>
      </c>
      <c r="G4171" s="28">
        <v>425000.0</v>
      </c>
      <c r="H4171" s="29"/>
      <c r="I4171" s="28">
        <v>1107.0</v>
      </c>
      <c r="J4171" s="28">
        <v>0.0</v>
      </c>
      <c r="K4171" s="25" t="s">
        <v>25</v>
      </c>
      <c r="L4171" s="26">
        <v>5.0</v>
      </c>
      <c r="M4171" s="26">
        <v>2.0</v>
      </c>
      <c r="N4171" s="26">
        <v>1.0</v>
      </c>
      <c r="O4171" s="26">
        <v>0.0</v>
      </c>
      <c r="P4171" s="30"/>
      <c r="Q4171" s="35">
        <v>208.0</v>
      </c>
      <c r="R4171" s="32">
        <v>44383.0</v>
      </c>
      <c r="S4171" s="32">
        <v>44174.0</v>
      </c>
      <c r="T4171" s="29"/>
      <c r="U4171" s="33"/>
      <c r="V4171" s="1"/>
    </row>
    <row r="4172" ht="24.0" customHeight="1">
      <c r="A4172" s="1"/>
      <c r="B4172" s="24" t="str">
        <f>HYPERLINK("https://www.compass.com/listing/1615-avenue-i-unit-122-brooklyn-ny-11230/220915772313131585/view?agent_id=610d3f3370540700019b0833","1615 Avenue I, Unit 122")</f>
        <v>1615 Avenue I, Unit 122</v>
      </c>
      <c r="C4172" s="25" t="s">
        <v>364</v>
      </c>
      <c r="D4172" s="26" t="s">
        <v>23</v>
      </c>
      <c r="E4172" s="27" t="str">
        <f t="shared" si="169"/>
        <v>Terrace Gardens Plaza</v>
      </c>
      <c r="F4172" s="25" t="s">
        <v>34</v>
      </c>
      <c r="G4172" s="28">
        <v>485000.0</v>
      </c>
      <c r="H4172" s="29"/>
      <c r="I4172" s="28">
        <v>902.0</v>
      </c>
      <c r="J4172" s="28">
        <v>0.0</v>
      </c>
      <c r="K4172" s="25" t="s">
        <v>25</v>
      </c>
      <c r="L4172" s="26">
        <v>5.0</v>
      </c>
      <c r="M4172" s="26">
        <v>2.0</v>
      </c>
      <c r="N4172" s="26">
        <v>1.0</v>
      </c>
      <c r="O4172" s="26">
        <v>0.0</v>
      </c>
      <c r="P4172" s="30"/>
      <c r="Q4172" s="35">
        <v>97.0</v>
      </c>
      <c r="R4172" s="32">
        <v>43902.0</v>
      </c>
      <c r="S4172" s="32">
        <v>43557.0</v>
      </c>
      <c r="T4172" s="29"/>
      <c r="U4172" s="33"/>
      <c r="V4172" s="1"/>
    </row>
    <row r="4173" ht="24.0" customHeight="1">
      <c r="A4173" s="1"/>
      <c r="B4173" s="24" t="str">
        <f>HYPERLINK("https://www.compass.com/listing/141-45-25th-road-unit-1b-queens-ny-11354/4852267809696124017/view?agent_id=610d3f3370540700019b0833","141-45 25th Road, Unit 1B")</f>
        <v>141-45 25th Road, Unit 1B</v>
      </c>
      <c r="C4173" s="25" t="s">
        <v>364</v>
      </c>
      <c r="D4173" s="26" t="s">
        <v>23</v>
      </c>
      <c r="E4173" s="27" t="str">
        <f>HYPERLINK("https://www.compass.com/building/141-45-25th-rd-queens-ny-11354/293533737445090389/","141-45 25th Rd")</f>
        <v>141-45 25th Rd</v>
      </c>
      <c r="F4173" s="25" t="s">
        <v>185</v>
      </c>
      <c r="G4173" s="28">
        <v>182000.0</v>
      </c>
      <c r="H4173" s="28">
        <v>260.0</v>
      </c>
      <c r="I4173" s="28">
        <v>753.0</v>
      </c>
      <c r="J4173" s="29"/>
      <c r="K4173" s="25" t="s">
        <v>25</v>
      </c>
      <c r="L4173" s="26">
        <v>4.0</v>
      </c>
      <c r="M4173" s="26">
        <v>2.0</v>
      </c>
      <c r="N4173" s="26">
        <v>0.0</v>
      </c>
      <c r="O4173" s="26">
        <v>0.0</v>
      </c>
      <c r="P4173" s="26">
        <v>700.0</v>
      </c>
      <c r="Q4173" s="35">
        <v>728.0</v>
      </c>
      <c r="R4173" s="32">
        <v>45636.0</v>
      </c>
      <c r="S4173" s="32">
        <v>42150.0</v>
      </c>
      <c r="T4173" s="29"/>
      <c r="U4173" s="33"/>
      <c r="V4173" s="1"/>
    </row>
    <row r="4174" ht="24.0" customHeight="1">
      <c r="A4174" s="1"/>
      <c r="B4174" s="24" t="str">
        <f>HYPERLINK("https://www.compass.com/listing/150-12-12th-avenue-queens-ny-11357/460878766481355897/view?agent_id=610d3f3370540700019b0833","150-12 12th Avenue")</f>
        <v>150-12 12th Avenue</v>
      </c>
      <c r="C4174" s="25" t="s">
        <v>370</v>
      </c>
      <c r="D4174" s="26" t="s">
        <v>23</v>
      </c>
      <c r="E4174" s="27" t="str">
        <f>HYPERLINK("https://www.compass.com/building/150-12-12th-ave-queens-ny-11357/293527095991189189/","150-12 12th Ave")</f>
        <v>150-12 12th Ave</v>
      </c>
      <c r="F4174" s="25" t="s">
        <v>219</v>
      </c>
      <c r="G4174" s="28">
        <v>2499000.0</v>
      </c>
      <c r="H4174" s="29"/>
      <c r="I4174" s="28">
        <v>1250.0</v>
      </c>
      <c r="J4174" s="28">
        <v>15000.0</v>
      </c>
      <c r="K4174" s="25" t="s">
        <v>441</v>
      </c>
      <c r="L4174" s="26">
        <v>5.0</v>
      </c>
      <c r="M4174" s="26">
        <v>2.0</v>
      </c>
      <c r="N4174" s="26">
        <v>1.0</v>
      </c>
      <c r="O4174" s="26">
        <v>0.0</v>
      </c>
      <c r="P4174" s="30"/>
      <c r="Q4174" s="35">
        <v>19.0</v>
      </c>
      <c r="R4174" s="32">
        <v>43977.0</v>
      </c>
      <c r="S4174" s="32">
        <v>43890.0</v>
      </c>
      <c r="T4174" s="29"/>
      <c r="U4174" s="33"/>
      <c r="V4174" s="1"/>
    </row>
    <row r="4175" ht="24.0" customHeight="1">
      <c r="A4175" s="1"/>
      <c r="B4175" s="24" t="str">
        <f>HYPERLINK("https://www.compass.com/listing/26-21-union-street-unit-5e-queens-ny-11354/4852268784100064033/view?agent_id=610d3f3370540700019b0833","26-21 Union Street, Unit 5E")</f>
        <v>26-21 Union Street, Unit 5E</v>
      </c>
      <c r="C4175" s="25" t="s">
        <v>364</v>
      </c>
      <c r="D4175" s="26" t="s">
        <v>23</v>
      </c>
      <c r="E4175" s="27" t="str">
        <f>HYPERLINK("https://www.compass.com/building/26-21-union-st-queens-ny-11354/293529962579762613/","26-21 Union St")</f>
        <v>26-21 Union St</v>
      </c>
      <c r="F4175" s="25" t="s">
        <v>185</v>
      </c>
      <c r="G4175" s="28">
        <v>180000.0</v>
      </c>
      <c r="H4175" s="28">
        <v>212.0</v>
      </c>
      <c r="I4175" s="28">
        <v>739.0</v>
      </c>
      <c r="J4175" s="29"/>
      <c r="K4175" s="25" t="s">
        <v>25</v>
      </c>
      <c r="L4175" s="26">
        <v>4.0</v>
      </c>
      <c r="M4175" s="26">
        <v>2.0</v>
      </c>
      <c r="N4175" s="26">
        <v>0.0</v>
      </c>
      <c r="O4175" s="26">
        <v>0.0</v>
      </c>
      <c r="P4175" s="26">
        <v>850.0</v>
      </c>
      <c r="Q4175" s="35">
        <v>1169.0</v>
      </c>
      <c r="R4175" s="32">
        <v>44581.0</v>
      </c>
      <c r="S4175" s="32">
        <v>41709.0</v>
      </c>
      <c r="T4175" s="29"/>
      <c r="U4175" s="33"/>
      <c r="V4175" s="1"/>
    </row>
    <row r="4176" ht="24.0" customHeight="1">
      <c r="A4176" s="1"/>
      <c r="B4176" s="24" t="str">
        <f>HYPERLINK("https://www.compass.com/listing/139-39-35th-avenue-unit-3c-queens-ny-11354/810139647679005601/view?agent_id=610d3f3370540700019b0833","139-39 35th Avenue, Unit 3C")</f>
        <v>139-39 35th Avenue, Unit 3C</v>
      </c>
      <c r="C4176" s="25" t="s">
        <v>370</v>
      </c>
      <c r="D4176" s="26" t="s">
        <v>23</v>
      </c>
      <c r="E4176" s="27" t="str">
        <f>HYPERLINK("https://www.compass.com/building/139-39-35th-ave-queens-ny-11354/293535121271720005/","139-39 35th Ave")</f>
        <v>139-39 35th Ave</v>
      </c>
      <c r="F4176" s="25" t="s">
        <v>185</v>
      </c>
      <c r="G4176" s="28">
        <v>609000.0</v>
      </c>
      <c r="H4176" s="29"/>
      <c r="I4176" s="28">
        <v>458.0</v>
      </c>
      <c r="J4176" s="28">
        <v>2073.0</v>
      </c>
      <c r="K4176" s="25" t="s">
        <v>28</v>
      </c>
      <c r="L4176" s="26">
        <v>5.0</v>
      </c>
      <c r="M4176" s="26">
        <v>2.0</v>
      </c>
      <c r="N4176" s="26">
        <v>1.0</v>
      </c>
      <c r="O4176" s="26">
        <v>0.0</v>
      </c>
      <c r="P4176" s="30"/>
      <c r="Q4176" s="35">
        <v>183.0</v>
      </c>
      <c r="R4176" s="32">
        <v>44553.0</v>
      </c>
      <c r="S4176" s="32">
        <v>44369.0</v>
      </c>
      <c r="T4176" s="29"/>
      <c r="U4176" s="33"/>
      <c r="V4176" s="1"/>
    </row>
    <row r="4177" ht="24.0" customHeight="1">
      <c r="A4177" s="1"/>
      <c r="B4177" s="24" t="str">
        <f>HYPERLINK("https://www.compass.com/listing/102-55-67th-drive-unit-6f-queens-ny-11375/405005511434446369/view?agent_id=610d3f3370540700019b0833","102-55 67th Drive, Unit 6F")</f>
        <v>102-55 67th Drive, Unit 6F</v>
      </c>
      <c r="C4177" s="25" t="s">
        <v>365</v>
      </c>
      <c r="D4177" s="26" t="s">
        <v>23</v>
      </c>
      <c r="E4177" s="27" t="str">
        <f>HYPERLINK("https://www.compass.com/building/102-55-67th-dr-queens-ny-11375/293418442512424389/","102-55 67th Dr")</f>
        <v>102-55 67th Dr</v>
      </c>
      <c r="F4177" s="25" t="s">
        <v>165</v>
      </c>
      <c r="G4177" s="28">
        <v>449900.0</v>
      </c>
      <c r="H4177" s="28">
        <v>450.0</v>
      </c>
      <c r="I4177" s="28">
        <v>854.0</v>
      </c>
      <c r="J4177" s="28">
        <v>0.0</v>
      </c>
      <c r="K4177" s="25" t="s">
        <v>25</v>
      </c>
      <c r="L4177" s="26">
        <v>5.0</v>
      </c>
      <c r="M4177" s="26">
        <v>2.0</v>
      </c>
      <c r="N4177" s="26">
        <v>1.0</v>
      </c>
      <c r="O4177" s="26">
        <v>0.0</v>
      </c>
      <c r="P4177" s="34">
        <v>1000.0</v>
      </c>
      <c r="Q4177" s="35">
        <v>50.0</v>
      </c>
      <c r="R4177" s="32">
        <v>43879.0</v>
      </c>
      <c r="S4177" s="32">
        <v>43815.0</v>
      </c>
      <c r="T4177" s="29"/>
      <c r="U4177" s="33"/>
      <c r="V4177" s="1"/>
    </row>
    <row r="4178" ht="24.0" customHeight="1">
      <c r="A4178" s="1"/>
      <c r="B4178" s="24" t="str">
        <f>HYPERLINK("https://www.compass.com/listing/141-45-25th-road-unit-1b-queens-ny-11354/1838944355155648377/view?agent_id=610d3f3370540700019b0833","141-45 25th Road, Unit 1B")</f>
        <v>141-45 25th Road, Unit 1B</v>
      </c>
      <c r="C4178" s="25" t="s">
        <v>364</v>
      </c>
      <c r="D4178" s="26" t="s">
        <v>23</v>
      </c>
      <c r="E4178" s="27" t="str">
        <f>HYPERLINK("https://www.compass.com/building/141-45-25th-rd-queens-ny-11354/293533737445090389/","141-45 25th Rd")</f>
        <v>141-45 25th Rd</v>
      </c>
      <c r="F4178" s="25" t="s">
        <v>185</v>
      </c>
      <c r="G4178" s="28">
        <v>180000.0</v>
      </c>
      <c r="H4178" s="28">
        <v>200.0</v>
      </c>
      <c r="I4178" s="28">
        <v>700.0</v>
      </c>
      <c r="J4178" s="29"/>
      <c r="K4178" s="25" t="s">
        <v>25</v>
      </c>
      <c r="L4178" s="26">
        <v>4.0</v>
      </c>
      <c r="M4178" s="26">
        <v>2.0</v>
      </c>
      <c r="N4178" s="26">
        <v>0.0</v>
      </c>
      <c r="O4178" s="26">
        <v>0.0</v>
      </c>
      <c r="P4178" s="26">
        <v>900.0</v>
      </c>
      <c r="Q4178" s="35">
        <v>1162.0</v>
      </c>
      <c r="R4178" s="32">
        <v>44581.0</v>
      </c>
      <c r="S4178" s="32">
        <v>41716.0</v>
      </c>
      <c r="T4178" s="29"/>
      <c r="U4178" s="33"/>
      <c r="V4178" s="1"/>
    </row>
    <row r="4179" ht="24.0" customHeight="1">
      <c r="A4179" s="1"/>
      <c r="B4179" s="24" t="str">
        <f>HYPERLINK("https://www.compass.com/listing/68-12-burns-street-unit-c1-queens-ny-11375/1838961103413878929/view?agent_id=610d3f3370540700019b0833","68-12 Burns Street, Unit C1")</f>
        <v>68-12 Burns Street, Unit C1</v>
      </c>
      <c r="C4179" s="25" t="s">
        <v>364</v>
      </c>
      <c r="D4179" s="26" t="s">
        <v>23</v>
      </c>
      <c r="E4179" s="27" t="str">
        <f>HYPERLINK("https://www.compass.com/building/68-12-burns-st-queens-ny-11375/293531306191522789/","68-12 Burns St")</f>
        <v>68-12 Burns St</v>
      </c>
      <c r="F4179" s="25" t="s">
        <v>83</v>
      </c>
      <c r="G4179" s="28">
        <v>425000.0</v>
      </c>
      <c r="H4179" s="29"/>
      <c r="I4179" s="28">
        <v>896.0</v>
      </c>
      <c r="J4179" s="29"/>
      <c r="K4179" s="25" t="s">
        <v>25</v>
      </c>
      <c r="L4179" s="26">
        <v>4.0</v>
      </c>
      <c r="M4179" s="26">
        <v>2.0</v>
      </c>
      <c r="N4179" s="26">
        <v>1.0</v>
      </c>
      <c r="O4179" s="26">
        <v>0.0</v>
      </c>
      <c r="P4179" s="30"/>
      <c r="Q4179" s="35">
        <v>352.0</v>
      </c>
      <c r="R4179" s="32">
        <v>45636.0</v>
      </c>
      <c r="S4179" s="32">
        <v>43864.0</v>
      </c>
      <c r="T4179" s="29"/>
      <c r="U4179" s="33"/>
      <c r="V4179" s="1"/>
    </row>
    <row r="4180" ht="24.0" customHeight="1">
      <c r="A4180" s="1"/>
      <c r="B4180" s="24" t="str">
        <f>HYPERLINK("https://www.compass.com/listing/110-31-73rd-road-unit-4b-queens-ny-11375/273783460944968865/view?agent_id=610d3f3370540700019b0833","110-31 73rd Road, Unit 4B")</f>
        <v>110-31 73rd Road, Unit 4B</v>
      </c>
      <c r="C4180" s="25" t="s">
        <v>370</v>
      </c>
      <c r="D4180" s="26" t="s">
        <v>23</v>
      </c>
      <c r="E4180" s="27" t="str">
        <f>HYPERLINK("https://www.compass.com/building/110-31-73rd-rd-queens-ny-11375/293535664811664613/","110-31 73rd Rd")</f>
        <v>110-31 73rd Rd</v>
      </c>
      <c r="F4180" s="25" t="s">
        <v>83</v>
      </c>
      <c r="G4180" s="28">
        <v>399000.0</v>
      </c>
      <c r="H4180" s="29"/>
      <c r="I4180" s="28">
        <v>1467.0</v>
      </c>
      <c r="J4180" s="28">
        <v>0.0</v>
      </c>
      <c r="K4180" s="25" t="s">
        <v>25</v>
      </c>
      <c r="L4180" s="26">
        <v>4.0</v>
      </c>
      <c r="M4180" s="26">
        <v>2.0</v>
      </c>
      <c r="N4180" s="26">
        <v>1.0</v>
      </c>
      <c r="O4180" s="30"/>
      <c r="P4180" s="30"/>
      <c r="Q4180" s="35">
        <v>274.0</v>
      </c>
      <c r="R4180" s="32">
        <v>43961.0</v>
      </c>
      <c r="S4180" s="32">
        <v>43635.0</v>
      </c>
      <c r="T4180" s="29"/>
      <c r="U4180" s="33"/>
      <c r="V4180" s="1"/>
    </row>
    <row r="4181" ht="24.0" customHeight="1">
      <c r="A4181" s="1"/>
      <c r="B4181" s="24" t="str">
        <f>HYPERLINK("https://www.compass.com/listing/66-06-grand-central-parkway-unit-3a-queens-ny-11375/724584679307784633/view?agent_id=610d3f3370540700019b0833","66-06 Grand Central Parkway, Unit 3A")</f>
        <v>66-06 Grand Central Parkway, Unit 3A</v>
      </c>
      <c r="C4181" s="25" t="s">
        <v>370</v>
      </c>
      <c r="D4181" s="26" t="s">
        <v>23</v>
      </c>
      <c r="E4181" s="27" t="str">
        <f>HYPERLINK("https://www.compass.com/building/66-06-grand-central-pkwy-queens-ny-11375/307456741620917717/","66-06 Grand Central Pkwy")</f>
        <v>66-06 Grand Central Pkwy</v>
      </c>
      <c r="F4181" s="25" t="s">
        <v>83</v>
      </c>
      <c r="G4181" s="28">
        <v>358000.0</v>
      </c>
      <c r="H4181" s="29"/>
      <c r="I4181" s="28">
        <v>0.0</v>
      </c>
      <c r="J4181" s="28">
        <v>0.0</v>
      </c>
      <c r="K4181" s="25" t="s">
        <v>25</v>
      </c>
      <c r="L4181" s="26">
        <v>5.0</v>
      </c>
      <c r="M4181" s="26">
        <v>2.0</v>
      </c>
      <c r="N4181" s="26">
        <v>1.0</v>
      </c>
      <c r="O4181" s="30"/>
      <c r="P4181" s="30"/>
      <c r="Q4181" s="35">
        <v>151.0</v>
      </c>
      <c r="R4181" s="32">
        <v>45597.0</v>
      </c>
      <c r="S4181" s="32">
        <v>44251.0</v>
      </c>
      <c r="T4181" s="29"/>
      <c r="U4181" s="33"/>
      <c r="V4181" s="1"/>
    </row>
    <row r="4182" ht="24.0" customHeight="1">
      <c r="A4182" s="1"/>
      <c r="B4182" s="24" t="str">
        <f>HYPERLINK("https://www.compass.com/listing/37-20-prince-street-queens-ny-11354/1728164754836883513/view?agent_id=610d3f3370540700019b0833","37-20 Prince Street")</f>
        <v>37-20 Prince Street</v>
      </c>
      <c r="C4182" s="25" t="s">
        <v>370</v>
      </c>
      <c r="D4182" s="26" t="s">
        <v>23</v>
      </c>
      <c r="E4182" s="27" t="str">
        <f>HYPERLINK("https://www.compass.com/building/37-20-prince-st-queens-ny-11354/293526653768891637/","37-20 Prince St")</f>
        <v>37-20 Prince St</v>
      </c>
      <c r="F4182" s="25" t="s">
        <v>221</v>
      </c>
      <c r="G4182" s="28">
        <v>620000.0</v>
      </c>
      <c r="H4182" s="29"/>
      <c r="I4182" s="28">
        <v>46.0</v>
      </c>
      <c r="J4182" s="28">
        <v>550.0</v>
      </c>
      <c r="K4182" s="25" t="s">
        <v>28</v>
      </c>
      <c r="L4182" s="26">
        <v>5.0</v>
      </c>
      <c r="M4182" s="26">
        <v>2.0</v>
      </c>
      <c r="N4182" s="26">
        <v>1.0</v>
      </c>
      <c r="O4182" s="30"/>
      <c r="P4182" s="30"/>
      <c r="Q4182" s="35">
        <v>62.0</v>
      </c>
      <c r="R4182" s="32">
        <v>45636.0</v>
      </c>
      <c r="S4182" s="32">
        <v>42731.0</v>
      </c>
      <c r="T4182" s="29"/>
      <c r="U4182" s="33"/>
      <c r="V4182" s="1"/>
    </row>
    <row r="4183" ht="24.0" customHeight="1">
      <c r="A4183" s="1"/>
      <c r="B4183" s="24" t="str">
        <f>HYPERLINK("https://www.compass.com/listing/1250-ocean-parkway-unit-5k-brooklyn-ny-11230/29509922332882945/view?agent_id=610d3f3370540700019b0833","1250 Ocean Parkway, Unit 5K")</f>
        <v>1250 Ocean Parkway, Unit 5K</v>
      </c>
      <c r="C4183" s="25" t="s">
        <v>370</v>
      </c>
      <c r="D4183" s="26" t="s">
        <v>23</v>
      </c>
      <c r="E4183" s="27" t="str">
        <f>HYPERLINK("https://www.compass.com/building/1250-ocean-pkwy-brooklyn-ny-11230/293527454612455445/","1250 Ocean Pkwy")</f>
        <v>1250 Ocean Pkwy</v>
      </c>
      <c r="F4183" s="25" t="s">
        <v>171</v>
      </c>
      <c r="G4183" s="28">
        <v>320000.0</v>
      </c>
      <c r="H4183" s="29"/>
      <c r="I4183" s="28">
        <v>748.0</v>
      </c>
      <c r="J4183" s="29"/>
      <c r="K4183" s="25" t="s">
        <v>25</v>
      </c>
      <c r="L4183" s="26">
        <v>5.0</v>
      </c>
      <c r="M4183" s="26">
        <v>2.0</v>
      </c>
      <c r="N4183" s="26">
        <v>0.0</v>
      </c>
      <c r="O4183" s="26">
        <v>0.0</v>
      </c>
      <c r="P4183" s="30"/>
      <c r="Q4183" s="35">
        <v>252.0</v>
      </c>
      <c r="R4183" s="32">
        <v>45636.0</v>
      </c>
      <c r="S4183" s="32">
        <v>41825.0</v>
      </c>
      <c r="T4183" s="29"/>
      <c r="U4183" s="33"/>
      <c r="V4183" s="1"/>
    </row>
    <row r="4184" ht="24.0" customHeight="1">
      <c r="A4184" s="1"/>
      <c r="B4184" s="24" t="str">
        <f>HYPERLINK("https://www.compass.com/listing/37-20-prince-street-unit-8b-queens-ny-11354/1748614912094020089/view?agent_id=610d3f3370540700019b0833","37-20 Prince Street, Unit 8B")</f>
        <v>37-20 Prince Street, Unit 8B</v>
      </c>
      <c r="C4184" s="25" t="s">
        <v>370</v>
      </c>
      <c r="D4184" s="26" t="s">
        <v>23</v>
      </c>
      <c r="E4184" s="27" t="str">
        <f>HYPERLINK("https://www.compass.com/building/37-20-prince-st-queens-ny-11354/293526653768891637/","37-20 Prince St")</f>
        <v>37-20 Prince St</v>
      </c>
      <c r="F4184" s="25" t="s">
        <v>221</v>
      </c>
      <c r="G4184" s="28">
        <v>740000.0</v>
      </c>
      <c r="H4184" s="28">
        <v>836.0</v>
      </c>
      <c r="I4184" s="28">
        <v>689.0</v>
      </c>
      <c r="J4184" s="28">
        <v>4426.0</v>
      </c>
      <c r="K4184" s="25" t="s">
        <v>28</v>
      </c>
      <c r="L4184" s="26">
        <v>7.0</v>
      </c>
      <c r="M4184" s="26">
        <v>2.0</v>
      </c>
      <c r="N4184" s="26">
        <v>1.0</v>
      </c>
      <c r="O4184" s="30"/>
      <c r="P4184" s="26">
        <v>885.0</v>
      </c>
      <c r="Q4184" s="35">
        <v>33.0</v>
      </c>
      <c r="R4184" s="32">
        <v>45748.0</v>
      </c>
      <c r="S4184" s="32">
        <v>45665.0</v>
      </c>
      <c r="T4184" s="29"/>
      <c r="U4184" s="33"/>
      <c r="V4184" s="1"/>
    </row>
    <row r="4185" ht="24.0" customHeight="1">
      <c r="A4185" s="1"/>
      <c r="B4185" s="24" t="str">
        <f>HYPERLINK("https://www.compass.com/listing/38-08-union-street-unit-9ef-queens-ny-11354/333928024261208001/view?agent_id=610d3f3370540700019b0833","38-08 Union Street, Unit 9EF")</f>
        <v>38-08 Union Street, Unit 9EF</v>
      </c>
      <c r="C4185" s="25" t="s">
        <v>364</v>
      </c>
      <c r="D4185" s="26" t="s">
        <v>23</v>
      </c>
      <c r="E4185" s="27" t="str">
        <f>HYPERLINK("https://www.compass.com/building/38-08-union-st-queens-ny-11354/307455367499494773/","38-08 Union St")</f>
        <v>38-08 Union St</v>
      </c>
      <c r="F4185" s="25" t="s">
        <v>221</v>
      </c>
      <c r="G4185" s="28">
        <v>5400000.0</v>
      </c>
      <c r="H4185" s="28">
        <v>1350.0</v>
      </c>
      <c r="I4185" s="28">
        <v>4254.0</v>
      </c>
      <c r="J4185" s="28">
        <v>8580.0</v>
      </c>
      <c r="K4185" s="25" t="s">
        <v>127</v>
      </c>
      <c r="L4185" s="26">
        <v>2.0</v>
      </c>
      <c r="M4185" s="26">
        <v>2.0</v>
      </c>
      <c r="N4185" s="26">
        <v>0.0</v>
      </c>
      <c r="O4185" s="26">
        <v>0.0</v>
      </c>
      <c r="P4185" s="34">
        <v>4000.0</v>
      </c>
      <c r="Q4185" s="35">
        <v>67.0</v>
      </c>
      <c r="R4185" s="32">
        <v>43782.0</v>
      </c>
      <c r="S4185" s="32">
        <v>43714.0</v>
      </c>
      <c r="T4185" s="29"/>
      <c r="U4185" s="33"/>
      <c r="V4185" s="1"/>
    </row>
    <row r="4186" ht="24.0" customHeight="1">
      <c r="A4186" s="1"/>
      <c r="B4186" s="24" t="str">
        <f>HYPERLINK("https://www.compass.com/listing/37-20-prince-street-unit-7c-queens-ny-11354/1292336409779602945/view?agent_id=610d3f3370540700019b0833","37-20 Prince Street, Unit 7C")</f>
        <v>37-20 Prince Street, Unit 7C</v>
      </c>
      <c r="C4186" s="25" t="s">
        <v>370</v>
      </c>
      <c r="D4186" s="26" t="s">
        <v>23</v>
      </c>
      <c r="E4186" s="27" t="str">
        <f t="shared" ref="E4186:E4188" si="170">HYPERLINK("https://www.compass.com/building/37-20-prince-st-queens-ny-11354/293526653768891637/","37-20 Prince St")</f>
        <v>37-20 Prince St</v>
      </c>
      <c r="F4186" s="25" t="s">
        <v>221</v>
      </c>
      <c r="G4186" s="28">
        <v>729999.0</v>
      </c>
      <c r="H4186" s="28">
        <v>973.0</v>
      </c>
      <c r="I4186" s="28">
        <v>325.0</v>
      </c>
      <c r="J4186" s="28">
        <v>62.0</v>
      </c>
      <c r="K4186" s="25" t="s">
        <v>28</v>
      </c>
      <c r="L4186" s="26">
        <v>5.0</v>
      </c>
      <c r="M4186" s="26">
        <v>2.0</v>
      </c>
      <c r="N4186" s="26">
        <v>1.0</v>
      </c>
      <c r="O4186" s="30"/>
      <c r="P4186" s="26">
        <v>750.0</v>
      </c>
      <c r="Q4186" s="35">
        <v>242.0</v>
      </c>
      <c r="R4186" s="32">
        <v>45597.0</v>
      </c>
      <c r="S4186" s="32">
        <v>42935.0</v>
      </c>
      <c r="T4186" s="29"/>
      <c r="U4186" s="33"/>
      <c r="V4186" s="1"/>
    </row>
    <row r="4187" ht="24.0" customHeight="1">
      <c r="A4187" s="1"/>
      <c r="B4187" s="24" t="str">
        <f>HYPERLINK("https://www.compass.com/listing/37-20-prince-street-queens-ny-11354/1292361357508121937/view?agent_id=610d3f3370540700019b0833","37-20 Prince Street")</f>
        <v>37-20 Prince Street</v>
      </c>
      <c r="C4187" s="25" t="s">
        <v>370</v>
      </c>
      <c r="D4187" s="26" t="s">
        <v>23</v>
      </c>
      <c r="E4187" s="27" t="str">
        <f t="shared" si="170"/>
        <v>37-20 Prince St</v>
      </c>
      <c r="F4187" s="25" t="s">
        <v>221</v>
      </c>
      <c r="G4187" s="28">
        <v>750000.0</v>
      </c>
      <c r="H4187" s="28">
        <v>833.0</v>
      </c>
      <c r="I4187" s="28">
        <v>325.0</v>
      </c>
      <c r="J4187" s="28">
        <v>62.0</v>
      </c>
      <c r="K4187" s="25" t="s">
        <v>28</v>
      </c>
      <c r="L4187" s="26">
        <v>5.0</v>
      </c>
      <c r="M4187" s="26">
        <v>2.0</v>
      </c>
      <c r="N4187" s="26">
        <v>1.0</v>
      </c>
      <c r="O4187" s="30"/>
      <c r="P4187" s="26">
        <v>900.0</v>
      </c>
      <c r="Q4187" s="35">
        <v>183.0</v>
      </c>
      <c r="R4187" s="32">
        <v>45636.0</v>
      </c>
      <c r="S4187" s="32">
        <v>42935.0</v>
      </c>
      <c r="T4187" s="29"/>
      <c r="U4187" s="33"/>
      <c r="V4187" s="1"/>
    </row>
    <row r="4188" ht="24.0" customHeight="1">
      <c r="A4188" s="1"/>
      <c r="B4188" s="24" t="str">
        <f>HYPERLINK("https://www.compass.com/listing/37-20-prince-street-unit-6c-queens-ny-11354/1308970033120968209/view?agent_id=610d3f3370540700019b0833","37-20 Prince Street, Unit 6C")</f>
        <v>37-20 Prince Street, Unit 6C</v>
      </c>
      <c r="C4188" s="25" t="s">
        <v>370</v>
      </c>
      <c r="D4188" s="26" t="s">
        <v>23</v>
      </c>
      <c r="E4188" s="27" t="str">
        <f t="shared" si="170"/>
        <v>37-20 Prince St</v>
      </c>
      <c r="F4188" s="25" t="s">
        <v>221</v>
      </c>
      <c r="G4188" s="28">
        <v>688000.0</v>
      </c>
      <c r="H4188" s="29"/>
      <c r="I4188" s="28">
        <v>528.0</v>
      </c>
      <c r="J4188" s="28">
        <v>2496.0</v>
      </c>
      <c r="K4188" s="25" t="s">
        <v>28</v>
      </c>
      <c r="L4188" s="26">
        <v>6.0</v>
      </c>
      <c r="M4188" s="26">
        <v>2.0</v>
      </c>
      <c r="N4188" s="26">
        <v>1.0</v>
      </c>
      <c r="O4188" s="30"/>
      <c r="P4188" s="30"/>
      <c r="Q4188" s="35">
        <v>174.0</v>
      </c>
      <c r="R4188" s="32">
        <v>45597.0</v>
      </c>
      <c r="S4188" s="32">
        <v>45057.0</v>
      </c>
      <c r="T4188" s="29"/>
      <c r="U4188" s="33"/>
      <c r="V4188" s="1"/>
    </row>
    <row r="4189" ht="24.0" customHeight="1">
      <c r="A4189" s="1"/>
      <c r="B4189" s="24" t="str">
        <f>HYPERLINK("https://www.compass.com/listing/1620-avenue-i-unit-c2-brooklyn-ny-11230/70932255127660849/view?agent_id=610d3f3370540700019b0833","1620 Avenue I, Unit C2")</f>
        <v>1620 Avenue I, Unit C2</v>
      </c>
      <c r="C4189" s="25" t="s">
        <v>364</v>
      </c>
      <c r="D4189" s="26" t="s">
        <v>23</v>
      </c>
      <c r="E4189" s="27" t="str">
        <f>HYPERLINK("https://www.compass.com/building/1620-avenue-i-brooklyn-ny-11230/389283081193471925/","1620 Avenue I")</f>
        <v>1620 Avenue I</v>
      </c>
      <c r="F4189" s="25" t="s">
        <v>34</v>
      </c>
      <c r="G4189" s="28">
        <v>449000.0</v>
      </c>
      <c r="H4189" s="28">
        <v>542.0</v>
      </c>
      <c r="I4189" s="28">
        <v>725.0</v>
      </c>
      <c r="J4189" s="29"/>
      <c r="K4189" s="25" t="s">
        <v>25</v>
      </c>
      <c r="L4189" s="26">
        <v>4.0</v>
      </c>
      <c r="M4189" s="26">
        <v>2.0</v>
      </c>
      <c r="N4189" s="26">
        <v>0.0</v>
      </c>
      <c r="O4189" s="26">
        <v>0.0</v>
      </c>
      <c r="P4189" s="26">
        <v>829.0</v>
      </c>
      <c r="Q4189" s="35">
        <v>29.0</v>
      </c>
      <c r="R4189" s="32">
        <v>45636.0</v>
      </c>
      <c r="S4189" s="32">
        <v>43270.0</v>
      </c>
      <c r="T4189" s="29"/>
      <c r="U4189" s="33"/>
      <c r="V4189" s="1"/>
    </row>
    <row r="4190" ht="24.0" customHeight="1">
      <c r="A4190" s="1"/>
      <c r="B4190" s="24" t="str">
        <f>HYPERLINK("https://www.compass.com/listing/1615-avenue-i-unit-222-brooklyn-ny-11230/244384159907221553/view?agent_id=610d3f3370540700019b0833","1615 Avenue I, Unit 222")</f>
        <v>1615 Avenue I, Unit 222</v>
      </c>
      <c r="C4190" s="25" t="s">
        <v>364</v>
      </c>
      <c r="D4190" s="26" t="s">
        <v>23</v>
      </c>
      <c r="E4190" s="27" t="str">
        <f t="shared" ref="E4190:E4191" si="171">HYPERLINK("https://www.compass.com/building/terrace-gardens-plaza-brooklyn-ny/389280519439970837/","Terrace Gardens Plaza")</f>
        <v>Terrace Gardens Plaza</v>
      </c>
      <c r="F4190" s="25" t="s">
        <v>34</v>
      </c>
      <c r="G4190" s="28">
        <v>467000.0</v>
      </c>
      <c r="H4190" s="29"/>
      <c r="I4190" s="28">
        <v>909.0</v>
      </c>
      <c r="J4190" s="29"/>
      <c r="K4190" s="25" t="s">
        <v>25</v>
      </c>
      <c r="L4190" s="26">
        <v>5.0</v>
      </c>
      <c r="M4190" s="26">
        <v>2.0</v>
      </c>
      <c r="N4190" s="26">
        <v>1.0</v>
      </c>
      <c r="O4190" s="26">
        <v>0.0</v>
      </c>
      <c r="P4190" s="30"/>
      <c r="Q4190" s="35">
        <v>144.0</v>
      </c>
      <c r="R4190" s="32">
        <v>45636.0</v>
      </c>
      <c r="S4190" s="32">
        <v>43589.0</v>
      </c>
      <c r="T4190" s="29"/>
      <c r="U4190" s="33"/>
      <c r="V4190" s="1"/>
    </row>
    <row r="4191" ht="24.0" customHeight="1">
      <c r="A4191" s="1"/>
      <c r="B4191" s="24" t="str">
        <f>HYPERLINK("https://www.compass.com/listing/1615-avenue-i-unit-206-brooklyn-ny-11230/901487411799638369/view?agent_id=610d3f3370540700019b0833","1615 Avenue I, Unit 206")</f>
        <v>1615 Avenue I, Unit 206</v>
      </c>
      <c r="C4191" s="25" t="s">
        <v>370</v>
      </c>
      <c r="D4191" s="26" t="s">
        <v>23</v>
      </c>
      <c r="E4191" s="27" t="str">
        <f t="shared" si="171"/>
        <v>Terrace Gardens Plaza</v>
      </c>
      <c r="F4191" s="25" t="s">
        <v>34</v>
      </c>
      <c r="G4191" s="28">
        <v>375000.0</v>
      </c>
      <c r="H4191" s="29"/>
      <c r="I4191" s="28">
        <v>893.0</v>
      </c>
      <c r="J4191" s="28">
        <v>0.0</v>
      </c>
      <c r="K4191" s="25" t="s">
        <v>25</v>
      </c>
      <c r="L4191" s="26">
        <v>4.0</v>
      </c>
      <c r="M4191" s="26">
        <v>2.0</v>
      </c>
      <c r="N4191" s="26">
        <v>1.0</v>
      </c>
      <c r="O4191" s="26">
        <v>0.0</v>
      </c>
      <c r="P4191" s="30"/>
      <c r="Q4191" s="35">
        <v>253.0</v>
      </c>
      <c r="R4191" s="32">
        <v>44749.0</v>
      </c>
      <c r="S4191" s="32">
        <v>44495.0</v>
      </c>
      <c r="T4191" s="29"/>
      <c r="U4191" s="33"/>
      <c r="V4191" s="1"/>
    </row>
    <row r="4192" ht="24.0" customHeight="1">
      <c r="A4192" s="1"/>
      <c r="B4192" s="24" t="str">
        <f>HYPERLINK("https://www.compass.com/listing/918-east-14th-street-unit-b8-brooklyn-ny-11230/826178837328622945/view?agent_id=610d3f3370540700019b0833","918 East 14th Street, Unit B8")</f>
        <v>918 East 14th Street, Unit B8</v>
      </c>
      <c r="C4192" s="25" t="s">
        <v>364</v>
      </c>
      <c r="D4192" s="26" t="s">
        <v>23</v>
      </c>
      <c r="E4192" s="27" t="str">
        <f>HYPERLINK("https://www.compass.com/building/918-e-14th-st-brooklyn-ny-11230/293535677822398421/","918 E 14th St")</f>
        <v>918 E 14th St</v>
      </c>
      <c r="F4192" s="25" t="s">
        <v>34</v>
      </c>
      <c r="G4192" s="28">
        <v>409000.0</v>
      </c>
      <c r="H4192" s="29"/>
      <c r="I4192" s="28">
        <v>754.0</v>
      </c>
      <c r="J4192" s="28">
        <v>0.0</v>
      </c>
      <c r="K4192" s="25" t="s">
        <v>25</v>
      </c>
      <c r="L4192" s="26">
        <v>3.0</v>
      </c>
      <c r="M4192" s="26">
        <v>2.0</v>
      </c>
      <c r="N4192" s="26">
        <v>1.0</v>
      </c>
      <c r="O4192" s="26">
        <v>0.0</v>
      </c>
      <c r="P4192" s="30"/>
      <c r="Q4192" s="35">
        <v>73.0</v>
      </c>
      <c r="R4192" s="32">
        <v>44465.0</v>
      </c>
      <c r="S4192" s="32">
        <v>44391.0</v>
      </c>
      <c r="T4192" s="29"/>
      <c r="U4192" s="33"/>
      <c r="V4192" s="1"/>
    </row>
    <row r="4193" ht="24.0" customHeight="1">
      <c r="A4193" s="1"/>
      <c r="B4193" s="24" t="str">
        <f>HYPERLINK("https://www.compass.com/listing/114-20-queens-boulevard-unit-f9-queens-ny-11375/642021421641696641/view?agent_id=610d3f3370540700019b0833","114-20 Queens Boulevard, Unit F9")</f>
        <v>114-20 Queens Boulevard, Unit F9</v>
      </c>
      <c r="C4193" s="25" t="s">
        <v>370</v>
      </c>
      <c r="D4193" s="26" t="s">
        <v>23</v>
      </c>
      <c r="E4193" s="27" t="str">
        <f>HYPERLINK("https://www.compass.com/building/114-20-queens-blvd-queens-ny-11375/293531453713649589/","114-20 Queens Blvd")</f>
        <v>114-20 Queens Blvd</v>
      </c>
      <c r="F4193" s="25" t="s">
        <v>83</v>
      </c>
      <c r="G4193" s="28">
        <v>389999.0</v>
      </c>
      <c r="H4193" s="28">
        <v>402.0</v>
      </c>
      <c r="I4193" s="28">
        <v>0.0</v>
      </c>
      <c r="J4193" s="28">
        <v>0.0</v>
      </c>
      <c r="K4193" s="25" t="s">
        <v>25</v>
      </c>
      <c r="L4193" s="26">
        <v>4.0</v>
      </c>
      <c r="M4193" s="26">
        <v>2.0</v>
      </c>
      <c r="N4193" s="26">
        <v>1.0</v>
      </c>
      <c r="O4193" s="30"/>
      <c r="P4193" s="26">
        <v>970.0</v>
      </c>
      <c r="Q4193" s="35">
        <v>334.0</v>
      </c>
      <c r="R4193" s="32">
        <v>45597.0</v>
      </c>
      <c r="S4193" s="32">
        <v>44136.0</v>
      </c>
      <c r="T4193" s="29"/>
      <c r="U4193" s="33"/>
      <c r="V4193" s="1"/>
    </row>
    <row r="4194" ht="24.0" customHeight="1">
      <c r="A4194" s="1"/>
      <c r="B4194" s="24" t="str">
        <f>HYPERLINK("https://www.compass.com/listing/120-25-180th-street-queens-ny-11434/359547812421196289/view?agent_id=610d3f3370540700019b0833","120-25 180th Street")</f>
        <v>120-25 180th Street</v>
      </c>
      <c r="C4194" s="25" t="s">
        <v>370</v>
      </c>
      <c r="D4194" s="26" t="s">
        <v>23</v>
      </c>
      <c r="E4194" s="27" t="str">
        <f>HYPERLINK("https://www.compass.com/building/120-25-180th-st-queens-ny-11434/293530886543106341/","120-25 180th St")</f>
        <v>120-25 180th St</v>
      </c>
      <c r="F4194" s="25" t="s">
        <v>174</v>
      </c>
      <c r="G4194" s="28">
        <v>525000.0</v>
      </c>
      <c r="H4194" s="28">
        <v>379.0</v>
      </c>
      <c r="I4194" s="28">
        <v>321.0</v>
      </c>
      <c r="J4194" s="28">
        <v>3855.0</v>
      </c>
      <c r="K4194" s="25" t="s">
        <v>159</v>
      </c>
      <c r="L4194" s="26">
        <v>6.0</v>
      </c>
      <c r="M4194" s="26">
        <v>2.0</v>
      </c>
      <c r="N4194" s="26">
        <v>1.0</v>
      </c>
      <c r="O4194" s="26">
        <v>0.0</v>
      </c>
      <c r="P4194" s="34">
        <v>1386.0</v>
      </c>
      <c r="Q4194" s="35">
        <v>0.0</v>
      </c>
      <c r="R4194" s="32">
        <v>43915.0</v>
      </c>
      <c r="S4194" s="32">
        <v>43832.0</v>
      </c>
      <c r="T4194" s="29"/>
      <c r="U4194" s="33"/>
      <c r="V4194" s="1"/>
    </row>
    <row r="4195" ht="24.0" customHeight="1">
      <c r="A4195" s="1"/>
      <c r="B4195" s="24" t="str">
        <f>HYPERLINK("https://www.compass.com/listing/1171-ocean-parkway-unit-3e-brooklyn-ny-11230/1176966038691855689/view?agent_id=610d3f3370540700019b0833","1171 Ocean Parkway, Unit 3E")</f>
        <v>1171 Ocean Parkway, Unit 3E</v>
      </c>
      <c r="C4195" s="25" t="s">
        <v>365</v>
      </c>
      <c r="D4195" s="26" t="s">
        <v>23</v>
      </c>
      <c r="E4195" s="27" t="str">
        <f>HYPERLINK("https://www.compass.com/building/1171-ocean-pkwy-brooklyn-ny-11230/307443232807934069/","1171 Ocean Pkwy")</f>
        <v>1171 Ocean Pkwy</v>
      </c>
      <c r="F4195" s="25" t="s">
        <v>34</v>
      </c>
      <c r="G4195" s="28">
        <v>410000.0</v>
      </c>
      <c r="H4195" s="28">
        <v>407.0</v>
      </c>
      <c r="I4195" s="28">
        <v>668.0</v>
      </c>
      <c r="J4195" s="28">
        <v>0.0</v>
      </c>
      <c r="K4195" s="25" t="s">
        <v>25</v>
      </c>
      <c r="L4195" s="26">
        <v>4.0</v>
      </c>
      <c r="M4195" s="26">
        <v>2.0</v>
      </c>
      <c r="N4195" s="26">
        <v>1.0</v>
      </c>
      <c r="O4195" s="30"/>
      <c r="P4195" s="34">
        <v>1007.0</v>
      </c>
      <c r="Q4195" s="35">
        <v>68.0</v>
      </c>
      <c r="R4195" s="32">
        <v>44944.0</v>
      </c>
      <c r="S4195" s="32">
        <v>44875.0</v>
      </c>
      <c r="T4195" s="29"/>
      <c r="U4195" s="33"/>
      <c r="V4195" s="1"/>
    </row>
    <row r="4196" ht="24.0" customHeight="1">
      <c r="A4196" s="1"/>
      <c r="B4196" s="24" t="str">
        <f>HYPERLINK("https://www.compass.com/listing/112-01-queens-boulevard-unit-7ef-queens-ny-11375/4852267567147924609/view?agent_id=610d3f3370540700019b0833","112-01 Queens Boulevard, Unit 7EF")</f>
        <v>112-01 Queens Boulevard, Unit 7EF</v>
      </c>
      <c r="C4196" s="25" t="s">
        <v>370</v>
      </c>
      <c r="D4196" s="26" t="s">
        <v>23</v>
      </c>
      <c r="E4196" s="27" t="str">
        <f>HYPERLINK("https://www.compass.com/building/the-pinnacle-condominium-queens-ny/293529364891447541/","The Pinnacle Condominium")</f>
        <v>The Pinnacle Condominium</v>
      </c>
      <c r="F4196" s="25" t="s">
        <v>83</v>
      </c>
      <c r="G4196" s="28">
        <v>1495000.0</v>
      </c>
      <c r="H4196" s="28">
        <v>824.0</v>
      </c>
      <c r="I4196" s="28">
        <v>2629.0</v>
      </c>
      <c r="J4196" s="28">
        <v>8880.0</v>
      </c>
      <c r="K4196" s="25" t="s">
        <v>28</v>
      </c>
      <c r="L4196" s="26">
        <v>6.0</v>
      </c>
      <c r="M4196" s="26">
        <v>2.0</v>
      </c>
      <c r="N4196" s="26">
        <v>0.0</v>
      </c>
      <c r="O4196" s="26">
        <v>0.0</v>
      </c>
      <c r="P4196" s="34">
        <v>1815.0</v>
      </c>
      <c r="Q4196" s="35">
        <v>117.0</v>
      </c>
      <c r="R4196" s="32">
        <v>45636.0</v>
      </c>
      <c r="S4196" s="32">
        <v>42183.0</v>
      </c>
      <c r="T4196" s="29"/>
      <c r="U4196" s="33"/>
      <c r="V4196" s="1"/>
    </row>
    <row r="4197" ht="24.0" customHeight="1">
      <c r="A4197" s="1"/>
      <c r="B4197" s="24" t="str">
        <f>HYPERLINK("https://www.compass.com/listing/50-brighton-1st-road-unit-12a-brooklyn-ny-11235/807198918728094177/view?agent_id=610d3f3370540700019b0833","50 Brighton 1st Road, Unit 12A")</f>
        <v>50 Brighton 1st Road, Unit 12A</v>
      </c>
      <c r="C4197" s="25" t="s">
        <v>364</v>
      </c>
      <c r="D4197" s="26" t="s">
        <v>23</v>
      </c>
      <c r="E4197" s="27" t="str">
        <f>HYPERLINK("https://www.compass.com/building/50-brighton-1st-rd-brooklyn-ny-11235/294845772671248213/","50 Brighton 1st Rd")</f>
        <v>50 Brighton 1st Rd</v>
      </c>
      <c r="F4197" s="25" t="s">
        <v>74</v>
      </c>
      <c r="G4197" s="28">
        <v>599000.0</v>
      </c>
      <c r="H4197" s="28">
        <v>599.0</v>
      </c>
      <c r="I4197" s="28">
        <v>1119.0</v>
      </c>
      <c r="J4197" s="28">
        <v>0.0</v>
      </c>
      <c r="K4197" s="25" t="s">
        <v>25</v>
      </c>
      <c r="L4197" s="26">
        <v>4.0</v>
      </c>
      <c r="M4197" s="26">
        <v>2.0</v>
      </c>
      <c r="N4197" s="26">
        <v>1.0</v>
      </c>
      <c r="O4197" s="30"/>
      <c r="P4197" s="34">
        <v>1000.0</v>
      </c>
      <c r="Q4197" s="35">
        <v>106.0</v>
      </c>
      <c r="R4197" s="32">
        <v>44475.0</v>
      </c>
      <c r="S4197" s="32">
        <v>44368.0</v>
      </c>
      <c r="T4197" s="29"/>
      <c r="U4197" s="33"/>
      <c r="V4197" s="1"/>
    </row>
    <row r="4198" ht="24.0" customHeight="1">
      <c r="A4198" s="1"/>
      <c r="B4198" s="24" t="str">
        <f>HYPERLINK("https://www.compass.com/listing/112-01-queens-boulevard-unit-8b-queens-ny-11375/29092971638949585/view?agent_id=610d3f3370540700019b0833","112-01 Queens Boulevard, Unit 8B")</f>
        <v>112-01 Queens Boulevard, Unit 8B</v>
      </c>
      <c r="C4198" s="25" t="s">
        <v>370</v>
      </c>
      <c r="D4198" s="26" t="s">
        <v>23</v>
      </c>
      <c r="E4198" s="27" t="str">
        <f>HYPERLINK("https://www.compass.com/building/the-pinnacle-condominium-queens-ny/293529364891447541/","The Pinnacle Condominium")</f>
        <v>The Pinnacle Condominium</v>
      </c>
      <c r="F4198" s="25" t="s">
        <v>83</v>
      </c>
      <c r="G4198" s="28">
        <v>989000.0</v>
      </c>
      <c r="H4198" s="28">
        <v>871.0</v>
      </c>
      <c r="I4198" s="28">
        <v>1595.0</v>
      </c>
      <c r="J4198" s="28">
        <v>5448.0</v>
      </c>
      <c r="K4198" s="25" t="s">
        <v>28</v>
      </c>
      <c r="L4198" s="26">
        <v>4.0</v>
      </c>
      <c r="M4198" s="26">
        <v>2.0</v>
      </c>
      <c r="N4198" s="26">
        <v>0.0</v>
      </c>
      <c r="O4198" s="26">
        <v>0.0</v>
      </c>
      <c r="P4198" s="34">
        <v>1135.0</v>
      </c>
      <c r="Q4198" s="35">
        <v>170.0</v>
      </c>
      <c r="R4198" s="32">
        <v>44581.0</v>
      </c>
      <c r="S4198" s="32">
        <v>42126.0</v>
      </c>
      <c r="T4198" s="29"/>
      <c r="U4198" s="33"/>
      <c r="V4198" s="1"/>
    </row>
    <row r="4199" ht="24.0" customHeight="1">
      <c r="A4199" s="1"/>
      <c r="B4199" s="24" t="str">
        <f>HYPERLINK("https://www.compass.com/listing/125-oceana-drive-east-unit-5f-brooklyn-ny-11235/29512755107071905/view?agent_id=610d3f3370540700019b0833","125 Oceana Drive East, Unit 5F")</f>
        <v>125 Oceana Drive East, Unit 5F</v>
      </c>
      <c r="C4199" s="25" t="s">
        <v>364</v>
      </c>
      <c r="D4199" s="26" t="s">
        <v>23</v>
      </c>
      <c r="E4199" s="27" t="str">
        <f>HYPERLINK("https://www.compass.com/building/125-oceana-dr-e-brooklyn-ny-11235/293416530648083141/","125 Oceana Dr E")</f>
        <v>125 Oceana Dr E</v>
      </c>
      <c r="F4199" s="25" t="s">
        <v>74</v>
      </c>
      <c r="G4199" s="28">
        <v>899000.0</v>
      </c>
      <c r="H4199" s="29"/>
      <c r="I4199" s="28">
        <v>640.0</v>
      </c>
      <c r="J4199" s="28">
        <v>0.0</v>
      </c>
      <c r="K4199" s="25" t="s">
        <v>28</v>
      </c>
      <c r="L4199" s="26">
        <v>5.0</v>
      </c>
      <c r="M4199" s="26">
        <v>2.0</v>
      </c>
      <c r="N4199" s="30"/>
      <c r="O4199" s="30"/>
      <c r="P4199" s="30"/>
      <c r="Q4199" s="35">
        <v>40.0</v>
      </c>
      <c r="R4199" s="32">
        <v>43892.0</v>
      </c>
      <c r="S4199" s="32">
        <v>42480.0</v>
      </c>
      <c r="T4199" s="29"/>
      <c r="U4199" s="33"/>
      <c r="V4199" s="1"/>
    </row>
    <row r="4200" ht="24.0" customHeight="1">
      <c r="A4200" s="1"/>
      <c r="B4200" s="24" t="str">
        <f>HYPERLINK("https://www.compass.com/listing/45-oceana-drive-east-unit-3a-brooklyn-ny-11235/4852306054391799761/view?agent_id=610d3f3370540700019b0833","45 Oceana Drive East, Unit 3A")</f>
        <v>45 Oceana Drive East, Unit 3A</v>
      </c>
      <c r="C4200" s="25" t="s">
        <v>370</v>
      </c>
      <c r="D4200" s="26" t="s">
        <v>23</v>
      </c>
      <c r="E4200" s="27" t="str">
        <f t="shared" ref="E4200:E4201" si="172">HYPERLINK("https://www.compass.com/building/45-oceana-dr-e-brooklyn-ny-11235/293417425888636917/","45 Oceana Dr E")</f>
        <v>45 Oceana Dr E</v>
      </c>
      <c r="F4200" s="25" t="s">
        <v>74</v>
      </c>
      <c r="G4200" s="28">
        <v>699000.0</v>
      </c>
      <c r="H4200" s="28">
        <v>562.0</v>
      </c>
      <c r="I4200" s="28">
        <v>0.0</v>
      </c>
      <c r="J4200" s="29"/>
      <c r="K4200" s="25" t="s">
        <v>28</v>
      </c>
      <c r="L4200" s="26">
        <v>0.0</v>
      </c>
      <c r="M4200" s="26">
        <v>2.0</v>
      </c>
      <c r="N4200" s="26">
        <v>0.0</v>
      </c>
      <c r="O4200" s="26">
        <v>0.0</v>
      </c>
      <c r="P4200" s="34">
        <v>1243.0</v>
      </c>
      <c r="Q4200" s="35">
        <v>0.0</v>
      </c>
      <c r="R4200" s="32">
        <v>44581.0</v>
      </c>
      <c r="S4200" s="32">
        <v>41538.0</v>
      </c>
      <c r="T4200" s="29"/>
      <c r="U4200" s="33"/>
      <c r="V4200" s="1"/>
    </row>
    <row r="4201" ht="24.0" customHeight="1">
      <c r="A4201" s="1"/>
      <c r="B4201" s="24" t="str">
        <f>HYPERLINK("https://www.compass.com/listing/45-oceana-drive-east-unit-3e-brooklyn-ny-11235/4852306055129997473/view?agent_id=610d3f3370540700019b0833","45 Oceana Drive East, Unit 3E")</f>
        <v>45 Oceana Drive East, Unit 3E</v>
      </c>
      <c r="C4201" s="25" t="s">
        <v>370</v>
      </c>
      <c r="D4201" s="26" t="s">
        <v>23</v>
      </c>
      <c r="E4201" s="27" t="str">
        <f t="shared" si="172"/>
        <v>45 Oceana Dr E</v>
      </c>
      <c r="F4201" s="25" t="s">
        <v>74</v>
      </c>
      <c r="G4201" s="28">
        <v>729000.0</v>
      </c>
      <c r="H4201" s="29"/>
      <c r="I4201" s="28">
        <v>0.0</v>
      </c>
      <c r="J4201" s="29"/>
      <c r="K4201" s="25" t="s">
        <v>28</v>
      </c>
      <c r="L4201" s="26">
        <v>0.0</v>
      </c>
      <c r="M4201" s="26">
        <v>2.0</v>
      </c>
      <c r="N4201" s="26">
        <v>0.0</v>
      </c>
      <c r="O4201" s="26">
        <v>0.0</v>
      </c>
      <c r="P4201" s="30"/>
      <c r="Q4201" s="35">
        <v>0.0</v>
      </c>
      <c r="R4201" s="32">
        <v>44581.0</v>
      </c>
      <c r="S4201" s="32">
        <v>41538.0</v>
      </c>
      <c r="T4201" s="29"/>
      <c r="U4201" s="33"/>
      <c r="V4201" s="1"/>
    </row>
    <row r="4202" ht="24.0" customHeight="1">
      <c r="A4202" s="1"/>
      <c r="B4202" s="24" t="str">
        <f>HYPERLINK("https://www.compass.com/listing/105-oceana-drive-east-unit-4e-brooklyn-ny-11235/29523175553468945/view?agent_id=610d3f3370540700019b0833","105 Oceana Drive East, Unit 4E")</f>
        <v>105 Oceana Drive East, Unit 4E</v>
      </c>
      <c r="C4202" s="25" t="s">
        <v>370</v>
      </c>
      <c r="D4202" s="26" t="s">
        <v>23</v>
      </c>
      <c r="E4202" s="27" t="str">
        <f>HYPERLINK("https://www.compass.com/building/105-oceana-dr-e-brooklyn-ny-11235/294839198343251477/","105 Oceana Dr E")</f>
        <v>105 Oceana Dr E</v>
      </c>
      <c r="F4202" s="25" t="s">
        <v>74</v>
      </c>
      <c r="G4202" s="28">
        <v>899000.0</v>
      </c>
      <c r="H4202" s="29"/>
      <c r="I4202" s="28">
        <v>0.0</v>
      </c>
      <c r="J4202" s="29"/>
      <c r="K4202" s="25" t="s">
        <v>28</v>
      </c>
      <c r="L4202" s="26">
        <v>0.0</v>
      </c>
      <c r="M4202" s="26">
        <v>2.0</v>
      </c>
      <c r="N4202" s="26">
        <v>0.0</v>
      </c>
      <c r="O4202" s="26">
        <v>0.0</v>
      </c>
      <c r="P4202" s="30"/>
      <c r="Q4202" s="35">
        <v>0.0</v>
      </c>
      <c r="R4202" s="32">
        <v>44581.0</v>
      </c>
      <c r="S4202" s="32">
        <v>41538.0</v>
      </c>
      <c r="T4202" s="29"/>
      <c r="U4202" s="33"/>
      <c r="V4202" s="1"/>
    </row>
    <row r="4203" ht="24.0" customHeight="1">
      <c r="A4203" s="1"/>
      <c r="B4203" s="24" t="str">
        <f>HYPERLINK("https://www.compass.com/listing/63-west-107th-street-unit-24-manhattan-ny-10025/1892293449612833841/view?agent_id=610d3f3370540700019b0833","63 West 107th Street, Unit 24")</f>
        <v>63 West 107th Street, Unit 24</v>
      </c>
      <c r="C4203" s="25" t="s">
        <v>365</v>
      </c>
      <c r="D4203" s="26" t="s">
        <v>23</v>
      </c>
      <c r="E4203" s="27" t="str">
        <f t="shared" ref="E4203:E4204" si="173">HYPERLINK("https://www.compass.com/building/63-w-107th-st-manhattan-ny-10025/282066876404634933/","63 W 107th St")</f>
        <v>63 W 107th St</v>
      </c>
      <c r="F4203" s="25" t="s">
        <v>29</v>
      </c>
      <c r="G4203" s="28">
        <v>699000.0</v>
      </c>
      <c r="H4203" s="28">
        <v>1137.0</v>
      </c>
      <c r="I4203" s="28">
        <v>1554.0</v>
      </c>
      <c r="J4203" s="28">
        <v>7728.0</v>
      </c>
      <c r="K4203" s="25" t="s">
        <v>28</v>
      </c>
      <c r="L4203" s="26">
        <v>4.0</v>
      </c>
      <c r="M4203" s="26">
        <v>2.0</v>
      </c>
      <c r="N4203" s="26">
        <v>1.0</v>
      </c>
      <c r="O4203" s="26">
        <v>0.0</v>
      </c>
      <c r="P4203" s="26">
        <v>615.0</v>
      </c>
      <c r="Q4203" s="35">
        <v>1.0</v>
      </c>
      <c r="R4203" s="32">
        <v>45863.0</v>
      </c>
      <c r="S4203" s="32">
        <v>45862.0</v>
      </c>
      <c r="T4203" s="29"/>
      <c r="U4203" s="33"/>
      <c r="V4203" s="1"/>
    </row>
    <row r="4204" ht="24.0" customHeight="1">
      <c r="A4204" s="1"/>
      <c r="B4204" s="24" t="str">
        <f>HYPERLINK("https://www.compass.com/listing/63-west-107th-street-unit-24-manhattan-ny-10025/1892296495684335177/view?agent_id=610d3f3370540700019b0833","63 West 107th Street, Unit 24")</f>
        <v>63 West 107th Street, Unit 24</v>
      </c>
      <c r="C4204" s="25" t="s">
        <v>365</v>
      </c>
      <c r="D4204" s="26" t="s">
        <v>23</v>
      </c>
      <c r="E4204" s="27" t="str">
        <f t="shared" si="173"/>
        <v>63 W 107th St</v>
      </c>
      <c r="F4204" s="25" t="s">
        <v>29</v>
      </c>
      <c r="G4204" s="28">
        <v>699000.0</v>
      </c>
      <c r="H4204" s="28">
        <v>1137.0</v>
      </c>
      <c r="I4204" s="28">
        <v>1554.0</v>
      </c>
      <c r="J4204" s="28">
        <v>7728.0</v>
      </c>
      <c r="K4204" s="25" t="s">
        <v>28</v>
      </c>
      <c r="L4204" s="26">
        <v>4.0</v>
      </c>
      <c r="M4204" s="26">
        <v>2.0</v>
      </c>
      <c r="N4204" s="26">
        <v>1.0</v>
      </c>
      <c r="O4204" s="26">
        <v>0.0</v>
      </c>
      <c r="P4204" s="26">
        <v>615.0</v>
      </c>
      <c r="Q4204" s="35">
        <v>1.0</v>
      </c>
      <c r="R4204" s="32">
        <v>45863.0</v>
      </c>
      <c r="S4204" s="32">
        <v>45862.0</v>
      </c>
      <c r="T4204" s="29"/>
      <c r="U4204" s="33"/>
      <c r="V4204" s="1"/>
    </row>
    <row r="4205" ht="24.0" customHeight="1">
      <c r="A4205" s="1"/>
      <c r="B4205" s="24" t="str">
        <f>HYPERLINK("https://www.compass.com/listing/158-bank-street-unit-3b-manhattan-ny-10014/1872666477240972017/view?agent_id=610d3f3370540700019b0833","158 Bank Street, Unit 3B")</f>
        <v>158 Bank Street, Unit 3B</v>
      </c>
      <c r="C4205" s="25" t="s">
        <v>365</v>
      </c>
      <c r="D4205" s="26" t="s">
        <v>23</v>
      </c>
      <c r="E4205" s="27" t="str">
        <f>HYPERLINK("https://www.compass.com/building/west-village-houses-manhattan-ny/282064458564537301/","West Village Houses")</f>
        <v>West Village Houses</v>
      </c>
      <c r="F4205" s="25" t="s">
        <v>26</v>
      </c>
      <c r="G4205" s="28">
        <v>1250000.0</v>
      </c>
      <c r="H4205" s="29"/>
      <c r="I4205" s="28">
        <v>1524.0</v>
      </c>
      <c r="J4205" s="28">
        <v>0.0</v>
      </c>
      <c r="K4205" s="25" t="s">
        <v>25</v>
      </c>
      <c r="L4205" s="26">
        <v>4.0</v>
      </c>
      <c r="M4205" s="26">
        <v>2.0</v>
      </c>
      <c r="N4205" s="26">
        <v>1.0</v>
      </c>
      <c r="O4205" s="26">
        <v>0.0</v>
      </c>
      <c r="P4205" s="30"/>
      <c r="Q4205" s="35">
        <v>3.0</v>
      </c>
      <c r="R4205" s="32">
        <v>45838.0</v>
      </c>
      <c r="S4205" s="32">
        <v>45835.0</v>
      </c>
      <c r="T4205" s="29"/>
      <c r="U4205" s="33"/>
      <c r="V4205" s="1"/>
    </row>
    <row r="4206" ht="24.0" customHeight="1">
      <c r="A4206" s="1"/>
      <c r="B4206" s="24" t="str">
        <f>HYPERLINK("https://www.compass.com/listing/125-eastern-parkway-unit-52-brooklyn-ny-11238/1850184671657049161/view?agent_id=610d3f3370540700019b0833","125 Eastern Parkway, Unit 52")</f>
        <v>125 Eastern Parkway, Unit 52</v>
      </c>
      <c r="C4206" s="25" t="s">
        <v>364</v>
      </c>
      <c r="D4206" s="26" t="s">
        <v>23</v>
      </c>
      <c r="E4206" s="27" t="str">
        <f>HYPERLINK("https://www.compass.com/building/the-theodore-roosevelt-brooklyn-ny/293425839066913541/","The Theodore Roosevelt")</f>
        <v>The Theodore Roosevelt</v>
      </c>
      <c r="F4206" s="25" t="s">
        <v>39</v>
      </c>
      <c r="G4206" s="28">
        <v>799900.0</v>
      </c>
      <c r="H4206" s="28">
        <v>808.0</v>
      </c>
      <c r="I4206" s="28">
        <v>29488.0</v>
      </c>
      <c r="J4206" s="28">
        <v>333679.0</v>
      </c>
      <c r="K4206" s="25" t="s">
        <v>28</v>
      </c>
      <c r="L4206" s="26">
        <v>4.0</v>
      </c>
      <c r="M4206" s="26">
        <v>2.0</v>
      </c>
      <c r="N4206" s="26">
        <v>1.0</v>
      </c>
      <c r="O4206" s="30"/>
      <c r="P4206" s="26">
        <v>990.0</v>
      </c>
      <c r="Q4206" s="35">
        <v>0.0</v>
      </c>
      <c r="R4206" s="32">
        <v>45804.0</v>
      </c>
      <c r="S4206" s="32">
        <v>45804.0</v>
      </c>
      <c r="T4206" s="29"/>
      <c r="U4206" s="33"/>
      <c r="V4206" s="1"/>
    </row>
    <row r="4207" ht="24.0" customHeight="1">
      <c r="A4207" s="1"/>
      <c r="B4207" s="24" t="str">
        <f>HYPERLINK("https://www.compass.com/listing/39-west-67th-street-unit-1503-manhattan-ny-10023/1871093709332194409/view?agent_id=610d3f3370540700019b0833","39 West 67th Street, Unit 1503")</f>
        <v>39 West 67th Street, Unit 1503</v>
      </c>
      <c r="C4207" s="25" t="s">
        <v>365</v>
      </c>
      <c r="D4207" s="26" t="s">
        <v>23</v>
      </c>
      <c r="E4207" s="27" t="str">
        <f>HYPERLINK("https://www.compass.com/building/39-w-67th-st-manhattan-ny-10023/281960388352879269/","39 W 67th St")</f>
        <v>39 W 67th St</v>
      </c>
      <c r="F4207" s="25" t="s">
        <v>29</v>
      </c>
      <c r="G4207" s="28">
        <v>955000.0</v>
      </c>
      <c r="H4207" s="29"/>
      <c r="I4207" s="28">
        <v>3461.0</v>
      </c>
      <c r="J4207" s="28">
        <v>0.0</v>
      </c>
      <c r="K4207" s="25" t="s">
        <v>25</v>
      </c>
      <c r="L4207" s="26">
        <v>4.0</v>
      </c>
      <c r="M4207" s="26">
        <v>2.0</v>
      </c>
      <c r="N4207" s="26">
        <v>1.0</v>
      </c>
      <c r="O4207" s="26">
        <v>0.0</v>
      </c>
      <c r="P4207" s="30"/>
      <c r="Q4207" s="35">
        <v>21.0</v>
      </c>
      <c r="R4207" s="32">
        <v>45854.0</v>
      </c>
      <c r="S4207" s="32">
        <v>45833.0</v>
      </c>
      <c r="T4207" s="29"/>
      <c r="U4207" s="33"/>
      <c r="V4207" s="1"/>
    </row>
    <row r="4208" ht="24.0" customHeight="1">
      <c r="A4208" s="1"/>
      <c r="B4208" s="24" t="str">
        <f>HYPERLINK("https://www.compass.com/listing/250-east-25th-street-unit-10a-manhattan-ny-10010/1885790100661950785/view?agent_id=610d3f3370540700019b0833","250 East 25th Street, Unit 10A")</f>
        <v>250 East 25th Street, Unit 10A</v>
      </c>
      <c r="C4208" s="25" t="s">
        <v>364</v>
      </c>
      <c r="D4208" s="26" t="s">
        <v>23</v>
      </c>
      <c r="E4208" s="26" t="s">
        <v>140</v>
      </c>
      <c r="F4208" s="25" t="s">
        <v>107</v>
      </c>
      <c r="G4208" s="28">
        <v>2050000.0</v>
      </c>
      <c r="H4208" s="28">
        <v>2608.0</v>
      </c>
      <c r="I4208" s="28">
        <v>2352.0</v>
      </c>
      <c r="J4208" s="28">
        <v>16788.0</v>
      </c>
      <c r="K4208" s="25" t="s">
        <v>28</v>
      </c>
      <c r="L4208" s="26">
        <v>4.0</v>
      </c>
      <c r="M4208" s="26">
        <v>2.0</v>
      </c>
      <c r="N4208" s="30"/>
      <c r="O4208" s="30"/>
      <c r="P4208" s="26">
        <v>786.0</v>
      </c>
      <c r="Q4208" s="35">
        <v>0.0</v>
      </c>
      <c r="R4208" s="32">
        <v>45853.0</v>
      </c>
      <c r="S4208" s="32">
        <v>45853.0</v>
      </c>
      <c r="T4208" s="29"/>
      <c r="U4208" s="33"/>
      <c r="V4208" s="1"/>
    </row>
    <row r="4209" ht="24.0" customHeight="1">
      <c r="A4209" s="1"/>
      <c r="B4209" s="24" t="str">
        <f>HYPERLINK("https://www.compass.com/listing/250-mercer-street-unit-c204-manhattan-ny-10012/1838968308909417513/view?agent_id=610d3f3370540700019b0833","250 Mercer Street, Unit C204")</f>
        <v>250 Mercer Street, Unit C204</v>
      </c>
      <c r="C4209" s="25" t="s">
        <v>364</v>
      </c>
      <c r="D4209" s="26" t="s">
        <v>23</v>
      </c>
      <c r="E4209" s="27" t="str">
        <f>HYPERLINK("https://www.compass.com/building/mercer-square-owners-corp-manhattan-ny/281913053375656181/","Mercer Square Owners Corp")</f>
        <v>Mercer Square Owners Corp</v>
      </c>
      <c r="F4209" s="25" t="s">
        <v>43</v>
      </c>
      <c r="G4209" s="28">
        <v>1550000.0</v>
      </c>
      <c r="H4209" s="28">
        <v>1409.0</v>
      </c>
      <c r="I4209" s="28">
        <v>2067.0</v>
      </c>
      <c r="J4209" s="29"/>
      <c r="K4209" s="25" t="s">
        <v>25</v>
      </c>
      <c r="L4209" s="26">
        <v>4.0</v>
      </c>
      <c r="M4209" s="26">
        <v>2.0</v>
      </c>
      <c r="N4209" s="26">
        <v>0.0</v>
      </c>
      <c r="O4209" s="26">
        <v>0.0</v>
      </c>
      <c r="P4209" s="34">
        <v>1100.0</v>
      </c>
      <c r="Q4209" s="35">
        <v>0.0</v>
      </c>
      <c r="R4209" s="32">
        <v>44581.0</v>
      </c>
      <c r="S4209" s="32">
        <v>43217.0</v>
      </c>
      <c r="T4209" s="29"/>
      <c r="U4209" s="33"/>
      <c r="V4209" s="1"/>
    </row>
    <row r="4210" ht="24.0" customHeight="1">
      <c r="A4210" s="1"/>
      <c r="B4210" s="24" t="str">
        <f>HYPERLINK("https://www.compass.com/listing/208-thompson-street-unit-8-manhattan-ny-10012/1354409659861584281/view?agent_id=610d3f3370540700019b0833","208 Thompson Street, Unit 8")</f>
        <v>208 Thompson Street, Unit 8</v>
      </c>
      <c r="C4210" s="25" t="s">
        <v>364</v>
      </c>
      <c r="D4210" s="26" t="s">
        <v>23</v>
      </c>
      <c r="E4210" s="27" t="str">
        <f>HYPERLINK("https://www.compass.com/building/208-thompson-st-manhattan-ny-10012/281913988193742565/","208 Thompson St")</f>
        <v>208 Thompson St</v>
      </c>
      <c r="F4210" s="25" t="s">
        <v>43</v>
      </c>
      <c r="G4210" s="28">
        <v>785000.0</v>
      </c>
      <c r="H4210" s="29"/>
      <c r="I4210" s="28">
        <v>1392.0</v>
      </c>
      <c r="J4210" s="29"/>
      <c r="K4210" s="25" t="s">
        <v>110</v>
      </c>
      <c r="L4210" s="26">
        <v>4.0</v>
      </c>
      <c r="M4210" s="26">
        <v>2.0</v>
      </c>
      <c r="N4210" s="30"/>
      <c r="O4210" s="30"/>
      <c r="P4210" s="30"/>
      <c r="Q4210" s="35">
        <v>36.0</v>
      </c>
      <c r="R4210" s="32">
        <v>45166.0</v>
      </c>
      <c r="S4210" s="32">
        <v>45120.0</v>
      </c>
      <c r="T4210" s="28">
        <v>785000.0</v>
      </c>
      <c r="U4210" s="32">
        <v>45168.0</v>
      </c>
      <c r="V4210" s="1"/>
    </row>
    <row r="4211" ht="24.0" customHeight="1">
      <c r="A4211" s="1"/>
      <c r="B4211" s="24" t="str">
        <f>HYPERLINK("https://www.compass.com/listing/250-mercer-street-unit-b1001-manhattan-ny-10012/1263560136190247465/view?agent_id=610d3f3370540700019b0833","250 Mercer Street, Unit B1001")</f>
        <v>250 Mercer Street, Unit B1001</v>
      </c>
      <c r="C4211" s="25" t="s">
        <v>364</v>
      </c>
      <c r="D4211" s="26" t="s">
        <v>23</v>
      </c>
      <c r="E4211" s="27" t="str">
        <f t="shared" ref="E4211:E4215" si="174">HYPERLINK("https://www.compass.com/building/mercer-square-owners-corp-manhattan-ny/281913053375656181/","Mercer Square Owners Corp")</f>
        <v>Mercer Square Owners Corp</v>
      </c>
      <c r="F4211" s="25" t="s">
        <v>43</v>
      </c>
      <c r="G4211" s="28">
        <v>1499000.0</v>
      </c>
      <c r="H4211" s="29"/>
      <c r="I4211" s="28">
        <v>2840.0</v>
      </c>
      <c r="J4211" s="29"/>
      <c r="K4211" s="25" t="s">
        <v>25</v>
      </c>
      <c r="L4211" s="26">
        <v>4.0</v>
      </c>
      <c r="M4211" s="26">
        <v>2.0</v>
      </c>
      <c r="N4211" s="26">
        <v>1.0</v>
      </c>
      <c r="O4211" s="26">
        <v>0.0</v>
      </c>
      <c r="P4211" s="30"/>
      <c r="Q4211" s="35">
        <v>159.0</v>
      </c>
      <c r="R4211" s="32">
        <v>45636.0</v>
      </c>
      <c r="S4211" s="32">
        <v>44995.0</v>
      </c>
      <c r="T4211" s="29"/>
      <c r="U4211" s="33"/>
      <c r="V4211" s="1"/>
    </row>
    <row r="4212" ht="24.0" customHeight="1">
      <c r="A4212" s="1"/>
      <c r="B4212" s="24" t="str">
        <f>HYPERLINK("https://www.compass.com/listing/250-mercer-street-unit-b1401-manhattan-ny-10012/1297884839778027169/view?agent_id=610d3f3370540700019b0833","250 Mercer Street, Unit B1401")</f>
        <v>250 Mercer Street, Unit B1401</v>
      </c>
      <c r="C4212" s="25" t="s">
        <v>364</v>
      </c>
      <c r="D4212" s="26" t="s">
        <v>23</v>
      </c>
      <c r="E4212" s="27" t="str">
        <f t="shared" si="174"/>
        <v>Mercer Square Owners Corp</v>
      </c>
      <c r="F4212" s="25" t="s">
        <v>43</v>
      </c>
      <c r="G4212" s="28">
        <v>1795000.0</v>
      </c>
      <c r="H4212" s="29"/>
      <c r="I4212" s="28">
        <v>2889.0</v>
      </c>
      <c r="J4212" s="29"/>
      <c r="K4212" s="25" t="s">
        <v>25</v>
      </c>
      <c r="L4212" s="26">
        <v>4.0</v>
      </c>
      <c r="M4212" s="26">
        <v>2.0</v>
      </c>
      <c r="N4212" s="26">
        <v>1.0</v>
      </c>
      <c r="O4212" s="26">
        <v>0.0</v>
      </c>
      <c r="P4212" s="30"/>
      <c r="Q4212" s="35">
        <v>335.0</v>
      </c>
      <c r="R4212" s="32">
        <v>45636.0</v>
      </c>
      <c r="S4212" s="32">
        <v>45042.0</v>
      </c>
      <c r="T4212" s="29"/>
      <c r="U4212" s="33"/>
      <c r="V4212" s="1"/>
    </row>
    <row r="4213" ht="24.0" customHeight="1">
      <c r="A4213" s="1"/>
      <c r="B4213" s="24" t="str">
        <f>HYPERLINK("https://www.compass.com/listing/250-mercer-street-unit-b502-manhattan-ny-10012/510214458298382585/view?agent_id=610d3f3370540700019b0833","250 Mercer Street, Unit B502")</f>
        <v>250 Mercer Street, Unit B502</v>
      </c>
      <c r="C4213" s="25" t="s">
        <v>364</v>
      </c>
      <c r="D4213" s="26" t="s">
        <v>23</v>
      </c>
      <c r="E4213" s="27" t="str">
        <f t="shared" si="174"/>
        <v>Mercer Square Owners Corp</v>
      </c>
      <c r="F4213" s="25" t="s">
        <v>43</v>
      </c>
      <c r="G4213" s="28">
        <v>1485000.0</v>
      </c>
      <c r="H4213" s="28">
        <v>1485.0</v>
      </c>
      <c r="I4213" s="28">
        <v>2200.0</v>
      </c>
      <c r="J4213" s="29"/>
      <c r="K4213" s="25" t="s">
        <v>25</v>
      </c>
      <c r="L4213" s="26">
        <v>5.0</v>
      </c>
      <c r="M4213" s="26">
        <v>2.0</v>
      </c>
      <c r="N4213" s="26">
        <v>1.0</v>
      </c>
      <c r="O4213" s="26">
        <v>0.0</v>
      </c>
      <c r="P4213" s="34">
        <v>1000.0</v>
      </c>
      <c r="Q4213" s="35">
        <v>119.0</v>
      </c>
      <c r="R4213" s="32">
        <v>45636.0</v>
      </c>
      <c r="S4213" s="32">
        <v>44221.0</v>
      </c>
      <c r="T4213" s="29"/>
      <c r="U4213" s="33"/>
      <c r="V4213" s="1"/>
    </row>
    <row r="4214" ht="24.0" customHeight="1">
      <c r="A4214" s="1"/>
      <c r="B4214" s="24" t="str">
        <f>HYPERLINK("https://www.compass.com/listing/250-mercer-street-unit-c301-manhattan-ny-10012/34115606143853313/view?agent_id=610d3f3370540700019b0833","250 Mercer Street, Unit C301")</f>
        <v>250 Mercer Street, Unit C301</v>
      </c>
      <c r="C4214" s="25" t="s">
        <v>364</v>
      </c>
      <c r="D4214" s="26" t="s">
        <v>23</v>
      </c>
      <c r="E4214" s="27" t="str">
        <f t="shared" si="174"/>
        <v>Mercer Square Owners Corp</v>
      </c>
      <c r="F4214" s="25" t="s">
        <v>43</v>
      </c>
      <c r="G4214" s="28">
        <v>2199500.0</v>
      </c>
      <c r="H4214" s="28">
        <v>1833.0</v>
      </c>
      <c r="I4214" s="28">
        <v>2049.0</v>
      </c>
      <c r="J4214" s="29"/>
      <c r="K4214" s="25" t="s">
        <v>25</v>
      </c>
      <c r="L4214" s="26">
        <v>4.0</v>
      </c>
      <c r="M4214" s="26">
        <v>2.0</v>
      </c>
      <c r="N4214" s="26">
        <v>0.0</v>
      </c>
      <c r="O4214" s="26">
        <v>0.0</v>
      </c>
      <c r="P4214" s="34">
        <v>1200.0</v>
      </c>
      <c r="Q4214" s="35">
        <v>71.0</v>
      </c>
      <c r="R4214" s="32">
        <v>45636.0</v>
      </c>
      <c r="S4214" s="32">
        <v>43263.0</v>
      </c>
      <c r="T4214" s="29"/>
      <c r="U4214" s="33"/>
      <c r="V4214" s="1"/>
    </row>
    <row r="4215" ht="24.0" customHeight="1">
      <c r="A4215" s="1"/>
      <c r="B4215" s="24" t="str">
        <f>HYPERLINK("https://www.compass.com/listing/250-mercer-street-unit-b502-manhattan-ny-10012/871662266313243809/view?agent_id=610d3f3370540700019b0833","250 Mercer Street, Unit B502")</f>
        <v>250 Mercer Street, Unit B502</v>
      </c>
      <c r="C4215" s="25" t="s">
        <v>364</v>
      </c>
      <c r="D4215" s="26" t="s">
        <v>23</v>
      </c>
      <c r="E4215" s="27" t="str">
        <f t="shared" si="174"/>
        <v>Mercer Square Owners Corp</v>
      </c>
      <c r="F4215" s="25" t="s">
        <v>43</v>
      </c>
      <c r="G4215" s="28">
        <v>1350000.0</v>
      </c>
      <c r="H4215" s="29"/>
      <c r="I4215" s="28">
        <v>2500.0</v>
      </c>
      <c r="J4215" s="29"/>
      <c r="K4215" s="25" t="s">
        <v>25</v>
      </c>
      <c r="L4215" s="26">
        <v>5.0</v>
      </c>
      <c r="M4215" s="26">
        <v>2.0</v>
      </c>
      <c r="N4215" s="26">
        <v>1.0</v>
      </c>
      <c r="O4215" s="26">
        <v>0.0</v>
      </c>
      <c r="P4215" s="30"/>
      <c r="Q4215" s="35">
        <v>7.0</v>
      </c>
      <c r="R4215" s="32">
        <v>44581.0</v>
      </c>
      <c r="S4215" s="32">
        <v>44454.0</v>
      </c>
      <c r="T4215" s="29"/>
      <c r="U4215" s="33"/>
      <c r="V4215" s="1"/>
    </row>
    <row r="4216" ht="24.0" customHeight="1">
      <c r="A4216" s="1"/>
      <c r="B4216" s="24" t="str">
        <f>HYPERLINK("https://www.compass.com/listing/180-thompson-street-unit-3c-manhattan-ny-10012/50859729982933169/view?agent_id=610d3f3370540700019b0833","180 Thompson St, Unit 3C")</f>
        <v>180 Thompson St, Unit 3C</v>
      </c>
      <c r="C4216" s="25" t="s">
        <v>364</v>
      </c>
      <c r="D4216" s="26" t="s">
        <v>23</v>
      </c>
      <c r="E4216" s="27" t="str">
        <f>HYPERLINK("https://www.compass.com/building/180-thompson-st-manhattan-ny-10012/281913563965058325/","180 Thompson St")</f>
        <v>180 Thompson St</v>
      </c>
      <c r="F4216" s="25" t="s">
        <v>43</v>
      </c>
      <c r="G4216" s="28">
        <v>1100000.0</v>
      </c>
      <c r="H4216" s="29"/>
      <c r="I4216" s="28">
        <v>1353.0</v>
      </c>
      <c r="J4216" s="29"/>
      <c r="K4216" s="25" t="s">
        <v>25</v>
      </c>
      <c r="L4216" s="26">
        <v>4.0</v>
      </c>
      <c r="M4216" s="26">
        <v>2.0</v>
      </c>
      <c r="N4216" s="26">
        <v>1.0</v>
      </c>
      <c r="O4216" s="30"/>
      <c r="P4216" s="30"/>
      <c r="Q4216" s="35">
        <v>393.0</v>
      </c>
      <c r="R4216" s="32">
        <v>42748.0</v>
      </c>
      <c r="S4216" s="32">
        <v>42220.0</v>
      </c>
      <c r="T4216" s="29"/>
      <c r="U4216" s="33"/>
      <c r="V4216" s="1"/>
    </row>
    <row r="4217" ht="24.0" customHeight="1">
      <c r="A4217" s="1"/>
      <c r="B4217" s="24" t="str">
        <f>HYPERLINK("https://www.compass.com/listing/210-thompson-street-unit-6as-manhattan-ny-10012/542697888042613137/view?agent_id=610d3f3370540700019b0833","210 Thompson Street, Unit 6AS")</f>
        <v>210 Thompson Street, Unit 6AS</v>
      </c>
      <c r="C4217" s="25" t="s">
        <v>370</v>
      </c>
      <c r="D4217" s="26" t="s">
        <v>23</v>
      </c>
      <c r="E4217" s="27" t="str">
        <f t="shared" ref="E4217:E4218" si="175">HYPERLINK("https://www.compass.com/building/210-thompson-st-manhattan-ny-10012/282064343934209477/","210 Thompson St")</f>
        <v>210 Thompson St</v>
      </c>
      <c r="F4217" s="25" t="s">
        <v>43</v>
      </c>
      <c r="G4217" s="28">
        <v>675000.0</v>
      </c>
      <c r="H4217" s="29"/>
      <c r="I4217" s="28">
        <v>1391.0</v>
      </c>
      <c r="J4217" s="29"/>
      <c r="K4217" s="25" t="s">
        <v>25</v>
      </c>
      <c r="L4217" s="26">
        <v>4.0</v>
      </c>
      <c r="M4217" s="26">
        <v>2.0</v>
      </c>
      <c r="N4217" s="26">
        <v>1.0</v>
      </c>
      <c r="O4217" s="26">
        <v>0.0</v>
      </c>
      <c r="P4217" s="30"/>
      <c r="Q4217" s="35">
        <v>175.0</v>
      </c>
      <c r="R4217" s="32">
        <v>45636.0</v>
      </c>
      <c r="S4217" s="32">
        <v>43999.0</v>
      </c>
      <c r="T4217" s="29"/>
      <c r="U4217" s="33"/>
      <c r="V4217" s="1"/>
    </row>
    <row r="4218" ht="24.0" customHeight="1">
      <c r="A4218" s="1"/>
      <c r="B4218" s="24" t="str">
        <f>HYPERLINK("https://www.compass.com/listing/210-thompson-street-unit-3ds-manhattan-ny-10012/801621266393898721/view?agent_id=610d3f3370540700019b0833","210 Thompson Street, Unit 3DS")</f>
        <v>210 Thompson Street, Unit 3DS</v>
      </c>
      <c r="C4218" s="25" t="s">
        <v>364</v>
      </c>
      <c r="D4218" s="26" t="s">
        <v>23</v>
      </c>
      <c r="E4218" s="27" t="str">
        <f t="shared" si="175"/>
        <v>210 Thompson St</v>
      </c>
      <c r="F4218" s="25" t="s">
        <v>43</v>
      </c>
      <c r="G4218" s="28">
        <v>1100000.0</v>
      </c>
      <c r="H4218" s="29"/>
      <c r="I4218" s="28">
        <v>1391.0</v>
      </c>
      <c r="J4218" s="29"/>
      <c r="K4218" s="25" t="s">
        <v>110</v>
      </c>
      <c r="L4218" s="26">
        <v>4.0</v>
      </c>
      <c r="M4218" s="26">
        <v>2.0</v>
      </c>
      <c r="N4218" s="26">
        <v>1.0</v>
      </c>
      <c r="O4218" s="26">
        <v>0.0</v>
      </c>
      <c r="P4218" s="30"/>
      <c r="Q4218" s="35">
        <v>96.0</v>
      </c>
      <c r="R4218" s="32">
        <v>45636.0</v>
      </c>
      <c r="S4218" s="32">
        <v>44351.0</v>
      </c>
      <c r="T4218" s="29"/>
      <c r="U4218" s="33"/>
      <c r="V4218" s="1"/>
    </row>
    <row r="4219" ht="24.0" customHeight="1">
      <c r="A4219" s="1"/>
      <c r="B4219" s="24" t="str">
        <f>HYPERLINK("https://www.compass.com/listing/250-mercer-street-unit-b1206-manhattan-ny-10012/1809627632325609161/view?agent_id=610d3f3370540700019b0833","250 Mercer Street, Unit B1206")</f>
        <v>250 Mercer Street, Unit B1206</v>
      </c>
      <c r="C4219" s="25" t="s">
        <v>364</v>
      </c>
      <c r="D4219" s="26" t="s">
        <v>23</v>
      </c>
      <c r="E4219" s="27" t="str">
        <f>HYPERLINK("https://www.compass.com/building/mercer-square-owners-corp-manhattan-ny/281913053375656181/","Mercer Square Owners Corp")</f>
        <v>Mercer Square Owners Corp</v>
      </c>
      <c r="F4219" s="25" t="s">
        <v>43</v>
      </c>
      <c r="G4219" s="28">
        <v>2900000.0</v>
      </c>
      <c r="H4219" s="29"/>
      <c r="I4219" s="28">
        <v>3500.0</v>
      </c>
      <c r="J4219" s="29"/>
      <c r="K4219" s="25" t="s">
        <v>25</v>
      </c>
      <c r="L4219" s="26">
        <v>4.0</v>
      </c>
      <c r="M4219" s="26">
        <v>2.0</v>
      </c>
      <c r="N4219" s="26">
        <v>0.0</v>
      </c>
      <c r="O4219" s="26">
        <v>0.0</v>
      </c>
      <c r="P4219" s="30"/>
      <c r="Q4219" s="31"/>
      <c r="R4219" s="32">
        <v>44581.0</v>
      </c>
      <c r="S4219" s="33"/>
      <c r="T4219" s="29"/>
      <c r="U4219" s="33"/>
      <c r="V4219" s="1"/>
    </row>
    <row r="4220" ht="24.0" customHeight="1">
      <c r="A4220" s="1"/>
      <c r="B4220" s="24" t="str">
        <f>HYPERLINK("https://www.compass.com/listing/88-bleecker-street-unit-6d-manhattan-ny-10012/1860564251353575225/view?agent_id=610d3f3370540700019b0833","88 Bleecker St, Unit 6D")</f>
        <v>88 Bleecker St, Unit 6D</v>
      </c>
      <c r="C4220" s="25" t="s">
        <v>364</v>
      </c>
      <c r="D4220" s="26" t="s">
        <v>23</v>
      </c>
      <c r="E4220" s="27" t="str">
        <f>HYPERLINK("https://www.compass.com/building/atrium-manhattan-ny/281916134603650677/","Atrium")</f>
        <v>Atrium</v>
      </c>
      <c r="F4220" s="25" t="s">
        <v>43</v>
      </c>
      <c r="G4220" s="28">
        <v>950000.0</v>
      </c>
      <c r="H4220" s="29"/>
      <c r="I4220" s="28">
        <v>1172.0</v>
      </c>
      <c r="J4220" s="28">
        <v>0.0</v>
      </c>
      <c r="K4220" s="25" t="s">
        <v>25</v>
      </c>
      <c r="L4220" s="26">
        <v>4.0</v>
      </c>
      <c r="M4220" s="26">
        <v>2.0</v>
      </c>
      <c r="N4220" s="30"/>
      <c r="O4220" s="30"/>
      <c r="P4220" s="30"/>
      <c r="Q4220" s="31"/>
      <c r="R4220" s="32">
        <v>41269.0</v>
      </c>
      <c r="S4220" s="33"/>
      <c r="T4220" s="29"/>
      <c r="U4220" s="33"/>
      <c r="V4220" s="1"/>
    </row>
    <row r="4221" ht="24.0" customHeight="1">
      <c r="A4221" s="1"/>
      <c r="B4221" s="24" t="str">
        <f>HYPERLINK("https://www.compass.com/listing/210-thompson-street-unit-3ds-manhattan-ny-10012/978338799166521497/view?agent_id=610d3f3370540700019b0833","210 Thompson Street, Unit 3DS")</f>
        <v>210 Thompson Street, Unit 3DS</v>
      </c>
      <c r="C4221" s="25" t="s">
        <v>364</v>
      </c>
      <c r="D4221" s="26" t="s">
        <v>23</v>
      </c>
      <c r="E4221" s="27" t="str">
        <f>HYPERLINK("https://www.compass.com/building/210-thompson-st-manhattan-ny-10012/282064343934209477/","210 Thompson St")</f>
        <v>210 Thompson St</v>
      </c>
      <c r="F4221" s="25" t="s">
        <v>43</v>
      </c>
      <c r="G4221" s="28">
        <v>995000.0</v>
      </c>
      <c r="H4221" s="29"/>
      <c r="I4221" s="28">
        <v>1391.0</v>
      </c>
      <c r="J4221" s="29"/>
      <c r="K4221" s="25" t="s">
        <v>25</v>
      </c>
      <c r="L4221" s="26">
        <v>4.0</v>
      </c>
      <c r="M4221" s="26">
        <v>2.0</v>
      </c>
      <c r="N4221" s="26">
        <v>1.0</v>
      </c>
      <c r="O4221" s="26">
        <v>0.0</v>
      </c>
      <c r="P4221" s="30"/>
      <c r="Q4221" s="35">
        <v>134.0</v>
      </c>
      <c r="R4221" s="32">
        <v>45224.0</v>
      </c>
      <c r="S4221" s="32">
        <v>44601.0</v>
      </c>
      <c r="T4221" s="29"/>
      <c r="U4221" s="33"/>
      <c r="V4221" s="1"/>
    </row>
    <row r="4222" ht="24.0" customHeight="1">
      <c r="A4222" s="1"/>
      <c r="B4222" s="24" t="str">
        <f>HYPERLINK("https://www.compass.com/listing/250-mercer-street-unit-c302-manhattan-ny-10012/803346022491474441/view?agent_id=610d3f3370540700019b0833","250 Mercer Street, Unit C302")</f>
        <v>250 Mercer Street, Unit C302</v>
      </c>
      <c r="C4222" s="25" t="s">
        <v>364</v>
      </c>
      <c r="D4222" s="26" t="s">
        <v>23</v>
      </c>
      <c r="E4222" s="27" t="str">
        <f>HYPERLINK("https://www.compass.com/building/mercer-square-owners-corp-manhattan-ny/281913053375656181/","Mercer Square Owners Corp")</f>
        <v>Mercer Square Owners Corp</v>
      </c>
      <c r="F4222" s="25" t="s">
        <v>43</v>
      </c>
      <c r="G4222" s="28">
        <v>2200000.0</v>
      </c>
      <c r="H4222" s="29"/>
      <c r="I4222" s="28">
        <v>2501.0</v>
      </c>
      <c r="J4222" s="29"/>
      <c r="K4222" s="25" t="s">
        <v>25</v>
      </c>
      <c r="L4222" s="26">
        <v>4.0</v>
      </c>
      <c r="M4222" s="26">
        <v>2.0</v>
      </c>
      <c r="N4222" s="26">
        <v>1.0</v>
      </c>
      <c r="O4222" s="26">
        <v>0.0</v>
      </c>
      <c r="P4222" s="30"/>
      <c r="Q4222" s="35">
        <v>81.0</v>
      </c>
      <c r="R4222" s="32">
        <v>45636.0</v>
      </c>
      <c r="S4222" s="32">
        <v>43777.0</v>
      </c>
      <c r="T4222" s="29"/>
      <c r="U4222" s="33"/>
      <c r="V4222" s="1"/>
    </row>
    <row r="4223" ht="24.0" customHeight="1">
      <c r="A4223" s="1"/>
      <c r="B4223" s="24" t="str">
        <f>HYPERLINK("https://www.compass.com/listing/77-bleecker-street-unit-120-manhattan-ny-10012/4852271064023054833/view?agent_id=610d3f3370540700019b0833","77 Bleecker Street, Unit 120")</f>
        <v>77 Bleecker Street, Unit 120</v>
      </c>
      <c r="C4223" s="25" t="s">
        <v>364</v>
      </c>
      <c r="D4223" s="26" t="s">
        <v>23</v>
      </c>
      <c r="E4223" s="27" t="str">
        <f>HYPERLINK("https://www.compass.com/building/bleecker-court-manhattan-ny/281916010771019189/","Bleecker Court")</f>
        <v>Bleecker Court</v>
      </c>
      <c r="F4223" s="25" t="s">
        <v>43</v>
      </c>
      <c r="G4223" s="28">
        <v>1999000.0</v>
      </c>
      <c r="H4223" s="29"/>
      <c r="I4223" s="28">
        <v>3052.0</v>
      </c>
      <c r="J4223" s="29"/>
      <c r="K4223" s="25" t="s">
        <v>25</v>
      </c>
      <c r="L4223" s="26">
        <v>6.0</v>
      </c>
      <c r="M4223" s="26">
        <v>2.0</v>
      </c>
      <c r="N4223" s="26">
        <v>0.0</v>
      </c>
      <c r="O4223" s="26">
        <v>0.0</v>
      </c>
      <c r="P4223" s="30"/>
      <c r="Q4223" s="35">
        <v>266.0</v>
      </c>
      <c r="R4223" s="32">
        <v>45636.0</v>
      </c>
      <c r="S4223" s="32">
        <v>41724.0</v>
      </c>
      <c r="T4223" s="29"/>
      <c r="U4223" s="33"/>
      <c r="V4223" s="1"/>
    </row>
    <row r="4224" ht="24.0" customHeight="1">
      <c r="A4224" s="1"/>
      <c r="B4224" s="24" t="str">
        <f>HYPERLINK("https://www.compass.com/listing/200-mercer-street-unit-1h-manhattan-ny-10012/921339985747625673/view?agent_id=610d3f3370540700019b0833","200 Mercer Street, Unit 1H")</f>
        <v>200 Mercer Street, Unit 1H</v>
      </c>
      <c r="C4224" s="25" t="s">
        <v>370</v>
      </c>
      <c r="D4224" s="26" t="s">
        <v>23</v>
      </c>
      <c r="E4224" s="27" t="str">
        <f>HYPERLINK("https://www.compass.com/building/200-mercer-st-manhattan-ny-10012/281913920128576613/","200 Mercer St")</f>
        <v>200 Mercer St</v>
      </c>
      <c r="F4224" s="25" t="s">
        <v>43</v>
      </c>
      <c r="G4224" s="28">
        <v>2250000.0</v>
      </c>
      <c r="H4224" s="28">
        <v>740.0</v>
      </c>
      <c r="I4224" s="28">
        <v>2419.0</v>
      </c>
      <c r="J4224" s="29"/>
      <c r="K4224" s="25" t="s">
        <v>25</v>
      </c>
      <c r="L4224" s="26">
        <v>5.0</v>
      </c>
      <c r="M4224" s="26">
        <v>2.0</v>
      </c>
      <c r="N4224" s="26">
        <v>0.0</v>
      </c>
      <c r="O4224" s="26">
        <v>0.0</v>
      </c>
      <c r="P4224" s="34">
        <v>3042.0</v>
      </c>
      <c r="Q4224" s="35">
        <v>341.0</v>
      </c>
      <c r="R4224" s="32">
        <v>45636.0</v>
      </c>
      <c r="S4224" s="32">
        <v>42579.0</v>
      </c>
      <c r="T4224" s="29"/>
      <c r="U4224" s="33"/>
      <c r="V4224" s="1"/>
    </row>
    <row r="4225" ht="24.0" customHeight="1">
      <c r="A4225" s="1"/>
      <c r="B4225" s="24" t="str">
        <f>HYPERLINK("https://www.compass.com/listing/33-5th-avenue-unit-2c-manhattan-ny-10003/192569344901796209/view?agent_id=610d3f3370540700019b0833","33 5th Avenue, Unit 2C")</f>
        <v>33 5th Avenue, Unit 2C</v>
      </c>
      <c r="C4225" s="25" t="s">
        <v>364</v>
      </c>
      <c r="D4225" s="26" t="s">
        <v>23</v>
      </c>
      <c r="E4225" s="27" t="str">
        <f>HYPERLINK("https://www.compass.com/building/33-5th-ave-manhattan-ny-10003/281892710195928629/","33 5th Ave")</f>
        <v>33 5th Ave</v>
      </c>
      <c r="F4225" s="25" t="s">
        <v>43</v>
      </c>
      <c r="G4225" s="28">
        <v>1112500.0</v>
      </c>
      <c r="H4225" s="29"/>
      <c r="I4225" s="28">
        <v>2632.0</v>
      </c>
      <c r="J4225" s="29"/>
      <c r="K4225" s="25" t="s">
        <v>25</v>
      </c>
      <c r="L4225" s="26">
        <v>4.0</v>
      </c>
      <c r="M4225" s="26">
        <v>2.0</v>
      </c>
      <c r="N4225" s="26">
        <v>1.0</v>
      </c>
      <c r="O4225" s="26">
        <v>0.0</v>
      </c>
      <c r="P4225" s="30"/>
      <c r="Q4225" s="35">
        <v>103.0</v>
      </c>
      <c r="R4225" s="32">
        <v>44581.0</v>
      </c>
      <c r="S4225" s="32">
        <v>44082.0</v>
      </c>
      <c r="T4225" s="29"/>
      <c r="U4225" s="33"/>
      <c r="V4225" s="1"/>
    </row>
    <row r="4226" ht="24.0" customHeight="1">
      <c r="A4226" s="1"/>
      <c r="B4226" s="24" t="str">
        <f>HYPERLINK("https://www.compass.com/listing/88-bleecker-street-unit-4d-manhattan-ny-10012/4848428237925135665/view?agent_id=610d3f3370540700019b0833","88 Bleecker St, Unit 4D")</f>
        <v>88 Bleecker St, Unit 4D</v>
      </c>
      <c r="C4226" s="25" t="s">
        <v>364</v>
      </c>
      <c r="D4226" s="26" t="s">
        <v>23</v>
      </c>
      <c r="E4226" s="27" t="str">
        <f>HYPERLINK("https://www.compass.com/building/atrium-manhattan-ny/281916134603650677/","Atrium")</f>
        <v>Atrium</v>
      </c>
      <c r="F4226" s="25" t="s">
        <v>43</v>
      </c>
      <c r="G4226" s="28">
        <v>915000.0</v>
      </c>
      <c r="H4226" s="29"/>
      <c r="I4226" s="28">
        <v>779.0</v>
      </c>
      <c r="J4226" s="29"/>
      <c r="K4226" s="25" t="s">
        <v>25</v>
      </c>
      <c r="L4226" s="26">
        <v>4.0</v>
      </c>
      <c r="M4226" s="26">
        <v>2.0</v>
      </c>
      <c r="N4226" s="30"/>
      <c r="O4226" s="30"/>
      <c r="P4226" s="30"/>
      <c r="Q4226" s="31"/>
      <c r="R4226" s="32">
        <v>42477.0</v>
      </c>
      <c r="S4226" s="33"/>
      <c r="T4226" s="29"/>
      <c r="U4226" s="33"/>
      <c r="V4226" s="1"/>
    </row>
    <row r="4227" ht="24.0" customHeight="1">
      <c r="A4227" s="1"/>
      <c r="B4227" s="24" t="str">
        <f>HYPERLINK("https://www.compass.com/listing/77-bleecker-street-unit-303-304-manhattan-ny-10012/4852266404621074401/view?agent_id=610d3f3370540700019b0833","77 Bleecker Street, Unit 303/304")</f>
        <v>77 Bleecker Street, Unit 303/304</v>
      </c>
      <c r="C4227" s="25" t="s">
        <v>364</v>
      </c>
      <c r="D4227" s="26" t="s">
        <v>23</v>
      </c>
      <c r="E4227" s="27" t="str">
        <f>HYPERLINK("https://www.compass.com/building/bleecker-court-manhattan-ny/281916010771019189/","Bleecker Court")</f>
        <v>Bleecker Court</v>
      </c>
      <c r="F4227" s="25" t="s">
        <v>43</v>
      </c>
      <c r="G4227" s="28">
        <v>2395000.0</v>
      </c>
      <c r="H4227" s="29"/>
      <c r="I4227" s="28">
        <v>3928.0</v>
      </c>
      <c r="J4227" s="29"/>
      <c r="K4227" s="25" t="s">
        <v>25</v>
      </c>
      <c r="L4227" s="26">
        <v>7.0</v>
      </c>
      <c r="M4227" s="26">
        <v>2.0</v>
      </c>
      <c r="N4227" s="26">
        <v>0.0</v>
      </c>
      <c r="O4227" s="26">
        <v>0.0</v>
      </c>
      <c r="P4227" s="30"/>
      <c r="Q4227" s="35">
        <v>1313.0</v>
      </c>
      <c r="R4227" s="32">
        <v>45636.0</v>
      </c>
      <c r="S4227" s="32">
        <v>41565.0</v>
      </c>
      <c r="T4227" s="29"/>
      <c r="U4227" s="33"/>
      <c r="V4227" s="1"/>
    </row>
    <row r="4228" ht="24.0" customHeight="1">
      <c r="A4228" s="1"/>
      <c r="B4228" s="24" t="str">
        <f>HYPERLINK("https://www.compass.com/listing/40-50-east-10th-street-unit-3b-manhattan-ny-10003/79407256159919793/view?agent_id=610d3f3370540700019b0833","40-50 East 10th Street, Unit 3B")</f>
        <v>40-50 East 10th Street, Unit 3B</v>
      </c>
      <c r="C4228" s="25" t="s">
        <v>364</v>
      </c>
      <c r="D4228" s="26" t="s">
        <v>23</v>
      </c>
      <c r="E4228" s="27" t="str">
        <f>HYPERLINK("https://www.compass.com/building/40-50-e-10th-st-manhattan-ny-10003/294837650074453237/","40-50 E 10th St")</f>
        <v>40-50 E 10th St</v>
      </c>
      <c r="F4228" s="25" t="s">
        <v>43</v>
      </c>
      <c r="G4228" s="28">
        <v>2047500.0</v>
      </c>
      <c r="H4228" s="29"/>
      <c r="I4228" s="28">
        <v>3040.0</v>
      </c>
      <c r="J4228" s="29"/>
      <c r="K4228" s="25" t="s">
        <v>25</v>
      </c>
      <c r="L4228" s="26">
        <v>5.0</v>
      </c>
      <c r="M4228" s="26">
        <v>2.0</v>
      </c>
      <c r="N4228" s="26">
        <v>0.0</v>
      </c>
      <c r="O4228" s="26">
        <v>0.0</v>
      </c>
      <c r="P4228" s="30"/>
      <c r="Q4228" s="35">
        <v>60.0</v>
      </c>
      <c r="R4228" s="32">
        <v>45636.0</v>
      </c>
      <c r="S4228" s="32">
        <v>43236.0</v>
      </c>
      <c r="T4228" s="29"/>
      <c r="U4228" s="33"/>
      <c r="V4228" s="1"/>
    </row>
    <row r="4229" ht="24.0" customHeight="1">
      <c r="A4229" s="1"/>
      <c r="B4229" s="24" t="str">
        <f>HYPERLINK("https://www.compass.com/listing/39-east-12th-street-unit-102-manhattan-ny-10003/29506657771858609/view?agent_id=610d3f3370540700019b0833","39 East 12th Street, Unit 102")</f>
        <v>39 East 12th Street, Unit 102</v>
      </c>
      <c r="C4229" s="25" t="s">
        <v>364</v>
      </c>
      <c r="D4229" s="26" t="s">
        <v>23</v>
      </c>
      <c r="E4229" s="27" t="str">
        <f>HYPERLINK("https://www.compass.com/building/university-mews-manhattan-ny/281893422162256293/","University Mews")</f>
        <v>University Mews</v>
      </c>
      <c r="F4229" s="25" t="s">
        <v>43</v>
      </c>
      <c r="G4229" s="28">
        <v>2850000.0</v>
      </c>
      <c r="H4229" s="29"/>
      <c r="I4229" s="28">
        <v>2950.0</v>
      </c>
      <c r="J4229" s="29"/>
      <c r="K4229" s="25" t="s">
        <v>25</v>
      </c>
      <c r="L4229" s="26">
        <v>5.0</v>
      </c>
      <c r="M4229" s="26">
        <v>2.0</v>
      </c>
      <c r="N4229" s="26">
        <v>0.0</v>
      </c>
      <c r="O4229" s="26">
        <v>0.0</v>
      </c>
      <c r="P4229" s="30"/>
      <c r="Q4229" s="35">
        <v>195.0</v>
      </c>
      <c r="R4229" s="32">
        <v>45636.0</v>
      </c>
      <c r="S4229" s="32">
        <v>43228.0</v>
      </c>
      <c r="T4229" s="29"/>
      <c r="U4229" s="33"/>
      <c r="V4229" s="1"/>
    </row>
    <row r="4230" ht="24.0" customHeight="1">
      <c r="A4230" s="1"/>
      <c r="B4230" s="24" t="str">
        <f>HYPERLINK("https://www.compass.com/listing/210-thompson-street-unit-4bn-manhattan-ny-10012/628079675335564121/view?agent_id=610d3f3370540700019b0833","210 Thompson Street, Unit 4BN")</f>
        <v>210 Thompson Street, Unit 4BN</v>
      </c>
      <c r="C4230" s="25" t="s">
        <v>364</v>
      </c>
      <c r="D4230" s="26" t="s">
        <v>23</v>
      </c>
      <c r="E4230" s="27" t="str">
        <f>HYPERLINK("https://www.compass.com/building/210-thompson-st-manhattan-ny-10012/282064343934209477/","210 Thompson St")</f>
        <v>210 Thompson St</v>
      </c>
      <c r="F4230" s="25" t="s">
        <v>43</v>
      </c>
      <c r="G4230" s="28">
        <v>799000.0</v>
      </c>
      <c r="H4230" s="29"/>
      <c r="I4230" s="28">
        <v>1391.0</v>
      </c>
      <c r="J4230" s="28">
        <v>0.0</v>
      </c>
      <c r="K4230" s="25" t="s">
        <v>442</v>
      </c>
      <c r="L4230" s="26">
        <v>4.0</v>
      </c>
      <c r="M4230" s="26">
        <v>2.0</v>
      </c>
      <c r="N4230" s="26">
        <v>1.0</v>
      </c>
      <c r="O4230" s="30"/>
      <c r="P4230" s="30"/>
      <c r="Q4230" s="35">
        <v>1.0</v>
      </c>
      <c r="R4230" s="32">
        <v>44148.0</v>
      </c>
      <c r="S4230" s="32">
        <v>44118.0</v>
      </c>
      <c r="T4230" s="29"/>
      <c r="U4230" s="33"/>
      <c r="V4230" s="1"/>
    </row>
    <row r="4231" ht="24.0" customHeight="1">
      <c r="A4231" s="1"/>
      <c r="B4231" s="24" t="str">
        <f>HYPERLINK("https://www.compass.com/listing/67-east-11th-street-unit-705-manhattan-ny-10003/29507988641410033/view?agent_id=610d3f3370540700019b0833","67 E 11th St, Unit 705")</f>
        <v>67 E 11th St, Unit 705</v>
      </c>
      <c r="C4231" s="25" t="s">
        <v>364</v>
      </c>
      <c r="D4231" s="26" t="s">
        <v>23</v>
      </c>
      <c r="E4231" s="27" t="str">
        <f>HYPERLINK("https://www.compass.com/building/cast-iron-building-manhattan-ny/282059003654079797/","Cast Iron Building")</f>
        <v>Cast Iron Building</v>
      </c>
      <c r="F4231" s="25" t="s">
        <v>43</v>
      </c>
      <c r="G4231" s="28">
        <v>1350000.0</v>
      </c>
      <c r="H4231" s="29"/>
      <c r="I4231" s="28">
        <v>2391.0</v>
      </c>
      <c r="J4231" s="28">
        <v>0.0</v>
      </c>
      <c r="K4231" s="25" t="s">
        <v>25</v>
      </c>
      <c r="L4231" s="26">
        <v>4.0</v>
      </c>
      <c r="M4231" s="26">
        <v>2.0</v>
      </c>
      <c r="N4231" s="30"/>
      <c r="O4231" s="30"/>
      <c r="P4231" s="30"/>
      <c r="Q4231" s="35">
        <v>95.0</v>
      </c>
      <c r="R4231" s="32">
        <v>42947.0</v>
      </c>
      <c r="S4231" s="32">
        <v>42852.0</v>
      </c>
      <c r="T4231" s="29"/>
      <c r="U4231" s="33"/>
      <c r="V4231" s="1"/>
    </row>
    <row r="4232" ht="24.0" customHeight="1">
      <c r="A4232" s="1"/>
      <c r="B4232" s="24" t="str">
        <f>HYPERLINK("https://www.compass.com/listing/29-east-9th-street-unit-3grdn-manhattan-ny-10003/4852277394561574433/view?agent_id=610d3f3370540700019b0833","29 East 9th Street, Unit 3GRDN")</f>
        <v>29 East 9th Street, Unit 3GRDN</v>
      </c>
      <c r="C4232" s="25" t="s">
        <v>364</v>
      </c>
      <c r="D4232" s="26" t="s">
        <v>23</v>
      </c>
      <c r="E4232" s="27" t="str">
        <f t="shared" ref="E4232:E4233" si="176">HYPERLINK("https://www.compass.com/building/29-e-9th-st-manhattan-ny-10003/292785639051507413/","29 E 9th St")</f>
        <v>29 E 9th St</v>
      </c>
      <c r="F4232" s="25" t="s">
        <v>43</v>
      </c>
      <c r="G4232" s="28">
        <v>2599000.0</v>
      </c>
      <c r="H4232" s="29"/>
      <c r="I4232" s="28">
        <v>4389.0</v>
      </c>
      <c r="J4232" s="29"/>
      <c r="K4232" s="25" t="s">
        <v>25</v>
      </c>
      <c r="L4232" s="26">
        <v>6.0</v>
      </c>
      <c r="M4232" s="26">
        <v>2.0</v>
      </c>
      <c r="N4232" s="26">
        <v>0.0</v>
      </c>
      <c r="O4232" s="26">
        <v>0.0</v>
      </c>
      <c r="P4232" s="30"/>
      <c r="Q4232" s="35">
        <v>55.0</v>
      </c>
      <c r="R4232" s="32">
        <v>45636.0</v>
      </c>
      <c r="S4232" s="32">
        <v>42892.0</v>
      </c>
      <c r="T4232" s="29"/>
      <c r="U4232" s="33"/>
      <c r="V4232" s="1"/>
    </row>
    <row r="4233" ht="24.0" customHeight="1">
      <c r="A4233" s="1"/>
      <c r="B4233" s="24" t="str">
        <f>HYPERLINK("https://www.compass.com/listing/29-east-9th-street-unit-3-manhattan-ny-10003/50874341017095633/view?agent_id=610d3f3370540700019b0833","29 East 9th Street, Unit 3")</f>
        <v>29 East 9th Street, Unit 3</v>
      </c>
      <c r="C4233" s="25" t="s">
        <v>364</v>
      </c>
      <c r="D4233" s="26" t="s">
        <v>23</v>
      </c>
      <c r="E4233" s="27" t="str">
        <f t="shared" si="176"/>
        <v>29 E 9th St</v>
      </c>
      <c r="F4233" s="25" t="s">
        <v>43</v>
      </c>
      <c r="G4233" s="28">
        <v>2599000.0</v>
      </c>
      <c r="H4233" s="29"/>
      <c r="I4233" s="28">
        <v>4389.0</v>
      </c>
      <c r="J4233" s="29"/>
      <c r="K4233" s="25" t="s">
        <v>25</v>
      </c>
      <c r="L4233" s="26">
        <v>6.0</v>
      </c>
      <c r="M4233" s="26">
        <v>2.0</v>
      </c>
      <c r="N4233" s="26">
        <v>0.0</v>
      </c>
      <c r="O4233" s="26">
        <v>0.0</v>
      </c>
      <c r="P4233" s="30"/>
      <c r="Q4233" s="35">
        <v>123.0</v>
      </c>
      <c r="R4233" s="32">
        <v>45636.0</v>
      </c>
      <c r="S4233" s="32">
        <v>42768.0</v>
      </c>
      <c r="T4233" s="29"/>
      <c r="U4233" s="33"/>
      <c r="V4233" s="1"/>
    </row>
    <row r="4234" ht="24.0" customHeight="1">
      <c r="A4234" s="1"/>
      <c r="B4234" s="24" t="str">
        <f>HYPERLINK("https://www.compass.com/listing/88-bleecker-street-unit-6f-manhattan-ny-10012/79376726223825905/view?agent_id=610d3f3370540700019b0833","88 Bleecker St, Unit 6F")</f>
        <v>88 Bleecker St, Unit 6F</v>
      </c>
      <c r="C4234" s="25" t="s">
        <v>370</v>
      </c>
      <c r="D4234" s="26" t="s">
        <v>23</v>
      </c>
      <c r="E4234" s="27" t="str">
        <f t="shared" ref="E4234:E4235" si="177">HYPERLINK("https://www.compass.com/building/atrium-manhattan-ny/281916134603650677/","Atrium")</f>
        <v>Atrium</v>
      </c>
      <c r="F4234" s="25" t="s">
        <v>43</v>
      </c>
      <c r="G4234" s="28">
        <v>1030000.0</v>
      </c>
      <c r="H4234" s="29"/>
      <c r="I4234" s="28">
        <v>1211.0</v>
      </c>
      <c r="J4234" s="29"/>
      <c r="K4234" s="25" t="s">
        <v>25</v>
      </c>
      <c r="L4234" s="26">
        <v>5.0</v>
      </c>
      <c r="M4234" s="26">
        <v>2.0</v>
      </c>
      <c r="N4234" s="30"/>
      <c r="O4234" s="30"/>
      <c r="P4234" s="30"/>
      <c r="Q4234" s="35">
        <v>0.0</v>
      </c>
      <c r="R4234" s="32">
        <v>42478.0</v>
      </c>
      <c r="S4234" s="32">
        <v>40389.0</v>
      </c>
      <c r="T4234" s="29"/>
      <c r="U4234" s="33"/>
      <c r="V4234" s="1"/>
    </row>
    <row r="4235" ht="24.0" customHeight="1">
      <c r="A4235" s="1"/>
      <c r="B4235" s="24" t="str">
        <f>HYPERLINK("https://www.compass.com/listing/88-bleecker-street-unit-6d-manhattan-ny-10012/79517887924079089/view?agent_id=610d3f3370540700019b0833","88 Bleecker Street, Unit 6D")</f>
        <v>88 Bleecker Street, Unit 6D</v>
      </c>
      <c r="C4235" s="25" t="s">
        <v>364</v>
      </c>
      <c r="D4235" s="26" t="s">
        <v>23</v>
      </c>
      <c r="E4235" s="27" t="str">
        <f t="shared" si="177"/>
        <v>Atrium</v>
      </c>
      <c r="F4235" s="25" t="s">
        <v>43</v>
      </c>
      <c r="G4235" s="28">
        <v>950000.0</v>
      </c>
      <c r="H4235" s="29"/>
      <c r="I4235" s="28">
        <v>1172.0</v>
      </c>
      <c r="J4235" s="29"/>
      <c r="K4235" s="25" t="s">
        <v>25</v>
      </c>
      <c r="L4235" s="26">
        <v>4.0</v>
      </c>
      <c r="M4235" s="26">
        <v>2.0</v>
      </c>
      <c r="N4235" s="26">
        <v>0.0</v>
      </c>
      <c r="O4235" s="26">
        <v>0.0</v>
      </c>
      <c r="P4235" s="30"/>
      <c r="Q4235" s="35">
        <v>178.0</v>
      </c>
      <c r="R4235" s="32">
        <v>45636.0</v>
      </c>
      <c r="S4235" s="32">
        <v>41227.0</v>
      </c>
      <c r="T4235" s="29"/>
      <c r="U4235" s="33"/>
      <c r="V4235" s="1"/>
    </row>
    <row r="4236" ht="24.0" customHeight="1">
      <c r="A4236" s="1"/>
      <c r="B4236" s="24" t="str">
        <f>HYPERLINK("https://www.compass.com/listing/23-east-10th-street-unit-8o4-manhattan-ny-10003/786927572778996377/view?agent_id=610d3f3370540700019b0833","23 East 10th Street, Unit 8O4")</f>
        <v>23 East 10th Street, Unit 8O4</v>
      </c>
      <c r="C4236" s="25" t="s">
        <v>364</v>
      </c>
      <c r="D4236" s="26" t="s">
        <v>23</v>
      </c>
      <c r="E4236" s="27" t="str">
        <f t="shared" ref="E4236:E4237" si="178">HYPERLINK("https://www.compass.com/building/the-albert-manhattan-ny/292786710872340549/","The Albert")</f>
        <v>The Albert</v>
      </c>
      <c r="F4236" s="25" t="s">
        <v>43</v>
      </c>
      <c r="G4236" s="28">
        <v>1615000.0</v>
      </c>
      <c r="H4236" s="29"/>
      <c r="I4236" s="28">
        <v>2613.0</v>
      </c>
      <c r="J4236" s="29"/>
      <c r="K4236" s="25" t="s">
        <v>25</v>
      </c>
      <c r="L4236" s="26">
        <v>4.0</v>
      </c>
      <c r="M4236" s="26">
        <v>2.0</v>
      </c>
      <c r="N4236" s="26">
        <v>1.0</v>
      </c>
      <c r="O4236" s="26">
        <v>0.0</v>
      </c>
      <c r="P4236" s="30"/>
      <c r="Q4236" s="35">
        <v>177.0</v>
      </c>
      <c r="R4236" s="32">
        <v>45636.0</v>
      </c>
      <c r="S4236" s="32">
        <v>44337.0</v>
      </c>
      <c r="T4236" s="29"/>
      <c r="U4236" s="33"/>
      <c r="V4236" s="1"/>
    </row>
    <row r="4237" ht="24.0" customHeight="1">
      <c r="A4237" s="1"/>
      <c r="B4237" s="24" t="str">
        <f>HYPERLINK("https://www.compass.com/listing/23-east-10th-street-unit-804-manhattan-ny-10003/871876462703934017/view?agent_id=610d3f3370540700019b0833","23 East 10th Street, Unit 804")</f>
        <v>23 East 10th Street, Unit 804</v>
      </c>
      <c r="C4237" s="25" t="s">
        <v>370</v>
      </c>
      <c r="D4237" s="26" t="s">
        <v>23</v>
      </c>
      <c r="E4237" s="27" t="str">
        <f t="shared" si="178"/>
        <v>The Albert</v>
      </c>
      <c r="F4237" s="25" t="s">
        <v>43</v>
      </c>
      <c r="G4237" s="28">
        <v>1650000.0</v>
      </c>
      <c r="H4237" s="29"/>
      <c r="I4237" s="28">
        <v>2613.0</v>
      </c>
      <c r="J4237" s="29"/>
      <c r="K4237" s="25" t="s">
        <v>25</v>
      </c>
      <c r="L4237" s="26">
        <v>4.0</v>
      </c>
      <c r="M4237" s="26">
        <v>2.0</v>
      </c>
      <c r="N4237" s="26">
        <v>1.0</v>
      </c>
      <c r="O4237" s="30"/>
      <c r="P4237" s="30"/>
      <c r="Q4237" s="35">
        <v>87.0</v>
      </c>
      <c r="R4237" s="32">
        <v>45612.0</v>
      </c>
      <c r="S4237" s="32">
        <v>44330.0</v>
      </c>
      <c r="T4237" s="29"/>
      <c r="U4237" s="33"/>
      <c r="V4237" s="1"/>
    </row>
    <row r="4238" ht="24.0" customHeight="1">
      <c r="A4238" s="1"/>
      <c r="B4238" s="24" t="str">
        <f>HYPERLINK("https://www.compass.com/listing/30-east-9th-street-unit-5a-manhattan-ny-10003/1800336410058844401/view?agent_id=610d3f3370540700019b0833","30 East 9th Street, Unit 5A")</f>
        <v>30 East 9th Street, Unit 5A</v>
      </c>
      <c r="C4238" s="25" t="s">
        <v>365</v>
      </c>
      <c r="D4238" s="26" t="s">
        <v>23</v>
      </c>
      <c r="E4238" s="27" t="str">
        <f>HYPERLINK("https://www.compass.com/building/the-lafayette-manhattan-ny/292781948961564533/","The Lafayette")</f>
        <v>The Lafayette</v>
      </c>
      <c r="F4238" s="25" t="s">
        <v>43</v>
      </c>
      <c r="G4238" s="28">
        <v>1495000.0</v>
      </c>
      <c r="H4238" s="29"/>
      <c r="I4238" s="28">
        <v>2359.0</v>
      </c>
      <c r="J4238" s="28">
        <v>0.0</v>
      </c>
      <c r="K4238" s="25" t="s">
        <v>25</v>
      </c>
      <c r="L4238" s="26">
        <v>4.0</v>
      </c>
      <c r="M4238" s="26">
        <v>2.0</v>
      </c>
      <c r="N4238" s="26">
        <v>1.0</v>
      </c>
      <c r="O4238" s="26">
        <v>0.0</v>
      </c>
      <c r="P4238" s="30"/>
      <c r="Q4238" s="35">
        <v>85.0</v>
      </c>
      <c r="R4238" s="32">
        <v>45862.0</v>
      </c>
      <c r="S4238" s="32">
        <v>45735.0</v>
      </c>
      <c r="T4238" s="29"/>
      <c r="U4238" s="33"/>
      <c r="V4238" s="1"/>
    </row>
    <row r="4239" ht="24.0" customHeight="1">
      <c r="A4239" s="1"/>
      <c r="B4239" s="24" t="str">
        <f>HYPERLINK("https://www.compass.com/listing/250-mercer-street-unit-b1206-manhattan-ny-10012/801610964151331113/view?agent_id=610d3f3370540700019b0833","250 Mercer Street, Unit B1206")</f>
        <v>250 Mercer Street, Unit B1206</v>
      </c>
      <c r="C4239" s="25" t="s">
        <v>364</v>
      </c>
      <c r="D4239" s="26" t="s">
        <v>23</v>
      </c>
      <c r="E4239" s="27" t="str">
        <f>HYPERLINK("https://www.compass.com/building/mercer-square-owners-corp-manhattan-ny/281913053375656181/","Mercer Square Owners Corp")</f>
        <v>Mercer Square Owners Corp</v>
      </c>
      <c r="F4239" s="25" t="s">
        <v>43</v>
      </c>
      <c r="G4239" s="28">
        <v>2900000.0</v>
      </c>
      <c r="H4239" s="29"/>
      <c r="I4239" s="28">
        <v>3500.0</v>
      </c>
      <c r="J4239" s="29"/>
      <c r="K4239" s="25" t="s">
        <v>25</v>
      </c>
      <c r="L4239" s="26">
        <v>5.0</v>
      </c>
      <c r="M4239" s="26">
        <v>2.0</v>
      </c>
      <c r="N4239" s="26">
        <v>0.0</v>
      </c>
      <c r="O4239" s="26">
        <v>0.0</v>
      </c>
      <c r="P4239" s="30"/>
      <c r="Q4239" s="35">
        <v>30.0</v>
      </c>
      <c r="R4239" s="32">
        <v>45636.0</v>
      </c>
      <c r="S4239" s="32">
        <v>42314.0</v>
      </c>
      <c r="T4239" s="29"/>
      <c r="U4239" s="33"/>
      <c r="V4239" s="1"/>
    </row>
    <row r="4240" ht="24.0" customHeight="1">
      <c r="A4240" s="1"/>
      <c r="B4240" s="24" t="str">
        <f>HYPERLINK("https://www.compass.com/listing/30-east-9th-street-unit-2nn-manhattan-ny-10003/1617490559175869145/view?agent_id=610d3f3370540700019b0833","30 East 9th Street, Unit 2NN")</f>
        <v>30 East 9th Street, Unit 2NN</v>
      </c>
      <c r="C4240" s="25" t="s">
        <v>364</v>
      </c>
      <c r="D4240" s="26" t="s">
        <v>23</v>
      </c>
      <c r="E4240" s="27" t="str">
        <f t="shared" ref="E4240:E4241" si="179">HYPERLINK("https://www.compass.com/building/the-lafayette-manhattan-ny/292781948961564533/","The Lafayette")</f>
        <v>The Lafayette</v>
      </c>
      <c r="F4240" s="25" t="s">
        <v>43</v>
      </c>
      <c r="G4240" s="28">
        <v>1495000.0</v>
      </c>
      <c r="H4240" s="29"/>
      <c r="I4240" s="28">
        <v>2226.0</v>
      </c>
      <c r="J4240" s="28">
        <v>0.0</v>
      </c>
      <c r="K4240" s="25" t="s">
        <v>25</v>
      </c>
      <c r="L4240" s="26">
        <v>5.0</v>
      </c>
      <c r="M4240" s="26">
        <v>2.0</v>
      </c>
      <c r="N4240" s="26">
        <v>1.0</v>
      </c>
      <c r="O4240" s="26">
        <v>0.0</v>
      </c>
      <c r="P4240" s="30"/>
      <c r="Q4240" s="35">
        <v>144.0</v>
      </c>
      <c r="R4240" s="32">
        <v>45695.0</v>
      </c>
      <c r="S4240" s="32">
        <v>45426.0</v>
      </c>
      <c r="T4240" s="29"/>
      <c r="U4240" s="33"/>
      <c r="V4240" s="1"/>
    </row>
    <row r="4241" ht="24.0" customHeight="1">
      <c r="A4241" s="1"/>
      <c r="B4241" s="24" t="str">
        <f>HYPERLINK("https://www.compass.com/listing/30-east-9th-street-unit-2nn-manhattan-ny-10003/1838990072935161753/view?agent_id=610d3f3370540700019b0833","30 East 9th Street, Unit 2NN")</f>
        <v>30 East 9th Street, Unit 2NN</v>
      </c>
      <c r="C4241" s="25" t="s">
        <v>364</v>
      </c>
      <c r="D4241" s="26" t="s">
        <v>23</v>
      </c>
      <c r="E4241" s="27" t="str">
        <f t="shared" si="179"/>
        <v>The Lafayette</v>
      </c>
      <c r="F4241" s="25" t="s">
        <v>43</v>
      </c>
      <c r="G4241" s="28">
        <v>1495000.0</v>
      </c>
      <c r="H4241" s="29"/>
      <c r="I4241" s="28">
        <v>2226.0</v>
      </c>
      <c r="J4241" s="28">
        <v>0.0</v>
      </c>
      <c r="K4241" s="25" t="s">
        <v>25</v>
      </c>
      <c r="L4241" s="26">
        <v>5.0</v>
      </c>
      <c r="M4241" s="26">
        <v>2.0</v>
      </c>
      <c r="N4241" s="26">
        <v>1.0</v>
      </c>
      <c r="O4241" s="26">
        <v>0.0</v>
      </c>
      <c r="P4241" s="30"/>
      <c r="Q4241" s="35">
        <v>57.0</v>
      </c>
      <c r="R4241" s="32">
        <v>45483.0</v>
      </c>
      <c r="S4241" s="32">
        <v>45426.0</v>
      </c>
      <c r="T4241" s="29"/>
      <c r="U4241" s="33"/>
      <c r="V4241" s="1"/>
    </row>
    <row r="4242" ht="24.0" customHeight="1">
      <c r="A4242" s="1"/>
      <c r="B4242" s="24" t="str">
        <f>HYPERLINK("https://www.compass.com/listing/67-east-11th-street-unit-ph705-manhattan-ny-10003/4703729876253826097/view?agent_id=610d3f3370540700019b0833","67 E 11th St, Unit PH705")</f>
        <v>67 E 11th St, Unit PH705</v>
      </c>
      <c r="C4242" s="25" t="s">
        <v>364</v>
      </c>
      <c r="D4242" s="26" t="s">
        <v>23</v>
      </c>
      <c r="E4242" s="27" t="str">
        <f>HYPERLINK("https://www.compass.com/building/cast-iron-building-manhattan-ny/282059003654079797/","Cast Iron Building")</f>
        <v>Cast Iron Building</v>
      </c>
      <c r="F4242" s="25" t="s">
        <v>43</v>
      </c>
      <c r="G4242" s="28">
        <v>1350000.0</v>
      </c>
      <c r="H4242" s="28">
        <v>1227.0</v>
      </c>
      <c r="I4242" s="28">
        <v>2391.0</v>
      </c>
      <c r="J4242" s="29"/>
      <c r="K4242" s="25" t="s">
        <v>25</v>
      </c>
      <c r="L4242" s="26">
        <v>4.0</v>
      </c>
      <c r="M4242" s="26">
        <v>2.0</v>
      </c>
      <c r="N4242" s="30"/>
      <c r="O4242" s="30"/>
      <c r="P4242" s="34">
        <v>1100.0</v>
      </c>
      <c r="Q4242" s="35">
        <v>95.0</v>
      </c>
      <c r="R4242" s="32">
        <v>42948.0</v>
      </c>
      <c r="S4242" s="32">
        <v>42852.0</v>
      </c>
      <c r="T4242" s="29"/>
      <c r="U4242" s="33"/>
      <c r="V4242" s="1"/>
    </row>
    <row r="4243" ht="24.0" customHeight="1">
      <c r="A4243" s="1"/>
      <c r="B4243" s="24" t="str">
        <f>HYPERLINK("https://www.compass.com/listing/7-east-9th-street-unit-1-manhattan-ny-10003/1809624966291477529/view?agent_id=610d3f3370540700019b0833","7 East 9th Street, Unit 1")</f>
        <v>7 East 9th Street, Unit 1</v>
      </c>
      <c r="C4243" s="25" t="s">
        <v>370</v>
      </c>
      <c r="D4243" s="26" t="s">
        <v>23</v>
      </c>
      <c r="E4243" s="27" t="str">
        <f t="shared" ref="E4243:E4244" si="180">HYPERLINK("https://www.compass.com/building/7-e-9th-st-manhattan-ny-10003/281894590703738949/","7 E 9th St")</f>
        <v>7 E 9th St</v>
      </c>
      <c r="F4243" s="25" t="s">
        <v>43</v>
      </c>
      <c r="G4243" s="28">
        <v>1595000.0</v>
      </c>
      <c r="H4243" s="28">
        <v>742.0</v>
      </c>
      <c r="I4243" s="28">
        <v>3110.0</v>
      </c>
      <c r="J4243" s="29"/>
      <c r="K4243" s="25" t="s">
        <v>25</v>
      </c>
      <c r="L4243" s="26">
        <v>5.0</v>
      </c>
      <c r="M4243" s="26">
        <v>2.0</v>
      </c>
      <c r="N4243" s="26">
        <v>0.0</v>
      </c>
      <c r="O4243" s="26">
        <v>0.0</v>
      </c>
      <c r="P4243" s="34">
        <v>2150.0</v>
      </c>
      <c r="Q4243" s="35">
        <v>144.0</v>
      </c>
      <c r="R4243" s="32">
        <v>44581.0</v>
      </c>
      <c r="S4243" s="32">
        <v>41186.0</v>
      </c>
      <c r="T4243" s="29"/>
      <c r="U4243" s="33"/>
      <c r="V4243" s="1"/>
    </row>
    <row r="4244" ht="24.0" customHeight="1">
      <c r="A4244" s="1"/>
      <c r="B4244" s="24" t="str">
        <f>HYPERLINK("https://www.compass.com/listing/7-east-9th-street-unit-3fr-manhattan-ny-10003/963904638529832617/view?agent_id=610d3f3370540700019b0833","7 East 9th Street, Unit 3FR")</f>
        <v>7 East 9th Street, Unit 3FR</v>
      </c>
      <c r="C4244" s="25" t="s">
        <v>364</v>
      </c>
      <c r="D4244" s="26" t="s">
        <v>23</v>
      </c>
      <c r="E4244" s="27" t="str">
        <f t="shared" si="180"/>
        <v>7 E 9th St</v>
      </c>
      <c r="F4244" s="25" t="s">
        <v>43</v>
      </c>
      <c r="G4244" s="28">
        <v>2500000.0</v>
      </c>
      <c r="H4244" s="29"/>
      <c r="I4244" s="28">
        <v>2183.0</v>
      </c>
      <c r="J4244" s="29"/>
      <c r="K4244" s="25" t="s">
        <v>25</v>
      </c>
      <c r="L4244" s="26">
        <v>4.0</v>
      </c>
      <c r="M4244" s="26">
        <v>2.0</v>
      </c>
      <c r="N4244" s="26">
        <v>1.0</v>
      </c>
      <c r="O4244" s="26">
        <v>0.0</v>
      </c>
      <c r="P4244" s="30"/>
      <c r="Q4244" s="35">
        <v>328.0</v>
      </c>
      <c r="R4244" s="32">
        <v>45636.0</v>
      </c>
      <c r="S4244" s="32">
        <v>44581.0</v>
      </c>
      <c r="T4244" s="29"/>
      <c r="U4244" s="33"/>
      <c r="V4244" s="1"/>
    </row>
    <row r="4245" ht="24.0" customHeight="1">
      <c r="A4245" s="1"/>
      <c r="B4245" s="24" t="str">
        <f>HYPERLINK("https://www.compass.com/listing/1-5th-avenue-unit-2k-manhattan-ny-10003/1425550341690713969/view?agent_id=610d3f3370540700019b0833","1 5th Avenue, Unit 2K")</f>
        <v>1 5th Avenue, Unit 2K</v>
      </c>
      <c r="C4245" s="25" t="s">
        <v>364</v>
      </c>
      <c r="D4245" s="26" t="s">
        <v>23</v>
      </c>
      <c r="E4245" s="27" t="str">
        <f>HYPERLINK("https://www.compass.com/building/one-fifth-avenue-manhattan-ny/281888545268827205/","One Fifth Avenue")</f>
        <v>One Fifth Avenue</v>
      </c>
      <c r="F4245" s="25" t="s">
        <v>43</v>
      </c>
      <c r="G4245" s="28">
        <v>1775000.0</v>
      </c>
      <c r="H4245" s="29"/>
      <c r="I4245" s="28">
        <v>2235.0</v>
      </c>
      <c r="J4245" s="28">
        <v>0.0</v>
      </c>
      <c r="K4245" s="25" t="s">
        <v>25</v>
      </c>
      <c r="L4245" s="26">
        <v>4.0</v>
      </c>
      <c r="M4245" s="26">
        <v>2.0</v>
      </c>
      <c r="N4245" s="26">
        <v>1.0</v>
      </c>
      <c r="O4245" s="26">
        <v>0.0</v>
      </c>
      <c r="P4245" s="30"/>
      <c r="Q4245" s="35">
        <v>32.0</v>
      </c>
      <c r="R4245" s="32">
        <v>45636.0</v>
      </c>
      <c r="S4245" s="32">
        <v>45218.0</v>
      </c>
      <c r="T4245" s="29"/>
      <c r="U4245" s="33"/>
      <c r="V4245" s="1"/>
    </row>
    <row r="4246" ht="24.0" customHeight="1">
      <c r="A4246" s="1"/>
      <c r="B4246" s="24" t="str">
        <f>HYPERLINK("https://www.compass.com/listing/200-mercer-street-unit-1h-manhattan-ny-10012/803301574755047809/view?agent_id=610d3f3370540700019b0833","200 Mercer Street, Unit 1H")</f>
        <v>200 Mercer Street, Unit 1H</v>
      </c>
      <c r="C4246" s="25" t="s">
        <v>364</v>
      </c>
      <c r="D4246" s="26" t="s">
        <v>23</v>
      </c>
      <c r="E4246" s="27" t="str">
        <f>HYPERLINK("https://www.compass.com/building/200-mercer-st-manhattan-ny-10012/281913920128576613/","200 Mercer St")</f>
        <v>200 Mercer St</v>
      </c>
      <c r="F4246" s="25" t="s">
        <v>43</v>
      </c>
      <c r="G4246" s="28">
        <v>3000000.0</v>
      </c>
      <c r="H4246" s="28">
        <v>986.0</v>
      </c>
      <c r="I4246" s="28">
        <v>2420.0</v>
      </c>
      <c r="J4246" s="29"/>
      <c r="K4246" s="25" t="s">
        <v>25</v>
      </c>
      <c r="L4246" s="26">
        <v>5.0</v>
      </c>
      <c r="M4246" s="26">
        <v>2.0</v>
      </c>
      <c r="N4246" s="26">
        <v>0.0</v>
      </c>
      <c r="O4246" s="26">
        <v>0.0</v>
      </c>
      <c r="P4246" s="34">
        <v>3042.0</v>
      </c>
      <c r="Q4246" s="35">
        <v>110.0</v>
      </c>
      <c r="R4246" s="32">
        <v>45636.0</v>
      </c>
      <c r="S4246" s="32">
        <v>42461.0</v>
      </c>
      <c r="T4246" s="29"/>
      <c r="U4246" s="33"/>
      <c r="V4246" s="1"/>
    </row>
    <row r="4247" ht="24.0" customHeight="1">
      <c r="A4247" s="1"/>
      <c r="B4247" s="24" t="str">
        <f>HYPERLINK("https://www.compass.com/listing/60-east-9th-street-unit-304-manhattan-ny-10003/268633295237968273/view?agent_id=610d3f3370540700019b0833","60 East 9th Street, Unit 304")</f>
        <v>60 East 9th Street, Unit 304</v>
      </c>
      <c r="C4247" s="25" t="s">
        <v>370</v>
      </c>
      <c r="D4247" s="26" t="s">
        <v>23</v>
      </c>
      <c r="E4247" s="27" t="str">
        <f t="shared" ref="E4247:E4248" si="181">HYPERLINK("https://www.compass.com/building/the-hamilton-manhattan-ny/281894235555241157/","The Hamilton")</f>
        <v>The Hamilton</v>
      </c>
      <c r="F4247" s="25" t="s">
        <v>43</v>
      </c>
      <c r="G4247" s="28">
        <v>1199000.0</v>
      </c>
      <c r="H4247" s="29"/>
      <c r="I4247" s="28">
        <v>1952.0</v>
      </c>
      <c r="J4247" s="29"/>
      <c r="K4247" s="25" t="s">
        <v>25</v>
      </c>
      <c r="L4247" s="26">
        <v>4.0</v>
      </c>
      <c r="M4247" s="26">
        <v>2.0</v>
      </c>
      <c r="N4247" s="26">
        <v>1.0</v>
      </c>
      <c r="O4247" s="26">
        <v>0.0</v>
      </c>
      <c r="P4247" s="30"/>
      <c r="Q4247" s="35">
        <v>175.0</v>
      </c>
      <c r="R4247" s="32">
        <v>45636.0</v>
      </c>
      <c r="S4247" s="32">
        <v>43622.0</v>
      </c>
      <c r="T4247" s="29"/>
      <c r="U4247" s="33"/>
      <c r="V4247" s="1"/>
    </row>
    <row r="4248" ht="24.0" customHeight="1">
      <c r="A4248" s="1"/>
      <c r="B4248" s="24" t="str">
        <f>HYPERLINK("https://www.compass.com/listing/60-east-9th-street-unit-226-manhattan-ny-10003/29364735812078033/view?agent_id=610d3f3370540700019b0833","60 East 9th Street, Unit 226")</f>
        <v>60 East 9th Street, Unit 226</v>
      </c>
      <c r="C4248" s="25" t="s">
        <v>370</v>
      </c>
      <c r="D4248" s="26" t="s">
        <v>23</v>
      </c>
      <c r="E4248" s="27" t="str">
        <f t="shared" si="181"/>
        <v>The Hamilton</v>
      </c>
      <c r="F4248" s="25" t="s">
        <v>43</v>
      </c>
      <c r="G4248" s="28">
        <v>1195000.0</v>
      </c>
      <c r="H4248" s="28">
        <v>1195.0</v>
      </c>
      <c r="I4248" s="28">
        <v>1766.0</v>
      </c>
      <c r="J4248" s="29"/>
      <c r="K4248" s="25" t="s">
        <v>25</v>
      </c>
      <c r="L4248" s="26">
        <v>4.0</v>
      </c>
      <c r="M4248" s="26">
        <v>2.0</v>
      </c>
      <c r="N4248" s="26">
        <v>0.0</v>
      </c>
      <c r="O4248" s="26">
        <v>0.0</v>
      </c>
      <c r="P4248" s="34">
        <v>1000.0</v>
      </c>
      <c r="Q4248" s="35">
        <v>107.0</v>
      </c>
      <c r="R4248" s="32">
        <v>45636.0</v>
      </c>
      <c r="S4248" s="32">
        <v>42825.0</v>
      </c>
      <c r="T4248" s="29"/>
      <c r="U4248" s="33"/>
      <c r="V4248" s="1"/>
    </row>
    <row r="4249" ht="24.0" customHeight="1">
      <c r="A4249" s="1"/>
      <c r="B4249" s="24" t="str">
        <f>HYPERLINK("https://www.compass.com/listing/7-east-9th-street-unit-1-manhattan-ny-10003/921568300269001033/view?agent_id=610d3f3370540700019b0833","7 East 9th Street, Unit 1")</f>
        <v>7 East 9th Street, Unit 1</v>
      </c>
      <c r="C4249" s="25" t="s">
        <v>370</v>
      </c>
      <c r="D4249" s="26" t="s">
        <v>23</v>
      </c>
      <c r="E4249" s="27" t="str">
        <f>HYPERLINK("https://www.compass.com/building/7-e-9th-st-manhattan-ny-10003/281894590703738949/","7 E 9th St")</f>
        <v>7 E 9th St</v>
      </c>
      <c r="F4249" s="25" t="s">
        <v>43</v>
      </c>
      <c r="G4249" s="28">
        <v>1495000.0</v>
      </c>
      <c r="H4249" s="28">
        <v>695.0</v>
      </c>
      <c r="I4249" s="28">
        <v>3110.0</v>
      </c>
      <c r="J4249" s="29"/>
      <c r="K4249" s="25" t="s">
        <v>25</v>
      </c>
      <c r="L4249" s="26">
        <v>5.0</v>
      </c>
      <c r="M4249" s="26">
        <v>2.0</v>
      </c>
      <c r="N4249" s="26">
        <v>0.0</v>
      </c>
      <c r="O4249" s="26">
        <v>0.0</v>
      </c>
      <c r="P4249" s="34">
        <v>2150.0</v>
      </c>
      <c r="Q4249" s="35">
        <v>222.0</v>
      </c>
      <c r="R4249" s="32">
        <v>45636.0</v>
      </c>
      <c r="S4249" s="32">
        <v>41292.0</v>
      </c>
      <c r="T4249" s="29"/>
      <c r="U4249" s="33"/>
      <c r="V4249" s="1"/>
    </row>
    <row r="4250" ht="24.0" customHeight="1">
      <c r="A4250" s="1"/>
      <c r="B4250" s="24" t="str">
        <f>HYPERLINK("https://www.compass.com/listing/39-east-12th-street-unit-311-manhattan-ny-10003/70914998393639617/view?agent_id=610d3f3370540700019b0833","39 E 12th St, Unit 311")</f>
        <v>39 E 12th St, Unit 311</v>
      </c>
      <c r="C4250" s="25" t="s">
        <v>364</v>
      </c>
      <c r="D4250" s="26" t="s">
        <v>23</v>
      </c>
      <c r="E4250" s="27" t="str">
        <f>HYPERLINK("https://www.compass.com/building/university-mews-manhattan-ny/281893422162256293/","University Mews")</f>
        <v>University Mews</v>
      </c>
      <c r="F4250" s="25" t="s">
        <v>43</v>
      </c>
      <c r="G4250" s="28">
        <v>850000.0</v>
      </c>
      <c r="H4250" s="29"/>
      <c r="I4250" s="28">
        <v>1972.0</v>
      </c>
      <c r="J4250" s="29"/>
      <c r="K4250" s="25" t="s">
        <v>25</v>
      </c>
      <c r="L4250" s="26">
        <v>4.0</v>
      </c>
      <c r="M4250" s="26">
        <v>2.0</v>
      </c>
      <c r="N4250" s="30"/>
      <c r="O4250" s="30"/>
      <c r="P4250" s="30"/>
      <c r="Q4250" s="35">
        <v>182.0</v>
      </c>
      <c r="R4250" s="32">
        <v>43725.0</v>
      </c>
      <c r="S4250" s="32">
        <v>40102.0</v>
      </c>
      <c r="T4250" s="28">
        <v>850000.0</v>
      </c>
      <c r="U4250" s="32">
        <v>40358.0</v>
      </c>
      <c r="V4250" s="1"/>
    </row>
    <row r="4251" ht="24.0" customHeight="1">
      <c r="A4251" s="1"/>
      <c r="B4251" s="24" t="str">
        <f>HYPERLINK("https://www.compass.com/listing/184-thompson-street-unit-6n-manhattan-ny-10012/79376815713499153/view?agent_id=610d3f3370540700019b0833","184 Thompson St, Unit 6N")</f>
        <v>184 Thompson St, Unit 6N</v>
      </c>
      <c r="C4251" s="25" t="s">
        <v>364</v>
      </c>
      <c r="D4251" s="26" t="s">
        <v>23</v>
      </c>
      <c r="E4251" s="27" t="str">
        <f>HYPERLINK("https://www.compass.com/building/184-thompson-st-manhattan-ny-10012/281913651978333013/","184 Thompson St")</f>
        <v>184 Thompson St</v>
      </c>
      <c r="F4251" s="25" t="s">
        <v>43</v>
      </c>
      <c r="G4251" s="28">
        <v>1485000.0</v>
      </c>
      <c r="H4251" s="28">
        <v>1783.0</v>
      </c>
      <c r="I4251" s="28">
        <v>1411.0</v>
      </c>
      <c r="J4251" s="28">
        <v>6840.0</v>
      </c>
      <c r="K4251" s="25" t="s">
        <v>28</v>
      </c>
      <c r="L4251" s="26">
        <v>4.0</v>
      </c>
      <c r="M4251" s="26">
        <v>2.0</v>
      </c>
      <c r="N4251" s="30"/>
      <c r="O4251" s="30"/>
      <c r="P4251" s="26">
        <v>833.0</v>
      </c>
      <c r="Q4251" s="35">
        <v>86.0</v>
      </c>
      <c r="R4251" s="32">
        <v>42477.0</v>
      </c>
      <c r="S4251" s="32">
        <v>39884.0</v>
      </c>
      <c r="T4251" s="29"/>
      <c r="U4251" s="33"/>
      <c r="V4251" s="1"/>
    </row>
    <row r="4252" ht="24.0" customHeight="1">
      <c r="A4252" s="1"/>
      <c r="B4252" s="24" t="str">
        <f>HYPERLINK("https://www.compass.com/listing/45-east-9th-street-unit-38-manhattan-ny-10003/878592135616345217/view?agent_id=610d3f3370540700019b0833","45 East 9th Street, Unit 38")</f>
        <v>45 East 9th Street, Unit 38</v>
      </c>
      <c r="C4252" s="25" t="s">
        <v>364</v>
      </c>
      <c r="D4252" s="26" t="s">
        <v>23</v>
      </c>
      <c r="E4252" s="27" t="str">
        <f>HYPERLINK("https://www.compass.com/building/45-e-9th-st-manhattan-ny-10003/292785299849753653/","45 E 9th St")</f>
        <v>45 E 9th St</v>
      </c>
      <c r="F4252" s="25" t="s">
        <v>43</v>
      </c>
      <c r="G4252" s="28">
        <v>2900000.0</v>
      </c>
      <c r="H4252" s="29"/>
      <c r="I4252" s="28">
        <v>3390.0</v>
      </c>
      <c r="J4252" s="29"/>
      <c r="K4252" s="25" t="s">
        <v>25</v>
      </c>
      <c r="L4252" s="26">
        <v>3.0</v>
      </c>
      <c r="M4252" s="26">
        <v>2.0</v>
      </c>
      <c r="N4252" s="26">
        <v>1.0</v>
      </c>
      <c r="O4252" s="26">
        <v>0.0</v>
      </c>
      <c r="P4252" s="30"/>
      <c r="Q4252" s="35">
        <v>175.0</v>
      </c>
      <c r="R4252" s="32">
        <v>45636.0</v>
      </c>
      <c r="S4252" s="32">
        <v>44466.0</v>
      </c>
      <c r="T4252" s="29"/>
      <c r="U4252" s="33"/>
      <c r="V4252" s="1"/>
    </row>
    <row r="4253" ht="24.0" customHeight="1">
      <c r="A4253" s="1"/>
      <c r="B4253" s="24" t="str">
        <f>HYPERLINK("https://www.compass.com/listing/50-54-east-8th-street-unit-2b-manhattan-ny-10003/1838950836085244009/view?agent_id=610d3f3370540700019b0833","50-54 East 8th Street, Unit 2B")</f>
        <v>50-54 East 8th Street, Unit 2B</v>
      </c>
      <c r="C4253" s="25" t="s">
        <v>364</v>
      </c>
      <c r="D4253" s="26" t="s">
        <v>23</v>
      </c>
      <c r="E4253" s="27" t="str">
        <f t="shared" ref="E4253:E4254" si="182">HYPERLINK("https://www.compass.com/building/50-54-e-8th-st-manhattan-ny-10003/436383059332391421/","50-54 E 8th St")</f>
        <v>50-54 E 8th St</v>
      </c>
      <c r="F4253" s="25" t="s">
        <v>43</v>
      </c>
      <c r="G4253" s="28">
        <v>945000.0</v>
      </c>
      <c r="H4253" s="29"/>
      <c r="I4253" s="28">
        <v>2003.0</v>
      </c>
      <c r="J4253" s="29"/>
      <c r="K4253" s="25" t="s">
        <v>25</v>
      </c>
      <c r="L4253" s="26">
        <v>4.0</v>
      </c>
      <c r="M4253" s="26">
        <v>2.0</v>
      </c>
      <c r="N4253" s="26">
        <v>1.0</v>
      </c>
      <c r="O4253" s="26">
        <v>0.0</v>
      </c>
      <c r="P4253" s="30"/>
      <c r="Q4253" s="35">
        <v>567.0</v>
      </c>
      <c r="R4253" s="32">
        <v>45636.0</v>
      </c>
      <c r="S4253" s="32">
        <v>43844.0</v>
      </c>
      <c r="T4253" s="29"/>
      <c r="U4253" s="33"/>
      <c r="V4253" s="1"/>
    </row>
    <row r="4254" ht="24.0" customHeight="1">
      <c r="A4254" s="1"/>
      <c r="B4254" s="24" t="str">
        <f>HYPERLINK("https://www.compass.com/listing/50-54-east-8th-street-unit-2b-manhattan-ny-10003/466859299430395641/view?agent_id=610d3f3370540700019b0833","50-54 East 8th Street, Unit 2B")</f>
        <v>50-54 East 8th Street, Unit 2B</v>
      </c>
      <c r="C4254" s="25" t="s">
        <v>364</v>
      </c>
      <c r="D4254" s="26" t="s">
        <v>23</v>
      </c>
      <c r="E4254" s="27" t="str">
        <f t="shared" si="182"/>
        <v>50-54 E 8th St</v>
      </c>
      <c r="F4254" s="25" t="s">
        <v>43</v>
      </c>
      <c r="G4254" s="28">
        <v>975000.0</v>
      </c>
      <c r="H4254" s="29"/>
      <c r="I4254" s="28">
        <v>2003.0</v>
      </c>
      <c r="J4254" s="29"/>
      <c r="K4254" s="25" t="s">
        <v>25</v>
      </c>
      <c r="L4254" s="26">
        <v>4.0</v>
      </c>
      <c r="M4254" s="26">
        <v>2.0</v>
      </c>
      <c r="N4254" s="26">
        <v>1.0</v>
      </c>
      <c r="O4254" s="26">
        <v>0.0</v>
      </c>
      <c r="P4254" s="30"/>
      <c r="Q4254" s="35">
        <v>6.0</v>
      </c>
      <c r="R4254" s="32">
        <v>45636.0</v>
      </c>
      <c r="S4254" s="32">
        <v>43838.0</v>
      </c>
      <c r="T4254" s="29"/>
      <c r="U4254" s="33"/>
      <c r="V4254" s="1"/>
    </row>
    <row r="4255" ht="24.0" customHeight="1">
      <c r="A4255" s="1"/>
      <c r="B4255" s="24" t="str">
        <f>HYPERLINK("https://www.compass.com/listing/30-east-9th-street-unit-6m-manhattan-ny-10003/23954531695997809/view?agent_id=610d3f3370540700019b0833","30 East 9th Street, Unit 6M")</f>
        <v>30 East 9th Street, Unit 6M</v>
      </c>
      <c r="C4255" s="25" t="s">
        <v>364</v>
      </c>
      <c r="D4255" s="26" t="s">
        <v>23</v>
      </c>
      <c r="E4255" s="27" t="str">
        <f>HYPERLINK("https://www.compass.com/building/the-lafayette-manhattan-ny/292781948961564533/","The Lafayette")</f>
        <v>The Lafayette</v>
      </c>
      <c r="F4255" s="25" t="s">
        <v>43</v>
      </c>
      <c r="G4255" s="28">
        <v>1450000.0</v>
      </c>
      <c r="H4255" s="29"/>
      <c r="I4255" s="28">
        <v>1767.0</v>
      </c>
      <c r="J4255" s="29"/>
      <c r="K4255" s="25" t="s">
        <v>25</v>
      </c>
      <c r="L4255" s="26">
        <v>4.0</v>
      </c>
      <c r="M4255" s="26">
        <v>2.0</v>
      </c>
      <c r="N4255" s="26">
        <v>1.0</v>
      </c>
      <c r="O4255" s="26">
        <v>0.0</v>
      </c>
      <c r="P4255" s="30"/>
      <c r="Q4255" s="35">
        <v>91.0</v>
      </c>
      <c r="R4255" s="32">
        <v>45636.0</v>
      </c>
      <c r="S4255" s="32">
        <v>43059.0</v>
      </c>
      <c r="T4255" s="29"/>
      <c r="U4255" s="33"/>
      <c r="V4255" s="1"/>
    </row>
    <row r="4256" ht="24.0" customHeight="1">
      <c r="A4256" s="1"/>
      <c r="B4256" s="24" t="str">
        <f>HYPERLINK("https://www.compass.com/listing/21-east-10th-street-unit-12e-manhattan-ny-10003/79379253250082433/view?agent_id=610d3f3370540700019b0833","21 E 10th St, Unit 12E")</f>
        <v>21 E 10th St, Unit 12E</v>
      </c>
      <c r="C4256" s="25" t="s">
        <v>364</v>
      </c>
      <c r="D4256" s="26" t="s">
        <v>23</v>
      </c>
      <c r="E4256" s="27" t="str">
        <f>HYPERLINK("https://www.compass.com/building/21-east-10th-street-manhattan-ny/292786507515705813/","21 East 10th Street")</f>
        <v>21 East 10th Street</v>
      </c>
      <c r="F4256" s="25" t="s">
        <v>43</v>
      </c>
      <c r="G4256" s="28">
        <v>1750000.0</v>
      </c>
      <c r="H4256" s="28">
        <v>1522.0</v>
      </c>
      <c r="I4256" s="28">
        <v>1588.0</v>
      </c>
      <c r="J4256" s="29"/>
      <c r="K4256" s="25" t="s">
        <v>25</v>
      </c>
      <c r="L4256" s="26">
        <v>4.0</v>
      </c>
      <c r="M4256" s="26">
        <v>2.0</v>
      </c>
      <c r="N4256" s="30"/>
      <c r="O4256" s="30"/>
      <c r="P4256" s="34">
        <v>1150.0</v>
      </c>
      <c r="Q4256" s="35">
        <v>47.0</v>
      </c>
      <c r="R4256" s="32">
        <v>42829.0</v>
      </c>
      <c r="S4256" s="32">
        <v>40602.0</v>
      </c>
      <c r="T4256" s="29"/>
      <c r="U4256" s="33"/>
      <c r="V4256" s="1"/>
    </row>
    <row r="4257" ht="24.0" customHeight="1">
      <c r="A4257" s="1"/>
      <c r="B4257" s="24" t="str">
        <f>HYPERLINK("https://www.compass.com/listing/35-west-9th-street-unit-4c-manhattan-ny-10011/1693041939352608073/view?agent_id=610d3f3370540700019b0833","35 West 9th Street, Unit 4C")</f>
        <v>35 West 9th Street, Unit 4C</v>
      </c>
      <c r="C4257" s="25" t="s">
        <v>370</v>
      </c>
      <c r="D4257" s="26" t="s">
        <v>23</v>
      </c>
      <c r="E4257" s="27" t="str">
        <f>HYPERLINK("https://www.compass.com/building/35-w-9th-st-manhattan-ny-10011/281909497679602357/","35 W 9th St")</f>
        <v>35 W 9th St</v>
      </c>
      <c r="F4257" s="25" t="s">
        <v>43</v>
      </c>
      <c r="G4257" s="28">
        <v>1895000.0</v>
      </c>
      <c r="H4257" s="29"/>
      <c r="I4257" s="28">
        <v>2854.0</v>
      </c>
      <c r="J4257" s="28">
        <v>0.0</v>
      </c>
      <c r="K4257" s="25" t="s">
        <v>25</v>
      </c>
      <c r="L4257" s="26">
        <v>4.0</v>
      </c>
      <c r="M4257" s="26">
        <v>2.0</v>
      </c>
      <c r="N4257" s="26">
        <v>1.0</v>
      </c>
      <c r="O4257" s="26">
        <v>0.0</v>
      </c>
      <c r="P4257" s="30"/>
      <c r="Q4257" s="35">
        <v>124.0</v>
      </c>
      <c r="R4257" s="32">
        <v>45758.0</v>
      </c>
      <c r="S4257" s="32">
        <v>45588.0</v>
      </c>
      <c r="T4257" s="29"/>
      <c r="U4257" s="33"/>
      <c r="V4257" s="1"/>
    </row>
    <row r="4258" ht="24.0" customHeight="1">
      <c r="A4258" s="1"/>
      <c r="B4258" s="24" t="str">
        <f>HYPERLINK("https://www.compass.com/listing/56-east-11th-street-unit-7-manhattan-ny-10003/365007987449584193/view?agent_id=610d3f3370540700019b0833","56 East 11th Street, Unit 7")</f>
        <v>56 East 11th Street, Unit 7</v>
      </c>
      <c r="C4258" s="25" t="s">
        <v>364</v>
      </c>
      <c r="D4258" s="26" t="s">
        <v>23</v>
      </c>
      <c r="E4258" s="27" t="str">
        <f>HYPERLINK("https://www.compass.com/building/56-e-11th-st-manhattan-ny-10003/281894028683781157/","56 E 11th St")</f>
        <v>56 E 11th St</v>
      </c>
      <c r="F4258" s="25" t="s">
        <v>43</v>
      </c>
      <c r="G4258" s="28">
        <v>3000000.0</v>
      </c>
      <c r="H4258" s="28">
        <v>1500.0</v>
      </c>
      <c r="I4258" s="28">
        <v>2700.0</v>
      </c>
      <c r="J4258" s="29"/>
      <c r="K4258" s="25" t="s">
        <v>25</v>
      </c>
      <c r="L4258" s="26">
        <v>6.0</v>
      </c>
      <c r="M4258" s="26">
        <v>2.0</v>
      </c>
      <c r="N4258" s="26">
        <v>1.0</v>
      </c>
      <c r="O4258" s="26">
        <v>0.0</v>
      </c>
      <c r="P4258" s="34">
        <v>2000.0</v>
      </c>
      <c r="Q4258" s="35">
        <v>49.0</v>
      </c>
      <c r="R4258" s="32">
        <v>45636.0</v>
      </c>
      <c r="S4258" s="32">
        <v>43751.0</v>
      </c>
      <c r="T4258" s="29"/>
      <c r="U4258" s="33"/>
      <c r="V4258" s="1"/>
    </row>
    <row r="4259" ht="24.0" customHeight="1">
      <c r="A4259" s="1"/>
      <c r="B4259" s="24" t="str">
        <f>HYPERLINK("https://www.compass.com/listing/547-549-east-12th-street-unit-5c-manhattan-ny-10009/1842245060198844465/view?agent_id=610d3f3370540700019b0833","547-549 East 12th Street, Unit 5C")</f>
        <v>547-549 East 12th Street, Unit 5C</v>
      </c>
      <c r="C4259" s="25" t="s">
        <v>364</v>
      </c>
      <c r="D4259" s="26" t="s">
        <v>23</v>
      </c>
      <c r="E4259" s="27" t="str">
        <f>HYPERLINK("https://www.compass.com/building/547-549-e-12th-st-manhattan-ny-10009/567450259443816429/","547-549 E 12th St")</f>
        <v>547-549 E 12th St</v>
      </c>
      <c r="F4259" s="25" t="s">
        <v>24</v>
      </c>
      <c r="G4259" s="28">
        <v>595000.0</v>
      </c>
      <c r="H4259" s="29"/>
      <c r="I4259" s="28">
        <v>362.0</v>
      </c>
      <c r="J4259" s="29"/>
      <c r="K4259" s="25" t="s">
        <v>25</v>
      </c>
      <c r="L4259" s="26">
        <v>4.0</v>
      </c>
      <c r="M4259" s="26">
        <v>2.0</v>
      </c>
      <c r="N4259" s="30"/>
      <c r="O4259" s="30"/>
      <c r="P4259" s="30"/>
      <c r="Q4259" s="35">
        <v>62.0</v>
      </c>
      <c r="R4259" s="32">
        <v>45854.0</v>
      </c>
      <c r="S4259" s="32">
        <v>45793.0</v>
      </c>
      <c r="T4259" s="29"/>
      <c r="U4259" s="33"/>
      <c r="V4259" s="1"/>
    </row>
    <row r="4260" ht="24.0" customHeight="1">
      <c r="A4260" s="1"/>
      <c r="B4260" s="24" t="str">
        <f>HYPERLINK("https://www.compass.com/listing/126-west-11th-street-unit-1-manhattan-ny-10011/540647802953725561/view?agent_id=610d3f3370540700019b0833","126 West 11th Street, Unit 1")</f>
        <v>126 West 11th Street, Unit 1</v>
      </c>
      <c r="C4260" s="25" t="s">
        <v>364</v>
      </c>
      <c r="D4260" s="26" t="s">
        <v>23</v>
      </c>
      <c r="E4260" s="27" t="str">
        <f>HYPERLINK("https://www.compass.com/building/the-unadilla-manhattan-ny/281904887636182549/","The Unadilla")</f>
        <v>The Unadilla</v>
      </c>
      <c r="F4260" s="25" t="s">
        <v>26</v>
      </c>
      <c r="G4260" s="28">
        <v>1395000.0</v>
      </c>
      <c r="H4260" s="29"/>
      <c r="I4260" s="28">
        <v>1337.0</v>
      </c>
      <c r="J4260" s="29"/>
      <c r="K4260" s="25" t="s">
        <v>25</v>
      </c>
      <c r="L4260" s="26">
        <v>4.0</v>
      </c>
      <c r="M4260" s="26">
        <v>2.0</v>
      </c>
      <c r="N4260" s="26">
        <v>1.0</v>
      </c>
      <c r="O4260" s="26">
        <v>0.0</v>
      </c>
      <c r="P4260" s="30"/>
      <c r="Q4260" s="35">
        <v>107.0</v>
      </c>
      <c r="R4260" s="32">
        <v>45636.0</v>
      </c>
      <c r="S4260" s="32">
        <v>43979.0</v>
      </c>
      <c r="T4260" s="29"/>
      <c r="U4260" s="33"/>
      <c r="V4260" s="1"/>
    </row>
    <row r="4261" ht="24.0" customHeight="1">
      <c r="A4261" s="1"/>
      <c r="B4261" s="24" t="str">
        <f>HYPERLINK("https://www.compass.com/listing/56-east-11th-street-unit-4-manhattan-ny-10003/29365137240505649/view?agent_id=610d3f3370540700019b0833","56 East 11th Street, Unit 4")</f>
        <v>56 East 11th Street, Unit 4</v>
      </c>
      <c r="C4261" s="25" t="s">
        <v>370</v>
      </c>
      <c r="D4261" s="26" t="s">
        <v>23</v>
      </c>
      <c r="E4261" s="27" t="str">
        <f>HYPERLINK("https://www.compass.com/building/56-e-11th-st-manhattan-ny-10003/281894028683781157/","56 E 11th St")</f>
        <v>56 E 11th St</v>
      </c>
      <c r="F4261" s="25" t="s">
        <v>43</v>
      </c>
      <c r="G4261" s="28">
        <v>3250000.0</v>
      </c>
      <c r="H4261" s="28">
        <v>1806.0</v>
      </c>
      <c r="I4261" s="28">
        <v>2703.0</v>
      </c>
      <c r="J4261" s="29"/>
      <c r="K4261" s="25" t="s">
        <v>25</v>
      </c>
      <c r="L4261" s="26">
        <v>5.0</v>
      </c>
      <c r="M4261" s="26">
        <v>2.0</v>
      </c>
      <c r="N4261" s="26">
        <v>0.0</v>
      </c>
      <c r="O4261" s="26">
        <v>0.0</v>
      </c>
      <c r="P4261" s="34">
        <v>1800.0</v>
      </c>
      <c r="Q4261" s="35">
        <v>146.0</v>
      </c>
      <c r="R4261" s="32">
        <v>45636.0</v>
      </c>
      <c r="S4261" s="32">
        <v>42289.0</v>
      </c>
      <c r="T4261" s="29"/>
      <c r="U4261" s="33"/>
      <c r="V4261" s="1"/>
    </row>
    <row r="4262" ht="24.0" customHeight="1">
      <c r="A4262" s="1"/>
      <c r="B4262" s="24" t="str">
        <f>HYPERLINK("https://www.compass.com/listing/41-5th-avenue-unit-16e-manhattan-ny-10003/4852306625622458145/view?agent_id=610d3f3370540700019b0833","41 5th Avenue, Unit 16E")</f>
        <v>41 5th Avenue, Unit 16E</v>
      </c>
      <c r="C4262" s="25" t="s">
        <v>370</v>
      </c>
      <c r="D4262" s="26" t="s">
        <v>23</v>
      </c>
      <c r="E4262" s="27" t="str">
        <f>HYPERLINK("https://www.compass.com/building/41-5th-ave-manhattan-ny-10003/281893535299412485/","41 5th Ave")</f>
        <v>41 5th Ave</v>
      </c>
      <c r="F4262" s="25" t="s">
        <v>43</v>
      </c>
      <c r="G4262" s="28">
        <v>1850000.0</v>
      </c>
      <c r="H4262" s="29"/>
      <c r="I4262" s="28">
        <v>3002.0</v>
      </c>
      <c r="J4262" s="29"/>
      <c r="K4262" s="25" t="s">
        <v>25</v>
      </c>
      <c r="L4262" s="26">
        <v>4.0</v>
      </c>
      <c r="M4262" s="26">
        <v>2.0</v>
      </c>
      <c r="N4262" s="26">
        <v>0.0</v>
      </c>
      <c r="O4262" s="26">
        <v>0.0</v>
      </c>
      <c r="P4262" s="30"/>
      <c r="Q4262" s="35">
        <v>162.0</v>
      </c>
      <c r="R4262" s="32">
        <v>45636.0</v>
      </c>
      <c r="S4262" s="32">
        <v>41423.0</v>
      </c>
      <c r="T4262" s="29"/>
      <c r="U4262" s="33"/>
      <c r="V4262" s="1"/>
    </row>
    <row r="4263" ht="24.0" customHeight="1">
      <c r="A4263" s="1"/>
      <c r="B4263" s="24" t="str">
        <f>HYPERLINK("https://www.compass.com/listing/63-east-9th-street-unit-12o-manhattan-ny-10003/25892946092047425/view?agent_id=610d3f3370540700019b0833","63 East 9th Street, Unit 12O")</f>
        <v>63 East 9th Street, Unit 12O</v>
      </c>
      <c r="C4263" s="25" t="s">
        <v>364</v>
      </c>
      <c r="D4263" s="26" t="s">
        <v>23</v>
      </c>
      <c r="E4263" s="27" t="str">
        <f>HYPERLINK("https://www.compass.com/building/the-randall-house-manhattan-ny/281894363078860085/","The Randall House")</f>
        <v>The Randall House</v>
      </c>
      <c r="F4263" s="25" t="s">
        <v>43</v>
      </c>
      <c r="G4263" s="28">
        <v>1895000.0</v>
      </c>
      <c r="H4263" s="29"/>
      <c r="I4263" s="28">
        <v>2390.0</v>
      </c>
      <c r="J4263" s="29"/>
      <c r="K4263" s="25" t="s">
        <v>49</v>
      </c>
      <c r="L4263" s="26">
        <v>5.0</v>
      </c>
      <c r="M4263" s="26">
        <v>2.0</v>
      </c>
      <c r="N4263" s="26">
        <v>0.0</v>
      </c>
      <c r="O4263" s="26">
        <v>0.0</v>
      </c>
      <c r="P4263" s="30"/>
      <c r="Q4263" s="35">
        <v>93.0</v>
      </c>
      <c r="R4263" s="32">
        <v>45636.0</v>
      </c>
      <c r="S4263" s="32">
        <v>43192.0</v>
      </c>
      <c r="T4263" s="29"/>
      <c r="U4263" s="33"/>
      <c r="V4263" s="1"/>
    </row>
    <row r="4264" ht="24.0" customHeight="1">
      <c r="A4264" s="1"/>
      <c r="B4264" s="24" t="str">
        <f>HYPERLINK("https://www.compass.com/listing/40-50-east-10th-street-unit-5i-manhattan-ny-10003/1838977947839801505/view?agent_id=610d3f3370540700019b0833","40-50 East 10th Street, Unit 5I")</f>
        <v>40-50 East 10th Street, Unit 5I</v>
      </c>
      <c r="C4264" s="25" t="s">
        <v>364</v>
      </c>
      <c r="D4264" s="26" t="s">
        <v>23</v>
      </c>
      <c r="E4264" s="27" t="str">
        <f>HYPERLINK("https://www.compass.com/building/40-50-e-10th-st-manhattan-ny-10003/294837650074453237/","40-50 E 10th St")</f>
        <v>40-50 E 10th St</v>
      </c>
      <c r="F4264" s="25" t="s">
        <v>43</v>
      </c>
      <c r="G4264" s="28">
        <v>2650000.0</v>
      </c>
      <c r="H4264" s="29"/>
      <c r="I4264" s="28">
        <v>2796.0</v>
      </c>
      <c r="J4264" s="29"/>
      <c r="K4264" s="25" t="s">
        <v>25</v>
      </c>
      <c r="L4264" s="26">
        <v>4.0</v>
      </c>
      <c r="M4264" s="26">
        <v>2.0</v>
      </c>
      <c r="N4264" s="26">
        <v>0.0</v>
      </c>
      <c r="O4264" s="26">
        <v>0.0</v>
      </c>
      <c r="P4264" s="30"/>
      <c r="Q4264" s="35">
        <v>124.0</v>
      </c>
      <c r="R4264" s="32">
        <v>45636.0</v>
      </c>
      <c r="S4264" s="32">
        <v>42257.0</v>
      </c>
      <c r="T4264" s="29"/>
      <c r="U4264" s="33"/>
      <c r="V4264" s="1"/>
    </row>
    <row r="4265" ht="24.0" customHeight="1">
      <c r="A4265" s="1"/>
      <c r="B4265" s="24" t="str">
        <f>HYPERLINK("https://www.compass.com/listing/38-50-west-9th-street-unit-parlor-a-manhattan-ny-10011/995090980404424425/view?agent_id=610d3f3370540700019b0833","38-50 West 9th Street, Unit PARLOR A")</f>
        <v>38-50 West 9th Street, Unit PARLOR A</v>
      </c>
      <c r="C4265" s="25" t="s">
        <v>364</v>
      </c>
      <c r="D4265" s="26" t="s">
        <v>23</v>
      </c>
      <c r="E4265" s="27" t="str">
        <f>HYPERLINK("https://www.compass.com/building/the-portsmouth-manhattan-ny/436395784003862797/","The Portsmouth")</f>
        <v>The Portsmouth</v>
      </c>
      <c r="F4265" s="25" t="s">
        <v>43</v>
      </c>
      <c r="G4265" s="28">
        <v>1950000.0</v>
      </c>
      <c r="H4265" s="29"/>
      <c r="I4265" s="28">
        <v>2121.0</v>
      </c>
      <c r="J4265" s="29"/>
      <c r="K4265" s="25" t="s">
        <v>25</v>
      </c>
      <c r="L4265" s="26">
        <v>3.0</v>
      </c>
      <c r="M4265" s="26">
        <v>2.0</v>
      </c>
      <c r="N4265" s="26">
        <v>1.0</v>
      </c>
      <c r="O4265" s="26">
        <v>0.0</v>
      </c>
      <c r="P4265" s="30"/>
      <c r="Q4265" s="35">
        <v>0.0</v>
      </c>
      <c r="R4265" s="32">
        <v>45695.0</v>
      </c>
      <c r="S4265" s="32">
        <v>44621.0</v>
      </c>
      <c r="T4265" s="29"/>
      <c r="U4265" s="33"/>
      <c r="V4265" s="1"/>
    </row>
    <row r="4266" ht="24.0" customHeight="1">
      <c r="A4266" s="1"/>
      <c r="B4266" s="24" t="str">
        <f>HYPERLINK("https://www.compass.com/listing/50-54-east-8th-street-unit-3t-manhattan-ny-10003/29669283755723953/view?agent_id=610d3f3370540700019b0833","50-54 East 8th Street, Unit 3T")</f>
        <v>50-54 East 8th Street, Unit 3T</v>
      </c>
      <c r="C4266" s="25" t="s">
        <v>370</v>
      </c>
      <c r="D4266" s="26" t="s">
        <v>23</v>
      </c>
      <c r="E4266" s="27" t="str">
        <f>HYPERLINK("https://www.compass.com/building/50-54-e-8th-st-manhattan-ny-10003/436383059332391421/","50-54 E 8th St")</f>
        <v>50-54 E 8th St</v>
      </c>
      <c r="F4266" s="25" t="s">
        <v>43</v>
      </c>
      <c r="G4266" s="28">
        <v>865000.0</v>
      </c>
      <c r="H4266" s="29"/>
      <c r="I4266" s="28">
        <v>2427.0</v>
      </c>
      <c r="J4266" s="29"/>
      <c r="K4266" s="25" t="s">
        <v>25</v>
      </c>
      <c r="L4266" s="26">
        <v>4.0</v>
      </c>
      <c r="M4266" s="26">
        <v>2.0</v>
      </c>
      <c r="N4266" s="26">
        <v>1.0</v>
      </c>
      <c r="O4266" s="26">
        <v>0.0</v>
      </c>
      <c r="P4266" s="30"/>
      <c r="Q4266" s="35">
        <v>145.0</v>
      </c>
      <c r="R4266" s="32">
        <v>45636.0</v>
      </c>
      <c r="S4266" s="32">
        <v>43203.0</v>
      </c>
      <c r="T4266" s="29"/>
      <c r="U4266" s="33"/>
      <c r="V4266" s="1"/>
    </row>
    <row r="4267" ht="24.0" customHeight="1">
      <c r="A4267" s="1"/>
      <c r="B4267" s="24" t="str">
        <f>HYPERLINK("https://www.compass.com/listing/111-4th-avenue-unit-7i-manhattan-ny-10003/1587043515079526945/view?agent_id=610d3f3370540700019b0833","111 4th Avenue, Unit 7I")</f>
        <v>111 4th Avenue, Unit 7I</v>
      </c>
      <c r="C4267" s="25" t="s">
        <v>370</v>
      </c>
      <c r="D4267" s="26" t="s">
        <v>23</v>
      </c>
      <c r="E4267" s="27" t="str">
        <f>HYPERLINK("https://www.compass.com/building/111-4th-ave-manhattan-ny-10003/281888963189278709/","111 4th Ave")</f>
        <v>111 4th Ave</v>
      </c>
      <c r="F4267" s="25" t="s">
        <v>43</v>
      </c>
      <c r="G4267" s="28">
        <v>1850000.0</v>
      </c>
      <c r="H4267" s="29"/>
      <c r="I4267" s="28">
        <v>2445.0</v>
      </c>
      <c r="J4267" s="28">
        <v>0.0</v>
      </c>
      <c r="K4267" s="25" t="s">
        <v>25</v>
      </c>
      <c r="L4267" s="26">
        <v>4.0</v>
      </c>
      <c r="M4267" s="26">
        <v>2.0</v>
      </c>
      <c r="N4267" s="26">
        <v>1.0</v>
      </c>
      <c r="O4267" s="26">
        <v>0.0</v>
      </c>
      <c r="P4267" s="30"/>
      <c r="Q4267" s="35">
        <v>185.0</v>
      </c>
      <c r="R4267" s="32">
        <v>45695.0</v>
      </c>
      <c r="S4267" s="32">
        <v>45441.0</v>
      </c>
      <c r="T4267" s="29"/>
      <c r="U4267" s="33"/>
      <c r="V4267" s="1"/>
    </row>
    <row r="4268" ht="24.0" customHeight="1">
      <c r="A4268" s="1"/>
      <c r="B4268" s="24" t="str">
        <f>HYPERLINK("https://www.compass.com/listing/235-lincoln-place-unit-4f-brooklyn-ny-11217/167907508940241313/view?agent_id=610d3f3370540700019b0833","235 Lincoln Pl, Unit 4F")</f>
        <v>235 Lincoln Pl, Unit 4F</v>
      </c>
      <c r="C4268" s="25" t="s">
        <v>364</v>
      </c>
      <c r="D4268" s="26" t="s">
        <v>23</v>
      </c>
      <c r="E4268" s="27" t="str">
        <f>HYPERLINK("https://www.compass.com/building/235-lincoln-pl-brooklyn-ny-11217/282503980947423317/","235 Lincoln Pl")</f>
        <v>235 Lincoln Pl</v>
      </c>
      <c r="F4268" s="25" t="s">
        <v>40</v>
      </c>
      <c r="G4268" s="28">
        <v>979000.0</v>
      </c>
      <c r="H4268" s="29"/>
      <c r="I4268" s="28">
        <v>1378.0</v>
      </c>
      <c r="J4268" s="29"/>
      <c r="K4268" s="25" t="s">
        <v>25</v>
      </c>
      <c r="L4268" s="26">
        <v>4.0</v>
      </c>
      <c r="M4268" s="26">
        <v>2.0</v>
      </c>
      <c r="N4268" s="30"/>
      <c r="O4268" s="30"/>
      <c r="P4268" s="30"/>
      <c r="Q4268" s="35">
        <v>90.0</v>
      </c>
      <c r="R4268" s="32">
        <v>43698.0</v>
      </c>
      <c r="S4268" s="32">
        <v>39764.0</v>
      </c>
      <c r="T4268" s="29"/>
      <c r="U4268" s="33"/>
      <c r="V4268" s="1"/>
    </row>
    <row r="4269" ht="24.0" customHeight="1">
      <c r="A4269" s="1"/>
      <c r="B4269" s="24" t="str">
        <f>HYPERLINK("https://www.compass.com/listing/63-east-9th-street-unit-8o-manhattan-ny-10003/29507128062478849/view?agent_id=610d3f3370540700019b0833","63 East 9th Street, Unit 8O")</f>
        <v>63 East 9th Street, Unit 8O</v>
      </c>
      <c r="C4269" s="25" t="s">
        <v>364</v>
      </c>
      <c r="D4269" s="26" t="s">
        <v>23</v>
      </c>
      <c r="E4269" s="27" t="str">
        <f>HYPERLINK("https://www.compass.com/building/the-randall-house-manhattan-ny/281894363078860085/","The Randall House")</f>
        <v>The Randall House</v>
      </c>
      <c r="F4269" s="25" t="s">
        <v>43</v>
      </c>
      <c r="G4269" s="28">
        <v>1875000.0</v>
      </c>
      <c r="H4269" s="29"/>
      <c r="I4269" s="28">
        <v>2246.0</v>
      </c>
      <c r="J4269" s="29"/>
      <c r="K4269" s="25" t="s">
        <v>49</v>
      </c>
      <c r="L4269" s="26">
        <v>4.0</v>
      </c>
      <c r="M4269" s="26">
        <v>2.0</v>
      </c>
      <c r="N4269" s="26">
        <v>0.0</v>
      </c>
      <c r="O4269" s="26">
        <v>0.0</v>
      </c>
      <c r="P4269" s="30"/>
      <c r="Q4269" s="35">
        <v>237.0</v>
      </c>
      <c r="R4269" s="32">
        <v>45636.0</v>
      </c>
      <c r="S4269" s="32">
        <v>42983.0</v>
      </c>
      <c r="T4269" s="29"/>
      <c r="U4269" s="33"/>
      <c r="V4269" s="1"/>
    </row>
    <row r="4270" ht="24.0" customHeight="1">
      <c r="A4270" s="1"/>
      <c r="B4270" s="24" t="str">
        <f>HYPERLINK("https://www.compass.com/listing/30-east-9th-street-unit-5aa-manhattan-ny-10003/79378302619424433/view?agent_id=610d3f3370540700019b0833","30 E 9th St, Unit 5AA")</f>
        <v>30 E 9th St, Unit 5AA</v>
      </c>
      <c r="C4270" s="25" t="s">
        <v>364</v>
      </c>
      <c r="D4270" s="26" t="s">
        <v>23</v>
      </c>
      <c r="E4270" s="27" t="str">
        <f>HYPERLINK("https://www.compass.com/building/the-lafayette-manhattan-ny/292781948961564533/","The Lafayette")</f>
        <v>The Lafayette</v>
      </c>
      <c r="F4270" s="25" t="s">
        <v>43</v>
      </c>
      <c r="G4270" s="28">
        <v>1175000.0</v>
      </c>
      <c r="H4270" s="28">
        <v>1250.0</v>
      </c>
      <c r="I4270" s="28">
        <v>1624.0</v>
      </c>
      <c r="J4270" s="29"/>
      <c r="K4270" s="25" t="s">
        <v>25</v>
      </c>
      <c r="L4270" s="26">
        <v>3.0</v>
      </c>
      <c r="M4270" s="26">
        <v>2.0</v>
      </c>
      <c r="N4270" s="30"/>
      <c r="O4270" s="30"/>
      <c r="P4270" s="26">
        <v>940.0</v>
      </c>
      <c r="Q4270" s="35">
        <v>34.0</v>
      </c>
      <c r="R4270" s="32">
        <v>42477.0</v>
      </c>
      <c r="S4270" s="32">
        <v>39577.0</v>
      </c>
      <c r="T4270" s="29"/>
      <c r="U4270" s="33"/>
      <c r="V4270" s="1"/>
    </row>
    <row r="4271" ht="24.0" customHeight="1">
      <c r="A4271" s="1"/>
      <c r="B4271" s="24" t="str">
        <f>HYPERLINK("https://www.compass.com/listing/25-charles-street-unit-5e-manhattan-ny-10014/436068666351088289/view?agent_id=610d3f3370540700019b0833","25 Charles Street, Unit 5E")</f>
        <v>25 Charles Street, Unit 5E</v>
      </c>
      <c r="C4271" s="25" t="s">
        <v>364</v>
      </c>
      <c r="D4271" s="26" t="s">
        <v>23</v>
      </c>
      <c r="E4271" s="27" t="str">
        <f>HYPERLINK("https://www.compass.com/building/25-charles-st-manhattan-ny-10014/281931537656625045/","25 Charles St")</f>
        <v>25 Charles St</v>
      </c>
      <c r="F4271" s="25" t="s">
        <v>26</v>
      </c>
      <c r="G4271" s="28">
        <v>848000.0</v>
      </c>
      <c r="H4271" s="29"/>
      <c r="I4271" s="28">
        <v>1072.0</v>
      </c>
      <c r="J4271" s="29"/>
      <c r="K4271" s="25" t="s">
        <v>25</v>
      </c>
      <c r="L4271" s="26">
        <v>4.0</v>
      </c>
      <c r="M4271" s="26">
        <v>2.0</v>
      </c>
      <c r="N4271" s="26">
        <v>1.0</v>
      </c>
      <c r="O4271" s="26">
        <v>0.0</v>
      </c>
      <c r="P4271" s="30"/>
      <c r="Q4271" s="35">
        <v>14.0</v>
      </c>
      <c r="R4271" s="32">
        <v>45636.0</v>
      </c>
      <c r="S4271" s="32">
        <v>43853.0</v>
      </c>
      <c r="T4271" s="29"/>
      <c r="U4271" s="33"/>
      <c r="V4271" s="1"/>
    </row>
    <row r="4272" ht="24.0" customHeight="1">
      <c r="A4272" s="1"/>
      <c r="B4272" s="24" t="str">
        <f>HYPERLINK("https://www.compass.com/listing/303-mercer-street-unit-b103-manhattan-ny-10003/50857823629774337/view?agent_id=610d3f3370540700019b0833","303 Mercer Street, Unit B103")</f>
        <v>303 Mercer Street, Unit B103</v>
      </c>
      <c r="C4272" s="25" t="s">
        <v>370</v>
      </c>
      <c r="D4272" s="26" t="s">
        <v>23</v>
      </c>
      <c r="E4272" s="27" t="str">
        <f>HYPERLINK("https://www.compass.com/building/snug-harbor-manhattan-ny/281891981670486725/","Snug Harbor")</f>
        <v>Snug Harbor</v>
      </c>
      <c r="F4272" s="25" t="s">
        <v>43</v>
      </c>
      <c r="G4272" s="28">
        <v>2250000.0</v>
      </c>
      <c r="H4272" s="29"/>
      <c r="I4272" s="28">
        <v>2673.0</v>
      </c>
      <c r="J4272" s="29"/>
      <c r="K4272" s="25" t="s">
        <v>25</v>
      </c>
      <c r="L4272" s="26">
        <v>6.0</v>
      </c>
      <c r="M4272" s="26">
        <v>2.0</v>
      </c>
      <c r="N4272" s="26">
        <v>0.0</v>
      </c>
      <c r="O4272" s="26">
        <v>0.0</v>
      </c>
      <c r="P4272" s="30"/>
      <c r="Q4272" s="35">
        <v>165.0</v>
      </c>
      <c r="R4272" s="32">
        <v>45636.0</v>
      </c>
      <c r="S4272" s="32">
        <v>42142.0</v>
      </c>
      <c r="T4272" s="29"/>
      <c r="U4272" s="33"/>
      <c r="V4272" s="1"/>
    </row>
    <row r="4273" ht="24.0" customHeight="1">
      <c r="A4273" s="1"/>
      <c r="B4273" s="24" t="str">
        <f>HYPERLINK("https://www.compass.com/listing/79-barrow-street-unit-garden-manhattan-ny-10014/4852282157160204513/view?agent_id=610d3f3370540700019b0833","79 Barrow Street, Unit GARDEN")</f>
        <v>79 Barrow Street, Unit GARDEN</v>
      </c>
      <c r="C4273" s="25" t="s">
        <v>370</v>
      </c>
      <c r="D4273" s="26" t="s">
        <v>23</v>
      </c>
      <c r="E4273" s="27" t="str">
        <f>HYPERLINK("https://www.compass.com/building/79-barrow-st-manhattan-ny-10014/281935938286832485/","79 Barrow St")</f>
        <v>79 Barrow St</v>
      </c>
      <c r="F4273" s="25" t="s">
        <v>26</v>
      </c>
      <c r="G4273" s="28">
        <v>2499000.0</v>
      </c>
      <c r="H4273" s="29"/>
      <c r="I4273" s="28">
        <v>3484.0</v>
      </c>
      <c r="J4273" s="29"/>
      <c r="K4273" s="25" t="s">
        <v>25</v>
      </c>
      <c r="L4273" s="26">
        <v>5.0</v>
      </c>
      <c r="M4273" s="26">
        <v>2.0</v>
      </c>
      <c r="N4273" s="26">
        <v>0.0</v>
      </c>
      <c r="O4273" s="26">
        <v>0.0</v>
      </c>
      <c r="P4273" s="30"/>
      <c r="Q4273" s="35">
        <v>173.0</v>
      </c>
      <c r="R4273" s="32">
        <v>44581.0</v>
      </c>
      <c r="S4273" s="32">
        <v>42845.0</v>
      </c>
      <c r="T4273" s="29"/>
      <c r="U4273" s="33"/>
      <c r="V4273" s="1"/>
    </row>
    <row r="4274" ht="24.0" customHeight="1">
      <c r="A4274" s="1"/>
      <c r="B4274" s="24" t="str">
        <f>HYPERLINK("https://www.compass.com/listing/33-5th-avenue-unit-6c-manhattan-ny-10003/803311659045024617/view?agent_id=610d3f3370540700019b0833","33 5th Avenue, Unit 6C")</f>
        <v>33 5th Avenue, Unit 6C</v>
      </c>
      <c r="C4274" s="25" t="s">
        <v>364</v>
      </c>
      <c r="D4274" s="26" t="s">
        <v>23</v>
      </c>
      <c r="E4274" s="27" t="str">
        <f>HYPERLINK("https://www.compass.com/building/33-5th-ave-manhattan-ny-10003/281892710195928629/","33 5th Ave")</f>
        <v>33 5th Ave</v>
      </c>
      <c r="F4274" s="25" t="s">
        <v>43</v>
      </c>
      <c r="G4274" s="28">
        <v>1395000.0</v>
      </c>
      <c r="H4274" s="29"/>
      <c r="I4274" s="28">
        <v>2271.0</v>
      </c>
      <c r="J4274" s="29"/>
      <c r="K4274" s="25" t="s">
        <v>25</v>
      </c>
      <c r="L4274" s="26">
        <v>5.0</v>
      </c>
      <c r="M4274" s="26">
        <v>2.0</v>
      </c>
      <c r="N4274" s="26">
        <v>0.0</v>
      </c>
      <c r="O4274" s="26">
        <v>0.0</v>
      </c>
      <c r="P4274" s="30"/>
      <c r="Q4274" s="35">
        <v>74.0</v>
      </c>
      <c r="R4274" s="32">
        <v>44581.0</v>
      </c>
      <c r="S4274" s="32">
        <v>41292.0</v>
      </c>
      <c r="T4274" s="29"/>
      <c r="U4274" s="33"/>
      <c r="V4274" s="1"/>
    </row>
    <row r="4275" ht="24.0" customHeight="1">
      <c r="A4275" s="1"/>
      <c r="B4275" s="24" t="str">
        <f>HYPERLINK("https://www.compass.com/listing/1-5th-avenue-unit-6b-manhattan-ny-10003/1838951018579563377/view?agent_id=610d3f3370540700019b0833","1 5th Avenue, Unit 6B")</f>
        <v>1 5th Avenue, Unit 6B</v>
      </c>
      <c r="C4275" s="25" t="s">
        <v>364</v>
      </c>
      <c r="D4275" s="26" t="s">
        <v>23</v>
      </c>
      <c r="E4275" s="27" t="str">
        <f>HYPERLINK("https://www.compass.com/building/one-fifth-avenue-manhattan-ny/281888545268827205/","One Fifth Avenue")</f>
        <v>One Fifth Avenue</v>
      </c>
      <c r="F4275" s="25" t="s">
        <v>43</v>
      </c>
      <c r="G4275" s="28">
        <v>2650000.0</v>
      </c>
      <c r="H4275" s="29"/>
      <c r="I4275" s="28">
        <v>2722.0</v>
      </c>
      <c r="J4275" s="29"/>
      <c r="K4275" s="25" t="s">
        <v>25</v>
      </c>
      <c r="L4275" s="26">
        <v>4.0</v>
      </c>
      <c r="M4275" s="26">
        <v>2.0</v>
      </c>
      <c r="N4275" s="26">
        <v>0.0</v>
      </c>
      <c r="O4275" s="26">
        <v>0.0</v>
      </c>
      <c r="P4275" s="30"/>
      <c r="Q4275" s="35">
        <v>216.0</v>
      </c>
      <c r="R4275" s="32">
        <v>44234.0</v>
      </c>
      <c r="S4275" s="32">
        <v>42923.0</v>
      </c>
      <c r="T4275" s="29"/>
      <c r="U4275" s="33"/>
      <c r="V4275" s="1"/>
    </row>
    <row r="4276" ht="24.0" customHeight="1">
      <c r="A4276" s="1"/>
      <c r="B4276" s="24" t="str">
        <f>HYPERLINK("https://www.compass.com/listing/12-east-14th-street-unit-3b-manhattan-ny-10003/79563594764662001/view?agent_id=610d3f3370540700019b0833","12 E 14th St, Unit 3B")</f>
        <v>12 E 14th St, Unit 3B</v>
      </c>
      <c r="C4276" s="25" t="s">
        <v>364</v>
      </c>
      <c r="D4276" s="26" t="s">
        <v>23</v>
      </c>
      <c r="E4276" s="27" t="str">
        <f>HYPERLINK("https://www.compass.com/building/12-e-14th-st-manhattan-ny-10003/294839876410976485/","12 E 14th St")</f>
        <v>12 E 14th St</v>
      </c>
      <c r="F4276" s="25" t="s">
        <v>43</v>
      </c>
      <c r="G4276" s="28">
        <v>936000.0</v>
      </c>
      <c r="H4276" s="28">
        <v>780.0</v>
      </c>
      <c r="I4276" s="28">
        <v>2180.0</v>
      </c>
      <c r="J4276" s="29"/>
      <c r="K4276" s="25" t="s">
        <v>25</v>
      </c>
      <c r="L4276" s="26">
        <v>4.0</v>
      </c>
      <c r="M4276" s="26">
        <v>2.0</v>
      </c>
      <c r="N4276" s="30"/>
      <c r="O4276" s="30"/>
      <c r="P4276" s="34">
        <v>1200.0</v>
      </c>
      <c r="Q4276" s="35">
        <v>85.0</v>
      </c>
      <c r="R4276" s="32">
        <v>42476.0</v>
      </c>
      <c r="S4276" s="32">
        <v>39904.0</v>
      </c>
      <c r="T4276" s="29"/>
      <c r="U4276" s="33"/>
      <c r="V4276" s="1"/>
    </row>
    <row r="4277" ht="24.0" customHeight="1">
      <c r="A4277" s="1"/>
      <c r="B4277" s="24" t="str">
        <f>HYPERLINK("https://www.compass.com/listing/1-5th-avenue-unit-11c-manhattan-ny-10003/50875555754631633/view?agent_id=610d3f3370540700019b0833","1 5th Avenue, Unit 11C")</f>
        <v>1 5th Avenue, Unit 11C</v>
      </c>
      <c r="C4277" s="25" t="s">
        <v>364</v>
      </c>
      <c r="D4277" s="26" t="s">
        <v>23</v>
      </c>
      <c r="E4277" s="27" t="str">
        <f>HYPERLINK("https://www.compass.com/building/one-fifth-avenue-manhattan-ny/281888545268827205/","One Fifth Avenue")</f>
        <v>One Fifth Avenue</v>
      </c>
      <c r="F4277" s="25" t="s">
        <v>43</v>
      </c>
      <c r="G4277" s="28">
        <v>3695000.0</v>
      </c>
      <c r="H4277" s="29"/>
      <c r="I4277" s="28">
        <v>3716.0</v>
      </c>
      <c r="J4277" s="29"/>
      <c r="K4277" s="25" t="s">
        <v>25</v>
      </c>
      <c r="L4277" s="26">
        <v>5.0</v>
      </c>
      <c r="M4277" s="26">
        <v>2.0</v>
      </c>
      <c r="N4277" s="26">
        <v>0.0</v>
      </c>
      <c r="O4277" s="26">
        <v>0.0</v>
      </c>
      <c r="P4277" s="30"/>
      <c r="Q4277" s="35">
        <v>125.0</v>
      </c>
      <c r="R4277" s="32">
        <v>44234.0</v>
      </c>
      <c r="S4277" s="32">
        <v>42809.0</v>
      </c>
      <c r="T4277" s="29"/>
      <c r="U4277" s="33"/>
      <c r="V4277" s="1"/>
    </row>
    <row r="4278" ht="24.0" customHeight="1">
      <c r="A4278" s="1"/>
      <c r="B4278" s="24" t="str">
        <f>HYPERLINK("https://www.compass.com/listing/45-west-11th-street-unit-2a-manhattan-ny-10011/1838905963491810337/view?agent_id=610d3f3370540700019b0833","45 West 11th Street, Unit 2A")</f>
        <v>45 West 11th Street, Unit 2A</v>
      </c>
      <c r="C4278" s="25" t="s">
        <v>364</v>
      </c>
      <c r="D4278" s="26" t="s">
        <v>23</v>
      </c>
      <c r="E4278" s="27" t="str">
        <f>HYPERLINK("https://www.compass.com/building/45-w-11th-st-manhattan-ny-10011/281910646893733813/","45 W 11th St")</f>
        <v>45 W 11th St</v>
      </c>
      <c r="F4278" s="25" t="s">
        <v>43</v>
      </c>
      <c r="G4278" s="28">
        <v>1295000.0</v>
      </c>
      <c r="H4278" s="29"/>
      <c r="I4278" s="28">
        <v>1913.0</v>
      </c>
      <c r="J4278" s="28">
        <v>0.0</v>
      </c>
      <c r="K4278" s="25" t="s">
        <v>25</v>
      </c>
      <c r="L4278" s="26">
        <v>4.0</v>
      </c>
      <c r="M4278" s="26">
        <v>2.0</v>
      </c>
      <c r="N4278" s="26">
        <v>1.0</v>
      </c>
      <c r="O4278" s="26">
        <v>0.0</v>
      </c>
      <c r="P4278" s="30"/>
      <c r="Q4278" s="35">
        <v>56.0</v>
      </c>
      <c r="R4278" s="32">
        <v>45469.0</v>
      </c>
      <c r="S4278" s="32">
        <v>45413.0</v>
      </c>
      <c r="T4278" s="29"/>
      <c r="U4278" s="33"/>
      <c r="V4278" s="1"/>
    </row>
    <row r="4279" ht="24.0" customHeight="1">
      <c r="A4279" s="1"/>
      <c r="B4279" s="24" t="str">
        <f>HYPERLINK("https://www.compass.com/listing/30-east-9th-street-unit-4b-manhattan-ny-10003/1838979677150997889/view?agent_id=610d3f3370540700019b0833","30 East 9th Street, Unit 4B")</f>
        <v>30 East 9th Street, Unit 4B</v>
      </c>
      <c r="C4279" s="25" t="s">
        <v>370</v>
      </c>
      <c r="D4279" s="26" t="s">
        <v>23</v>
      </c>
      <c r="E4279" s="27" t="str">
        <f>HYPERLINK("https://www.compass.com/building/the-lafayette-manhattan-ny/292781948961564533/","The Lafayette")</f>
        <v>The Lafayette</v>
      </c>
      <c r="F4279" s="25" t="s">
        <v>43</v>
      </c>
      <c r="G4279" s="28">
        <v>1350000.0</v>
      </c>
      <c r="H4279" s="28">
        <v>1459.0</v>
      </c>
      <c r="I4279" s="28">
        <v>2139.0</v>
      </c>
      <c r="J4279" s="28">
        <v>0.0</v>
      </c>
      <c r="K4279" s="25" t="s">
        <v>25</v>
      </c>
      <c r="L4279" s="26">
        <v>4.0</v>
      </c>
      <c r="M4279" s="26">
        <v>2.0</v>
      </c>
      <c r="N4279" s="26">
        <v>1.0</v>
      </c>
      <c r="O4279" s="26">
        <v>0.0</v>
      </c>
      <c r="P4279" s="26">
        <v>925.0</v>
      </c>
      <c r="Q4279" s="35">
        <v>98.0</v>
      </c>
      <c r="R4279" s="32">
        <v>45636.0</v>
      </c>
      <c r="S4279" s="32">
        <v>45225.0</v>
      </c>
      <c r="T4279" s="29"/>
      <c r="U4279" s="33"/>
      <c r="V4279" s="1"/>
    </row>
    <row r="4280" ht="24.0" customHeight="1">
      <c r="A4280" s="1"/>
      <c r="B4280" s="24" t="str">
        <f>HYPERLINK("https://www.compass.com/listing/149-clifton-place-unit-2-brooklyn-ny-11238/1855133635460231529/view?agent_id=610d3f3370540700019b0833","149 Clifton Place, Unit 2")</f>
        <v>149 Clifton Place, Unit 2</v>
      </c>
      <c r="C4280" s="25" t="s">
        <v>365</v>
      </c>
      <c r="D4280" s="26" t="s">
        <v>23</v>
      </c>
      <c r="E4280" s="27" t="str">
        <f>HYPERLINK("https://www.compass.com/building/149-clifton-pl-brooklyn-ny-11238/293421658268566293/","149 Clifton Pl")</f>
        <v>149 Clifton Pl</v>
      </c>
      <c r="F4280" s="25" t="s">
        <v>51</v>
      </c>
      <c r="G4280" s="28">
        <v>1249000.0</v>
      </c>
      <c r="H4280" s="28">
        <v>1542.0</v>
      </c>
      <c r="I4280" s="28">
        <v>368.0</v>
      </c>
      <c r="J4280" s="28">
        <v>0.0</v>
      </c>
      <c r="K4280" s="25" t="s">
        <v>248</v>
      </c>
      <c r="L4280" s="26">
        <v>5.0</v>
      </c>
      <c r="M4280" s="26">
        <v>2.0</v>
      </c>
      <c r="N4280" s="26">
        <v>1.0</v>
      </c>
      <c r="O4280" s="26">
        <v>0.0</v>
      </c>
      <c r="P4280" s="26">
        <v>810.0</v>
      </c>
      <c r="Q4280" s="35">
        <v>21.0</v>
      </c>
      <c r="R4280" s="32">
        <v>45832.0</v>
      </c>
      <c r="S4280" s="32">
        <v>45811.0</v>
      </c>
      <c r="T4280" s="29"/>
      <c r="U4280" s="33"/>
      <c r="V4280" s="1"/>
    </row>
    <row r="4281" ht="24.0" customHeight="1">
      <c r="A4281" s="1"/>
      <c r="B4281" s="24" t="str">
        <f>HYPERLINK("https://www.compass.com/listing/55-east-9th-street-unit-7l-manhattan-ny-10003/29505684760530993/view?agent_id=610d3f3370540700019b0833","55 East 9th Street, Unit 7L")</f>
        <v>55 East 9th Street, Unit 7L</v>
      </c>
      <c r="C4281" s="25" t="s">
        <v>370</v>
      </c>
      <c r="D4281" s="26" t="s">
        <v>23</v>
      </c>
      <c r="E4281" s="27" t="str">
        <f>HYPERLINK("https://www.compass.com/building/55-e-9th-st-manhattan-ny-10003/292785859109861301/","55 E 9th St")</f>
        <v>55 E 9th St</v>
      </c>
      <c r="F4281" s="25" t="s">
        <v>43</v>
      </c>
      <c r="G4281" s="28">
        <v>1445000.0</v>
      </c>
      <c r="H4281" s="28">
        <v>1606.0</v>
      </c>
      <c r="I4281" s="28">
        <v>1761.0</v>
      </c>
      <c r="J4281" s="29"/>
      <c r="K4281" s="25" t="s">
        <v>25</v>
      </c>
      <c r="L4281" s="26">
        <v>4.0</v>
      </c>
      <c r="M4281" s="26">
        <v>2.0</v>
      </c>
      <c r="N4281" s="26">
        <v>0.0</v>
      </c>
      <c r="O4281" s="26">
        <v>0.0</v>
      </c>
      <c r="P4281" s="26">
        <v>900.0</v>
      </c>
      <c r="Q4281" s="35">
        <v>274.0</v>
      </c>
      <c r="R4281" s="32">
        <v>45636.0</v>
      </c>
      <c r="S4281" s="32">
        <v>41528.0</v>
      </c>
      <c r="T4281" s="29"/>
      <c r="U4281" s="33"/>
      <c r="V4281" s="1"/>
    </row>
    <row r="4282" ht="24.0" customHeight="1">
      <c r="A4282" s="1"/>
      <c r="B4282" s="24" t="str">
        <f>HYPERLINK("https://www.compass.com/listing/41-5th-avenue-unit-6a-manhattan-ny-10003/29365544373218369/view?agent_id=610d3f3370540700019b0833","41 5th Avenue, Unit 6A")</f>
        <v>41 5th Avenue, Unit 6A</v>
      </c>
      <c r="C4282" s="25" t="s">
        <v>370</v>
      </c>
      <c r="D4282" s="26" t="s">
        <v>23</v>
      </c>
      <c r="E4282" s="27" t="str">
        <f>HYPERLINK("https://www.compass.com/building/41-5th-ave-manhattan-ny-10003/281893535299412485/","41 5th Ave")</f>
        <v>41 5th Ave</v>
      </c>
      <c r="F4282" s="25" t="s">
        <v>43</v>
      </c>
      <c r="G4282" s="28">
        <v>2300000.0</v>
      </c>
      <c r="H4282" s="29"/>
      <c r="I4282" s="28">
        <v>2729.0</v>
      </c>
      <c r="J4282" s="29"/>
      <c r="K4282" s="25" t="s">
        <v>25</v>
      </c>
      <c r="L4282" s="26">
        <v>4.0</v>
      </c>
      <c r="M4282" s="26">
        <v>2.0</v>
      </c>
      <c r="N4282" s="26">
        <v>0.0</v>
      </c>
      <c r="O4282" s="26">
        <v>0.0</v>
      </c>
      <c r="P4282" s="30"/>
      <c r="Q4282" s="35">
        <v>176.0</v>
      </c>
      <c r="R4282" s="32">
        <v>45636.0</v>
      </c>
      <c r="S4282" s="32">
        <v>42189.0</v>
      </c>
      <c r="T4282" s="29"/>
      <c r="U4282" s="33"/>
      <c r="V4282" s="1"/>
    </row>
    <row r="4283" ht="24.0" customHeight="1">
      <c r="A4283" s="1"/>
      <c r="B4283" s="24" t="str">
        <f>HYPERLINK("https://www.compass.com/listing/35-west-9th-street-unit-9c-manhattan-ny-10011/361302811287376785/view?agent_id=610d3f3370540700019b0833","35 West 9th Street, Unit 9C")</f>
        <v>35 West 9th Street, Unit 9C</v>
      </c>
      <c r="C4283" s="25" t="s">
        <v>364</v>
      </c>
      <c r="D4283" s="26" t="s">
        <v>23</v>
      </c>
      <c r="E4283" s="27" t="str">
        <f>HYPERLINK("https://www.compass.com/building/35-w-9th-st-manhattan-ny-10011/281909497679602357/","35 W 9th St")</f>
        <v>35 W 9th St</v>
      </c>
      <c r="F4283" s="25" t="s">
        <v>43</v>
      </c>
      <c r="G4283" s="28">
        <v>1700000.0</v>
      </c>
      <c r="H4283" s="29"/>
      <c r="I4283" s="28">
        <v>2929.0</v>
      </c>
      <c r="J4283" s="28">
        <v>0.0</v>
      </c>
      <c r="K4283" s="25" t="s">
        <v>25</v>
      </c>
      <c r="L4283" s="26">
        <v>4.0</v>
      </c>
      <c r="M4283" s="26">
        <v>2.0</v>
      </c>
      <c r="N4283" s="30"/>
      <c r="O4283" s="30"/>
      <c r="P4283" s="30"/>
      <c r="Q4283" s="35">
        <v>38.0</v>
      </c>
      <c r="R4283" s="32">
        <v>43790.0</v>
      </c>
      <c r="S4283" s="32">
        <v>43750.0</v>
      </c>
      <c r="T4283" s="29"/>
      <c r="U4283" s="33"/>
      <c r="V4283" s="1"/>
    </row>
    <row r="4284" ht="24.0" customHeight="1">
      <c r="A4284" s="1"/>
      <c r="B4284" s="24" t="str">
        <f>HYPERLINK("https://www.compass.com/listing/41-5th-avenue-unit-16e-manhattan-ny-10003/4852306625622458161/view?agent_id=610d3f3370540700019b0833","41 5th Avenue, Unit 16E")</f>
        <v>41 5th Avenue, Unit 16E</v>
      </c>
      <c r="C4284" s="25" t="s">
        <v>370</v>
      </c>
      <c r="D4284" s="26" t="s">
        <v>23</v>
      </c>
      <c r="E4284" s="27" t="str">
        <f>HYPERLINK("https://www.compass.com/building/41-5th-ave-manhattan-ny-10003/281893535299412485/","41 5th Ave")</f>
        <v>41 5th Ave</v>
      </c>
      <c r="F4284" s="25" t="s">
        <v>43</v>
      </c>
      <c r="G4284" s="28">
        <v>2270000.0</v>
      </c>
      <c r="H4284" s="29"/>
      <c r="I4284" s="28">
        <v>3263.0</v>
      </c>
      <c r="J4284" s="29"/>
      <c r="K4284" s="25" t="s">
        <v>25</v>
      </c>
      <c r="L4284" s="26">
        <v>4.0</v>
      </c>
      <c r="M4284" s="26">
        <v>2.0</v>
      </c>
      <c r="N4284" s="26">
        <v>0.0</v>
      </c>
      <c r="O4284" s="26">
        <v>0.0</v>
      </c>
      <c r="P4284" s="30"/>
      <c r="Q4284" s="35">
        <v>179.0</v>
      </c>
      <c r="R4284" s="32">
        <v>45636.0</v>
      </c>
      <c r="S4284" s="32">
        <v>42397.0</v>
      </c>
      <c r="T4284" s="29"/>
      <c r="U4284" s="33"/>
      <c r="V4284" s="1"/>
    </row>
    <row r="4285" ht="24.0" customHeight="1">
      <c r="A4285" s="1"/>
      <c r="B4285" s="24" t="str">
        <f>HYPERLINK("https://www.compass.com/listing/45-west-11th-street-unit-2a-manhattan-ny-10011/1314510137576775345/view?agent_id=610d3f3370540700019b0833","45 West 11th Street, Unit 2A")</f>
        <v>45 West 11th Street, Unit 2A</v>
      </c>
      <c r="C4285" s="25" t="s">
        <v>364</v>
      </c>
      <c r="D4285" s="26" t="s">
        <v>23</v>
      </c>
      <c r="E4285" s="27" t="str">
        <f>HYPERLINK("https://www.compass.com/building/45-w-11th-st-manhattan-ny-10011/281910646893733813/","45 W 11th St")</f>
        <v>45 W 11th St</v>
      </c>
      <c r="F4285" s="25" t="s">
        <v>43</v>
      </c>
      <c r="G4285" s="28">
        <v>1295000.0</v>
      </c>
      <c r="H4285" s="29"/>
      <c r="I4285" s="28">
        <v>1805.0</v>
      </c>
      <c r="J4285" s="28">
        <v>0.0</v>
      </c>
      <c r="K4285" s="25" t="s">
        <v>25</v>
      </c>
      <c r="L4285" s="26">
        <v>4.0</v>
      </c>
      <c r="M4285" s="26">
        <v>2.0</v>
      </c>
      <c r="N4285" s="26">
        <v>1.0</v>
      </c>
      <c r="O4285" s="26">
        <v>0.0</v>
      </c>
      <c r="P4285" s="30"/>
      <c r="Q4285" s="35">
        <v>279.0</v>
      </c>
      <c r="R4285" s="32">
        <v>45344.0</v>
      </c>
      <c r="S4285" s="32">
        <v>45065.0</v>
      </c>
      <c r="T4285" s="29"/>
      <c r="U4285" s="33"/>
      <c r="V4285" s="1"/>
    </row>
    <row r="4286" ht="24.0" customHeight="1">
      <c r="A4286" s="1"/>
      <c r="B4286" s="24" t="str">
        <f>HYPERLINK("https://www.compass.com/listing/50-54-east-8th-street-unit-4e-manhattan-ny-10003/1258760298211053249/view?agent_id=610d3f3370540700019b0833","50-54 East 8th Street, Unit 4E")</f>
        <v>50-54 East 8th Street, Unit 4E</v>
      </c>
      <c r="C4286" s="25" t="s">
        <v>364</v>
      </c>
      <c r="D4286" s="26" t="s">
        <v>23</v>
      </c>
      <c r="E4286" s="27" t="str">
        <f>HYPERLINK("https://www.compass.com/building/50-54-e-8th-st-manhattan-ny-10003/436383059332391421/","50-54 E 8th St")</f>
        <v>50-54 E 8th St</v>
      </c>
      <c r="F4286" s="25" t="s">
        <v>43</v>
      </c>
      <c r="G4286" s="28">
        <v>725000.0</v>
      </c>
      <c r="H4286" s="29"/>
      <c r="I4286" s="28">
        <v>2936.0</v>
      </c>
      <c r="J4286" s="28">
        <v>0.0</v>
      </c>
      <c r="K4286" s="25" t="s">
        <v>25</v>
      </c>
      <c r="L4286" s="26">
        <v>4.0</v>
      </c>
      <c r="M4286" s="26">
        <v>2.0</v>
      </c>
      <c r="N4286" s="26">
        <v>1.0</v>
      </c>
      <c r="O4286" s="26">
        <v>0.0</v>
      </c>
      <c r="P4286" s="30"/>
      <c r="Q4286" s="35">
        <v>206.0</v>
      </c>
      <c r="R4286" s="32">
        <v>45636.0</v>
      </c>
      <c r="S4286" s="32">
        <v>45349.0</v>
      </c>
      <c r="T4286" s="29"/>
      <c r="U4286" s="33"/>
      <c r="V4286" s="1"/>
    </row>
    <row r="4287" ht="24.0" customHeight="1">
      <c r="A4287" s="1"/>
      <c r="B4287" s="24" t="str">
        <f>HYPERLINK("https://www.compass.com/listing/33-5th-avenue-unit-5a-manhattan-ny-10003/603522815180229425/view?agent_id=610d3f3370540700019b0833","33 5th Avenue, Unit 5A")</f>
        <v>33 5th Avenue, Unit 5A</v>
      </c>
      <c r="C4287" s="25" t="s">
        <v>364</v>
      </c>
      <c r="D4287" s="26" t="s">
        <v>23</v>
      </c>
      <c r="E4287" s="27" t="str">
        <f>HYPERLINK("https://www.compass.com/building/33-5th-ave-manhattan-ny-10003/281892710195928629/","33 5th Ave")</f>
        <v>33 5th Ave</v>
      </c>
      <c r="F4287" s="25" t="s">
        <v>43</v>
      </c>
      <c r="G4287" s="28">
        <v>2375000.0</v>
      </c>
      <c r="H4287" s="29"/>
      <c r="I4287" s="28">
        <v>2473.0</v>
      </c>
      <c r="J4287" s="29"/>
      <c r="K4287" s="25" t="s">
        <v>25</v>
      </c>
      <c r="L4287" s="26">
        <v>4.0</v>
      </c>
      <c r="M4287" s="26">
        <v>2.0</v>
      </c>
      <c r="N4287" s="26">
        <v>0.0</v>
      </c>
      <c r="O4287" s="26">
        <v>0.0</v>
      </c>
      <c r="P4287" s="30"/>
      <c r="Q4287" s="35">
        <v>98.0</v>
      </c>
      <c r="R4287" s="32">
        <v>45636.0</v>
      </c>
      <c r="S4287" s="32">
        <v>42423.0</v>
      </c>
      <c r="T4287" s="29"/>
      <c r="U4287" s="33"/>
      <c r="V4287" s="1"/>
    </row>
    <row r="4288" ht="24.0" customHeight="1">
      <c r="A4288" s="1"/>
      <c r="B4288" s="24" t="str">
        <f>HYPERLINK("https://www.compass.com/listing/111-4th-avenue-unit-5i-manhattan-ny-10003/4852320574233391713/view?agent_id=610d3f3370540700019b0833","111 4th Avenue, Unit 5I")</f>
        <v>111 4th Avenue, Unit 5I</v>
      </c>
      <c r="C4288" s="25" t="s">
        <v>364</v>
      </c>
      <c r="D4288" s="26" t="s">
        <v>23</v>
      </c>
      <c r="E4288" s="27" t="str">
        <f>HYPERLINK("https://www.compass.com/building/111-4th-ave-manhattan-ny-10003/281888963189278709/","111 4th Ave")</f>
        <v>111 4th Ave</v>
      </c>
      <c r="F4288" s="25" t="s">
        <v>43</v>
      </c>
      <c r="G4288" s="28">
        <v>1895000.0</v>
      </c>
      <c r="H4288" s="28">
        <v>1895.0</v>
      </c>
      <c r="I4288" s="28">
        <v>1561.0</v>
      </c>
      <c r="J4288" s="29"/>
      <c r="K4288" s="25" t="s">
        <v>25</v>
      </c>
      <c r="L4288" s="26">
        <v>5.0</v>
      </c>
      <c r="M4288" s="26">
        <v>2.0</v>
      </c>
      <c r="N4288" s="26">
        <v>1.0</v>
      </c>
      <c r="O4288" s="26">
        <v>0.0</v>
      </c>
      <c r="P4288" s="34">
        <v>1000.0</v>
      </c>
      <c r="Q4288" s="35">
        <v>169.0</v>
      </c>
      <c r="R4288" s="32">
        <v>45636.0</v>
      </c>
      <c r="S4288" s="32">
        <v>42083.0</v>
      </c>
      <c r="T4288" s="29"/>
      <c r="U4288" s="33"/>
      <c r="V4288" s="1"/>
    </row>
    <row r="4289" ht="24.0" customHeight="1">
      <c r="A4289" s="1"/>
      <c r="B4289" s="24" t="str">
        <f>HYPERLINK("https://www.compass.com/listing/55-east-9th-street-unit-6e-manhattan-ny-10003/468104660436923385/view?agent_id=610d3f3370540700019b0833","55 East 9th Street, Unit 6E")</f>
        <v>55 East 9th Street, Unit 6E</v>
      </c>
      <c r="C4289" s="25" t="s">
        <v>364</v>
      </c>
      <c r="D4289" s="26" t="s">
        <v>23</v>
      </c>
      <c r="E4289" s="27" t="str">
        <f>HYPERLINK("https://www.compass.com/building/55-e-9th-st-manhattan-ny-10003/292785859109861301/","55 E 9th St")</f>
        <v>55 E 9th St</v>
      </c>
      <c r="F4289" s="25" t="s">
        <v>43</v>
      </c>
      <c r="G4289" s="28">
        <v>1350000.0</v>
      </c>
      <c r="H4289" s="28">
        <v>1688.0</v>
      </c>
      <c r="I4289" s="28">
        <v>1923.0</v>
      </c>
      <c r="J4289" s="29"/>
      <c r="K4289" s="25" t="s">
        <v>25</v>
      </c>
      <c r="L4289" s="26">
        <v>4.0</v>
      </c>
      <c r="M4289" s="26">
        <v>2.0</v>
      </c>
      <c r="N4289" s="26">
        <v>1.0</v>
      </c>
      <c r="O4289" s="26">
        <v>0.0</v>
      </c>
      <c r="P4289" s="26">
        <v>800.0</v>
      </c>
      <c r="Q4289" s="35">
        <v>192.0</v>
      </c>
      <c r="R4289" s="32">
        <v>44581.0</v>
      </c>
      <c r="S4289" s="32">
        <v>43882.0</v>
      </c>
      <c r="T4289" s="29"/>
      <c r="U4289" s="33"/>
      <c r="V4289" s="1"/>
    </row>
    <row r="4290" ht="24.0" customHeight="1">
      <c r="A4290" s="1"/>
      <c r="B4290" s="24" t="str">
        <f>HYPERLINK("https://www.compass.com/listing/210-thompson-street-unit-3ds-manhattan-ny-10012/1809620061883669089/view?agent_id=610d3f3370540700019b0833","210 Thompson Street, Unit 3DS")</f>
        <v>210 Thompson Street, Unit 3DS</v>
      </c>
      <c r="C4290" s="25" t="s">
        <v>364</v>
      </c>
      <c r="D4290" s="26" t="s">
        <v>23</v>
      </c>
      <c r="E4290" s="27" t="str">
        <f>HYPERLINK("https://www.compass.com/building/210-thompson-st-manhattan-ny-10012/282064343934209477/","210 Thompson St")</f>
        <v>210 Thompson St</v>
      </c>
      <c r="F4290" s="25" t="s">
        <v>43</v>
      </c>
      <c r="G4290" s="28">
        <v>1100000.0</v>
      </c>
      <c r="H4290" s="29"/>
      <c r="I4290" s="28">
        <v>1391.0</v>
      </c>
      <c r="J4290" s="29"/>
      <c r="K4290" s="25" t="s">
        <v>25</v>
      </c>
      <c r="L4290" s="26">
        <v>4.0</v>
      </c>
      <c r="M4290" s="26">
        <v>2.0</v>
      </c>
      <c r="N4290" s="26">
        <v>1.0</v>
      </c>
      <c r="O4290" s="26">
        <v>0.0</v>
      </c>
      <c r="P4290" s="30"/>
      <c r="Q4290" s="35">
        <v>6.0</v>
      </c>
      <c r="R4290" s="32">
        <v>45224.0</v>
      </c>
      <c r="S4290" s="32">
        <v>44448.0</v>
      </c>
      <c r="T4290" s="29"/>
      <c r="U4290" s="33"/>
      <c r="V4290" s="1"/>
    </row>
    <row r="4291" ht="24.0" customHeight="1">
      <c r="A4291" s="1"/>
      <c r="B4291" s="24" t="str">
        <f>HYPERLINK("https://www.compass.com/listing/37-west-12th-street-unit-3h-manhattan-ny-10011/4864015440583605681/view?agent_id=610d3f3370540700019b0833","37 West 12th Street, Unit 3H")</f>
        <v>37 West 12th Street, Unit 3H</v>
      </c>
      <c r="C4291" s="25" t="s">
        <v>370</v>
      </c>
      <c r="D4291" s="26" t="s">
        <v>23</v>
      </c>
      <c r="E4291" s="27" t="str">
        <f>HYPERLINK("https://www.compass.com/building/37-w-12th-st-manhattan-ny-10011/281909849464266213/","37 W 12th St")</f>
        <v>37 W 12th St</v>
      </c>
      <c r="F4291" s="25" t="s">
        <v>43</v>
      </c>
      <c r="G4291" s="28">
        <v>2250000.0</v>
      </c>
      <c r="H4291" s="29"/>
      <c r="I4291" s="28">
        <v>3467.0</v>
      </c>
      <c r="J4291" s="29"/>
      <c r="K4291" s="25" t="s">
        <v>25</v>
      </c>
      <c r="L4291" s="26">
        <v>4.0</v>
      </c>
      <c r="M4291" s="26">
        <v>2.0</v>
      </c>
      <c r="N4291" s="26">
        <v>0.0</v>
      </c>
      <c r="O4291" s="26">
        <v>0.0</v>
      </c>
      <c r="P4291" s="30"/>
      <c r="Q4291" s="35">
        <v>110.0</v>
      </c>
      <c r="R4291" s="32">
        <v>45636.0</v>
      </c>
      <c r="S4291" s="32">
        <v>42809.0</v>
      </c>
      <c r="T4291" s="29"/>
      <c r="U4291" s="33"/>
      <c r="V4291" s="1"/>
    </row>
    <row r="4292" ht="24.0" customHeight="1">
      <c r="A4292" s="1"/>
      <c r="B4292" s="24" t="str">
        <f>HYPERLINK("https://www.compass.com/listing/2-5th-avenue-unit-8r-manhattan-ny-10011/1561632437734002401/view?agent_id=610d3f3370540700019b0833","2 5th Avenue, Unit 8R")</f>
        <v>2 5th Avenue, Unit 8R</v>
      </c>
      <c r="C4292" s="25" t="s">
        <v>370</v>
      </c>
      <c r="D4292" s="26" t="s">
        <v>23</v>
      </c>
      <c r="E4292" s="27" t="str">
        <f>HYPERLINK("https://www.compass.com/building/2-5th-ave-manhattan-ny-10011/281906423137324709/","2 5th Ave")</f>
        <v>2 5th Ave</v>
      </c>
      <c r="F4292" s="25" t="s">
        <v>43</v>
      </c>
      <c r="G4292" s="28">
        <v>1375000.0</v>
      </c>
      <c r="H4292" s="29"/>
      <c r="I4292" s="28">
        <v>2244.0</v>
      </c>
      <c r="J4292" s="28">
        <v>0.0</v>
      </c>
      <c r="K4292" s="25" t="s">
        <v>25</v>
      </c>
      <c r="L4292" s="26">
        <v>4.0</v>
      </c>
      <c r="M4292" s="26">
        <v>2.0</v>
      </c>
      <c r="N4292" s="26">
        <v>1.0</v>
      </c>
      <c r="O4292" s="26">
        <v>0.0</v>
      </c>
      <c r="P4292" s="30"/>
      <c r="Q4292" s="35">
        <v>109.0</v>
      </c>
      <c r="R4292" s="32">
        <v>45695.0</v>
      </c>
      <c r="S4292" s="32">
        <v>45406.0</v>
      </c>
      <c r="T4292" s="29"/>
      <c r="U4292" s="33"/>
      <c r="V4292" s="1"/>
    </row>
    <row r="4293" ht="24.0" customHeight="1">
      <c r="A4293" s="1"/>
      <c r="B4293" s="24" t="str">
        <f>HYPERLINK("https://www.compass.com/listing/180-thompson-street-unit-5b-manhattan-ny-10012/921139293845309913/view?agent_id=610d3f3370540700019b0833","180 Thompson Street, Unit 5B")</f>
        <v>180 Thompson Street, Unit 5B</v>
      </c>
      <c r="C4293" s="25" t="s">
        <v>364</v>
      </c>
      <c r="D4293" s="26" t="s">
        <v>23</v>
      </c>
      <c r="E4293" s="27" t="str">
        <f>HYPERLINK("https://www.compass.com/building/180-thompson-st-manhattan-ny-10012/281913563965058325/","180 Thompson St")</f>
        <v>180 Thompson St</v>
      </c>
      <c r="F4293" s="25" t="s">
        <v>43</v>
      </c>
      <c r="G4293" s="28">
        <v>749000.0</v>
      </c>
      <c r="H4293" s="28">
        <v>936.0</v>
      </c>
      <c r="I4293" s="28">
        <v>1383.0</v>
      </c>
      <c r="J4293" s="29"/>
      <c r="K4293" s="25" t="s">
        <v>25</v>
      </c>
      <c r="L4293" s="26">
        <v>3.0</v>
      </c>
      <c r="M4293" s="26">
        <v>2.0</v>
      </c>
      <c r="N4293" s="26">
        <v>1.0</v>
      </c>
      <c r="O4293" s="26">
        <v>0.0</v>
      </c>
      <c r="P4293" s="26">
        <v>800.0</v>
      </c>
      <c r="Q4293" s="35">
        <v>180.0</v>
      </c>
      <c r="R4293" s="32">
        <v>45636.0</v>
      </c>
      <c r="S4293" s="32">
        <v>41105.0</v>
      </c>
      <c r="T4293" s="29"/>
      <c r="U4293" s="33"/>
      <c r="V4293" s="1"/>
    </row>
    <row r="4294" ht="24.0" customHeight="1">
      <c r="A4294" s="1"/>
      <c r="B4294" s="24" t="str">
        <f>HYPERLINK("https://www.compass.com/listing/35-east-9th-street-unit-1-manhattan-ny-10003/4703696927538047697/view?agent_id=610d3f3370540700019b0833","35 E 9th St, Unit 1")</f>
        <v>35 E 9th St, Unit 1</v>
      </c>
      <c r="C4294" s="25" t="s">
        <v>364</v>
      </c>
      <c r="D4294" s="26" t="s">
        <v>23</v>
      </c>
      <c r="E4294" s="27" t="str">
        <f>HYPERLINK("https://www.compass.com/building/35-east-9th-street-manhattan-ny/1415361229645972429/","35 East 9th Street")</f>
        <v>35 East 9th Street</v>
      </c>
      <c r="F4294" s="25" t="s">
        <v>43</v>
      </c>
      <c r="G4294" s="28">
        <v>1200000.0</v>
      </c>
      <c r="H4294" s="28">
        <v>1000.0</v>
      </c>
      <c r="I4294" s="28">
        <v>2073.0</v>
      </c>
      <c r="J4294" s="29"/>
      <c r="K4294" s="25" t="s">
        <v>25</v>
      </c>
      <c r="L4294" s="26">
        <v>4.0</v>
      </c>
      <c r="M4294" s="26">
        <v>2.0</v>
      </c>
      <c r="N4294" s="30"/>
      <c r="O4294" s="30"/>
      <c r="P4294" s="34">
        <v>1200.0</v>
      </c>
      <c r="Q4294" s="35">
        <v>206.0</v>
      </c>
      <c r="R4294" s="32">
        <v>42476.0</v>
      </c>
      <c r="S4294" s="32">
        <v>38089.0</v>
      </c>
      <c r="T4294" s="29"/>
      <c r="U4294" s="33"/>
      <c r="V4294" s="1"/>
    </row>
    <row r="4295" ht="24.0" customHeight="1">
      <c r="A4295" s="1"/>
      <c r="B4295" s="24" t="str">
        <f>HYPERLINK("https://www.compass.com/listing/135-west-4th-street-unit-garden1w-manhattan-ny-10012/4852273255672717809/view?agent_id=610d3f3370540700019b0833","135 W 4th St, Unit GARDEN1W")</f>
        <v>135 W 4th St, Unit GARDEN1W</v>
      </c>
      <c r="C4295" s="25" t="s">
        <v>370</v>
      </c>
      <c r="D4295" s="26" t="s">
        <v>23</v>
      </c>
      <c r="E4295" s="27" t="str">
        <f>HYPERLINK("https://www.compass.com/building/135-w-4th-st-manhattan-ny-10012/455678430839861957/","135 W 4th St")</f>
        <v>135 W 4th St</v>
      </c>
      <c r="F4295" s="25" t="s">
        <v>43</v>
      </c>
      <c r="G4295" s="28">
        <v>3498000.0</v>
      </c>
      <c r="H4295" s="28">
        <v>1864.0</v>
      </c>
      <c r="I4295" s="28">
        <v>3727.0</v>
      </c>
      <c r="J4295" s="28">
        <v>20772.0</v>
      </c>
      <c r="K4295" s="25" t="s">
        <v>28</v>
      </c>
      <c r="L4295" s="26">
        <v>5.0</v>
      </c>
      <c r="M4295" s="26">
        <v>2.0</v>
      </c>
      <c r="N4295" s="26">
        <v>0.0</v>
      </c>
      <c r="O4295" s="26">
        <v>0.0</v>
      </c>
      <c r="P4295" s="34">
        <v>1877.0</v>
      </c>
      <c r="Q4295" s="35">
        <v>170.0</v>
      </c>
      <c r="R4295" s="32">
        <v>45636.0</v>
      </c>
      <c r="S4295" s="32">
        <v>42475.0</v>
      </c>
      <c r="T4295" s="29"/>
      <c r="U4295" s="33"/>
      <c r="V4295" s="1"/>
    </row>
    <row r="4296" ht="24.0" customHeight="1">
      <c r="A4296" s="1"/>
      <c r="B4296" s="24" t="str">
        <f>HYPERLINK("https://www.compass.com/listing/17-west-10th-street-unit-1n-manhattan-ny-10011/1795245415565521689/view?agent_id=610d3f3370540700019b0833","17 W 10th St, Unit 1N")</f>
        <v>17 W 10th St, Unit 1N</v>
      </c>
      <c r="C4296" s="25" t="s">
        <v>365</v>
      </c>
      <c r="D4296" s="26" t="s">
        <v>23</v>
      </c>
      <c r="E4296" s="27" t="str">
        <f>HYPERLINK("https://www.compass.com/building/17-w-10th-st-manhattan-ny-10011/281906118345641365/","17 W 10th St")</f>
        <v>17 W 10th St</v>
      </c>
      <c r="F4296" s="25" t="s">
        <v>43</v>
      </c>
      <c r="G4296" s="28">
        <v>1399000.0</v>
      </c>
      <c r="H4296" s="29"/>
      <c r="I4296" s="28">
        <v>1780.0</v>
      </c>
      <c r="J4296" s="28">
        <v>0.0</v>
      </c>
      <c r="K4296" s="25" t="s">
        <v>25</v>
      </c>
      <c r="L4296" s="26">
        <v>4.0</v>
      </c>
      <c r="M4296" s="26">
        <v>2.0</v>
      </c>
      <c r="N4296" s="26">
        <v>1.0</v>
      </c>
      <c r="O4296" s="26">
        <v>0.0</v>
      </c>
      <c r="P4296" s="30"/>
      <c r="Q4296" s="35">
        <v>121.0</v>
      </c>
      <c r="R4296" s="32">
        <v>45847.0</v>
      </c>
      <c r="S4296" s="32">
        <v>45726.0</v>
      </c>
      <c r="T4296" s="29"/>
      <c r="U4296" s="33"/>
      <c r="V4296" s="1"/>
    </row>
    <row r="4297" ht="24.0" customHeight="1">
      <c r="A4297" s="1"/>
      <c r="B4297" s="24" t="str">
        <f>HYPERLINK("https://www.compass.com/listing/200-mercer-street-unit-ph5e-manhattan-ny-10012/1287545815362865705/view?agent_id=610d3f3370540700019b0833","200 Mercer St, Unit PH5E")</f>
        <v>200 Mercer St, Unit PH5E</v>
      </c>
      <c r="C4297" s="25" t="s">
        <v>364</v>
      </c>
      <c r="D4297" s="26" t="s">
        <v>23</v>
      </c>
      <c r="E4297" s="27" t="str">
        <f>HYPERLINK("https://www.compass.com/building/200-mercer-st-manhattan-ny-10012/281913920128576613/","200 Mercer St")</f>
        <v>200 Mercer St</v>
      </c>
      <c r="F4297" s="25" t="s">
        <v>43</v>
      </c>
      <c r="G4297" s="28">
        <v>6250000.0</v>
      </c>
      <c r="H4297" s="29"/>
      <c r="I4297" s="28">
        <v>3423.0</v>
      </c>
      <c r="J4297" s="28">
        <v>0.0</v>
      </c>
      <c r="K4297" s="25" t="s">
        <v>25</v>
      </c>
      <c r="L4297" s="26">
        <v>9.0</v>
      </c>
      <c r="M4297" s="26">
        <v>2.0</v>
      </c>
      <c r="N4297" s="26">
        <v>0.0</v>
      </c>
      <c r="O4297" s="30"/>
      <c r="P4297" s="30"/>
      <c r="Q4297" s="35">
        <v>374.0</v>
      </c>
      <c r="R4297" s="32">
        <v>45444.0</v>
      </c>
      <c r="S4297" s="32">
        <v>45027.0</v>
      </c>
      <c r="T4297" s="29"/>
      <c r="U4297" s="33"/>
      <c r="V4297" s="1"/>
    </row>
    <row r="4298" ht="24.0" customHeight="1">
      <c r="A4298" s="1"/>
      <c r="B4298" s="24" t="str">
        <f>HYPERLINK("https://www.compass.com/listing/350-bleecker-street-unit-5lm-manhattan-ny-10014/709411434315800001/view?agent_id=610d3f3370540700019b0833","350 Bleecker St, Unit 5LM")</f>
        <v>350 Bleecker St, Unit 5LM</v>
      </c>
      <c r="C4298" s="25" t="s">
        <v>364</v>
      </c>
      <c r="D4298" s="26" t="s">
        <v>23</v>
      </c>
      <c r="E4298" s="27" t="str">
        <f>HYPERLINK("https://www.compass.com/building/350-bleecker-st-manhattan-ny-10014/281933070641183925/","350 Bleecker St")</f>
        <v>350 Bleecker St</v>
      </c>
      <c r="F4298" s="25" t="s">
        <v>26</v>
      </c>
      <c r="G4298" s="28">
        <v>2860000.0</v>
      </c>
      <c r="H4298" s="28">
        <v>2329.0</v>
      </c>
      <c r="I4298" s="28">
        <v>2635.0</v>
      </c>
      <c r="J4298" s="29"/>
      <c r="K4298" s="25" t="s">
        <v>110</v>
      </c>
      <c r="L4298" s="26">
        <v>4.0</v>
      </c>
      <c r="M4298" s="26">
        <v>2.0</v>
      </c>
      <c r="N4298" s="26">
        <v>0.0</v>
      </c>
      <c r="O4298" s="26">
        <v>0.0</v>
      </c>
      <c r="P4298" s="34">
        <v>1228.0</v>
      </c>
      <c r="Q4298" s="35">
        <v>234.0</v>
      </c>
      <c r="R4298" s="32">
        <v>45636.0</v>
      </c>
      <c r="S4298" s="32">
        <v>42986.0</v>
      </c>
      <c r="T4298" s="29"/>
      <c r="U4298" s="33"/>
      <c r="V4298" s="1"/>
    </row>
    <row r="4299" ht="24.0" customHeight="1">
      <c r="A4299" s="1"/>
      <c r="B4299" s="24" t="str">
        <f>HYPERLINK("https://www.compass.com/listing/50-west-9th-street-unit-2a-manhattan-ny-10011/328438525409946417/view?agent_id=610d3f3370540700019b0833","50 W 9th St, Unit 2A")</f>
        <v>50 W 9th St, Unit 2A</v>
      </c>
      <c r="C4299" s="25" t="s">
        <v>370</v>
      </c>
      <c r="D4299" s="26" t="s">
        <v>23</v>
      </c>
      <c r="E4299" s="27" t="str">
        <f>HYPERLINK("https://www.compass.com/building/the-hampshire-manhattan-ny/282059725334413285/","The Hampshire")</f>
        <v>The Hampshire</v>
      </c>
      <c r="F4299" s="25" t="s">
        <v>43</v>
      </c>
      <c r="G4299" s="28">
        <v>1995000.0</v>
      </c>
      <c r="H4299" s="29"/>
      <c r="I4299" s="28">
        <v>1830.0</v>
      </c>
      <c r="J4299" s="29"/>
      <c r="K4299" s="25" t="s">
        <v>25</v>
      </c>
      <c r="L4299" s="26">
        <v>4.0</v>
      </c>
      <c r="M4299" s="26">
        <v>2.0</v>
      </c>
      <c r="N4299" s="26">
        <v>0.0</v>
      </c>
      <c r="O4299" s="26">
        <v>0.0</v>
      </c>
      <c r="P4299" s="30"/>
      <c r="Q4299" s="35">
        <v>167.0</v>
      </c>
      <c r="R4299" s="32">
        <v>45636.0</v>
      </c>
      <c r="S4299" s="32">
        <v>41722.0</v>
      </c>
      <c r="T4299" s="29"/>
      <c r="U4299" s="33"/>
      <c r="V4299" s="1"/>
    </row>
    <row r="4300" ht="24.0" customHeight="1">
      <c r="A4300" s="1"/>
      <c r="B4300" s="24" t="str">
        <f>HYPERLINK("https://www.compass.com/listing/303-mercer-street-unit-a302-manhattan-ny-10003/1860564872580464009/view?agent_id=610d3f3370540700019b0833","303 Mercer St, Unit A302")</f>
        <v>303 Mercer St, Unit A302</v>
      </c>
      <c r="C4300" s="25" t="s">
        <v>364</v>
      </c>
      <c r="D4300" s="26" t="s">
        <v>23</v>
      </c>
      <c r="E4300" s="27" t="str">
        <f t="shared" ref="E4300:E4301" si="183">HYPERLINK("https://www.compass.com/building/snug-harbor-manhattan-ny/281891981670486725/","Snug Harbor")</f>
        <v>Snug Harbor</v>
      </c>
      <c r="F4300" s="25" t="s">
        <v>43</v>
      </c>
      <c r="G4300" s="28">
        <v>1200000.0</v>
      </c>
      <c r="H4300" s="28">
        <v>1000.0</v>
      </c>
      <c r="I4300" s="28">
        <v>2317.0</v>
      </c>
      <c r="J4300" s="28">
        <v>0.0</v>
      </c>
      <c r="K4300" s="25" t="s">
        <v>25</v>
      </c>
      <c r="L4300" s="26">
        <v>5.0</v>
      </c>
      <c r="M4300" s="26">
        <v>2.0</v>
      </c>
      <c r="N4300" s="30"/>
      <c r="O4300" s="30"/>
      <c r="P4300" s="34">
        <v>1200.0</v>
      </c>
      <c r="Q4300" s="31"/>
      <c r="R4300" s="32">
        <v>41513.0</v>
      </c>
      <c r="S4300" s="33"/>
      <c r="T4300" s="29"/>
      <c r="U4300" s="33"/>
      <c r="V4300" s="1"/>
    </row>
    <row r="4301" ht="24.0" customHeight="1">
      <c r="A4301" s="1"/>
      <c r="B4301" s="24" t="str">
        <f>HYPERLINK("https://www.compass.com/listing/303-mercer-street-unit-a302-manhattan-ny-10003/4852311799405482961/view?agent_id=610d3f3370540700019b0833","303 Mercer St, Unit A302")</f>
        <v>303 Mercer St, Unit A302</v>
      </c>
      <c r="C4301" s="25" t="s">
        <v>364</v>
      </c>
      <c r="D4301" s="26" t="s">
        <v>23</v>
      </c>
      <c r="E4301" s="27" t="str">
        <f t="shared" si="183"/>
        <v>Snug Harbor</v>
      </c>
      <c r="F4301" s="25" t="s">
        <v>43</v>
      </c>
      <c r="G4301" s="28">
        <v>1200000.0</v>
      </c>
      <c r="H4301" s="29"/>
      <c r="I4301" s="28">
        <v>2317.0</v>
      </c>
      <c r="J4301" s="29"/>
      <c r="K4301" s="25" t="s">
        <v>25</v>
      </c>
      <c r="L4301" s="26">
        <v>5.0</v>
      </c>
      <c r="M4301" s="26">
        <v>2.0</v>
      </c>
      <c r="N4301" s="26">
        <v>0.0</v>
      </c>
      <c r="O4301" s="26">
        <v>0.0</v>
      </c>
      <c r="P4301" s="30"/>
      <c r="Q4301" s="35">
        <v>146.0</v>
      </c>
      <c r="R4301" s="32">
        <v>44581.0</v>
      </c>
      <c r="S4301" s="32">
        <v>41185.0</v>
      </c>
      <c r="T4301" s="29"/>
      <c r="U4301" s="33"/>
      <c r="V4301" s="1"/>
    </row>
    <row r="4302" ht="24.0" customHeight="1">
      <c r="A4302" s="1"/>
      <c r="B4302" s="24" t="str">
        <f>HYPERLINK("https://www.compass.com/listing/69-west-9th-street-unit-12g-manhattan-ny-10011/1007350205659801929/view?agent_id=610d3f3370540700019b0833","69 W 9th St, Unit 12G")</f>
        <v>69 W 9th St, Unit 12G</v>
      </c>
      <c r="C4302" s="25" t="s">
        <v>364</v>
      </c>
      <c r="D4302" s="26" t="s">
        <v>23</v>
      </c>
      <c r="E4302" s="27" t="str">
        <f>HYPERLINK("https://www.compass.com/building/69-w-9th-st-manhattan-ny-10011/282061360903261253/","69 W 9th St")</f>
        <v>69 W 9th St</v>
      </c>
      <c r="F4302" s="25" t="s">
        <v>43</v>
      </c>
      <c r="G4302" s="28">
        <v>1350000.0</v>
      </c>
      <c r="H4302" s="29"/>
      <c r="I4302" s="28">
        <v>2000.0</v>
      </c>
      <c r="J4302" s="29"/>
      <c r="K4302" s="25" t="s">
        <v>25</v>
      </c>
      <c r="L4302" s="26">
        <v>4.0</v>
      </c>
      <c r="M4302" s="26">
        <v>2.0</v>
      </c>
      <c r="N4302" s="26">
        <v>1.0</v>
      </c>
      <c r="O4302" s="26">
        <v>0.0</v>
      </c>
      <c r="P4302" s="30"/>
      <c r="Q4302" s="35">
        <v>23.0</v>
      </c>
      <c r="R4302" s="32">
        <v>45636.0</v>
      </c>
      <c r="S4302" s="32">
        <v>44641.0</v>
      </c>
      <c r="T4302" s="29"/>
      <c r="U4302" s="33"/>
      <c r="V4302" s="1"/>
    </row>
    <row r="4303" ht="24.0" customHeight="1">
      <c r="A4303" s="1"/>
      <c r="B4303" s="24" t="str">
        <f>HYPERLINK("https://www.compass.com/listing/303-mercer-street-unit-a207-manhattan-ny-10003/4848428911412911473/view?agent_id=610d3f3370540700019b0833","303 Mercer St, Unit A207")</f>
        <v>303 Mercer St, Unit A207</v>
      </c>
      <c r="C4303" s="25" t="s">
        <v>364</v>
      </c>
      <c r="D4303" s="26" t="s">
        <v>23</v>
      </c>
      <c r="E4303" s="27" t="str">
        <f>HYPERLINK("https://www.compass.com/building/snug-harbor-manhattan-ny/281891981670486725/","Snug Harbor")</f>
        <v>Snug Harbor</v>
      </c>
      <c r="F4303" s="25" t="s">
        <v>43</v>
      </c>
      <c r="G4303" s="28">
        <v>1295000.0</v>
      </c>
      <c r="H4303" s="28">
        <v>1177.0</v>
      </c>
      <c r="I4303" s="28">
        <v>1453.0</v>
      </c>
      <c r="J4303" s="29"/>
      <c r="K4303" s="25" t="s">
        <v>25</v>
      </c>
      <c r="L4303" s="26">
        <v>4.0</v>
      </c>
      <c r="M4303" s="26">
        <v>2.0</v>
      </c>
      <c r="N4303" s="30"/>
      <c r="O4303" s="30"/>
      <c r="P4303" s="34">
        <v>1100.0</v>
      </c>
      <c r="Q4303" s="35">
        <v>58.0</v>
      </c>
      <c r="R4303" s="32">
        <v>42476.0</v>
      </c>
      <c r="S4303" s="32">
        <v>39847.0</v>
      </c>
      <c r="T4303" s="29"/>
      <c r="U4303" s="33"/>
      <c r="V4303" s="1"/>
    </row>
    <row r="4304" ht="24.0" customHeight="1">
      <c r="A4304" s="1"/>
      <c r="B4304" s="24" t="str">
        <f>HYPERLINK("https://www.compass.com/listing/135-west-4th-street-unit-2east-manhattan-ny-10012/4852269893334083553/view?agent_id=610d3f3370540700019b0833","135 W 4th St, Unit 2EAST")</f>
        <v>135 W 4th St, Unit 2EAST</v>
      </c>
      <c r="C4304" s="25" t="s">
        <v>370</v>
      </c>
      <c r="D4304" s="26" t="s">
        <v>23</v>
      </c>
      <c r="E4304" s="27" t="str">
        <f>HYPERLINK("https://www.compass.com/building/135-w-4th-st-manhattan-ny-10012/455678430839861957/","135 W 4th St")</f>
        <v>135 W 4th St</v>
      </c>
      <c r="F4304" s="25" t="s">
        <v>43</v>
      </c>
      <c r="G4304" s="28">
        <v>3495000.0</v>
      </c>
      <c r="H4304" s="28">
        <v>1855.0</v>
      </c>
      <c r="I4304" s="28">
        <v>3558.0</v>
      </c>
      <c r="J4304" s="28">
        <v>19284.0</v>
      </c>
      <c r="K4304" s="25" t="s">
        <v>28</v>
      </c>
      <c r="L4304" s="26">
        <v>5.0</v>
      </c>
      <c r="M4304" s="26">
        <v>2.0</v>
      </c>
      <c r="N4304" s="26">
        <v>0.0</v>
      </c>
      <c r="O4304" s="26">
        <v>0.0</v>
      </c>
      <c r="P4304" s="34">
        <v>1884.0</v>
      </c>
      <c r="Q4304" s="35">
        <v>269.0</v>
      </c>
      <c r="R4304" s="32">
        <v>45636.0</v>
      </c>
      <c r="S4304" s="32">
        <v>41886.0</v>
      </c>
      <c r="T4304" s="29"/>
      <c r="U4304" s="33"/>
      <c r="V4304" s="1"/>
    </row>
    <row r="4305" ht="24.0" customHeight="1">
      <c r="A4305" s="1"/>
      <c r="B4305" s="24" t="str">
        <f>HYPERLINK("https://www.compass.com/listing/12-east-14th-street-unit-2e-manhattan-ny-10003/79517326482959201/view?agent_id=610d3f3370540700019b0833","12 E 14th St, Unit 2E")</f>
        <v>12 E 14th St, Unit 2E</v>
      </c>
      <c r="C4305" s="25" t="s">
        <v>364</v>
      </c>
      <c r="D4305" s="26" t="s">
        <v>23</v>
      </c>
      <c r="E4305" s="27" t="str">
        <f>HYPERLINK("https://www.compass.com/building/12-e-14th-st-manhattan-ny-10003/294839876410976485/","12 E 14th St")</f>
        <v>12 E 14th St</v>
      </c>
      <c r="F4305" s="25" t="s">
        <v>43</v>
      </c>
      <c r="G4305" s="28">
        <v>1285000.0</v>
      </c>
      <c r="H4305" s="29"/>
      <c r="I4305" s="28">
        <v>2171.0</v>
      </c>
      <c r="J4305" s="29"/>
      <c r="K4305" s="25" t="s">
        <v>25</v>
      </c>
      <c r="L4305" s="26">
        <v>5.0</v>
      </c>
      <c r="M4305" s="26">
        <v>2.0</v>
      </c>
      <c r="N4305" s="26">
        <v>0.0</v>
      </c>
      <c r="O4305" s="26">
        <v>0.0</v>
      </c>
      <c r="P4305" s="30"/>
      <c r="Q4305" s="35">
        <v>226.0</v>
      </c>
      <c r="R4305" s="32">
        <v>44581.0</v>
      </c>
      <c r="S4305" s="32">
        <v>41200.0</v>
      </c>
      <c r="T4305" s="29"/>
      <c r="U4305" s="33"/>
      <c r="V4305" s="1"/>
    </row>
    <row r="4306" ht="24.0" customHeight="1">
      <c r="A4306" s="1"/>
      <c r="B4306" s="24" t="str">
        <f>HYPERLINK("https://www.compass.com/listing/30-east-9th-street-unit-2bb-manhattan-ny-10003/1012545099134356881/view?agent_id=610d3f3370540700019b0833","30 E 9th St, Unit 2BB")</f>
        <v>30 E 9th St, Unit 2BB</v>
      </c>
      <c r="C4306" s="25" t="s">
        <v>364</v>
      </c>
      <c r="D4306" s="26" t="s">
        <v>23</v>
      </c>
      <c r="E4306" s="27" t="str">
        <f>HYPERLINK("https://www.compass.com/building/the-lafayette-manhattan-ny/292781948961564533/","The Lafayette")</f>
        <v>The Lafayette</v>
      </c>
      <c r="F4306" s="25" t="s">
        <v>43</v>
      </c>
      <c r="G4306" s="28">
        <v>1310000.0</v>
      </c>
      <c r="H4306" s="28">
        <v>1424.0</v>
      </c>
      <c r="I4306" s="28">
        <v>1636.0</v>
      </c>
      <c r="J4306" s="28">
        <v>0.0</v>
      </c>
      <c r="K4306" s="25" t="s">
        <v>25</v>
      </c>
      <c r="L4306" s="26">
        <v>4.0</v>
      </c>
      <c r="M4306" s="26">
        <v>2.0</v>
      </c>
      <c r="N4306" s="26">
        <v>1.0</v>
      </c>
      <c r="O4306" s="30"/>
      <c r="P4306" s="26">
        <v>920.0</v>
      </c>
      <c r="Q4306" s="35">
        <v>29.0</v>
      </c>
      <c r="R4306" s="32">
        <v>42277.0</v>
      </c>
      <c r="S4306" s="32">
        <v>42156.0</v>
      </c>
      <c r="T4306" s="29"/>
      <c r="U4306" s="32">
        <v>41361.0</v>
      </c>
      <c r="V4306" s="1"/>
    </row>
    <row r="4307" ht="24.0" customHeight="1">
      <c r="A4307" s="1"/>
      <c r="B4307" s="24" t="str">
        <f>HYPERLINK("https://www.compass.com/listing/222-east-17th-street-unit-4-manhattan-ny-10003/294830516520100593/view?agent_id=610d3f3370540700019b0833","222 E 17th St, Unit 4")</f>
        <v>222 E 17th St, Unit 4</v>
      </c>
      <c r="C4307" s="25" t="s">
        <v>364</v>
      </c>
      <c r="D4307" s="26" t="s">
        <v>23</v>
      </c>
      <c r="E4307" s="27" t="str">
        <f t="shared" ref="E4307:E4309" si="184">HYPERLINK("https://www.compass.com/building/222-e-17th-st-manhattan-ny-10003/281891062111276661/","222 E 17th St")</f>
        <v>222 E 17th St</v>
      </c>
      <c r="F4307" s="25" t="s">
        <v>48</v>
      </c>
      <c r="G4307" s="28">
        <v>1725000.0</v>
      </c>
      <c r="H4307" s="28">
        <v>1725.0</v>
      </c>
      <c r="I4307" s="28">
        <v>1745.0</v>
      </c>
      <c r="J4307" s="29"/>
      <c r="K4307" s="25" t="s">
        <v>25</v>
      </c>
      <c r="L4307" s="26">
        <v>4.0</v>
      </c>
      <c r="M4307" s="26">
        <v>2.0</v>
      </c>
      <c r="N4307" s="26">
        <v>1.0</v>
      </c>
      <c r="O4307" s="26">
        <v>0.0</v>
      </c>
      <c r="P4307" s="34">
        <v>1000.0</v>
      </c>
      <c r="Q4307" s="31"/>
      <c r="R4307" s="32">
        <v>45636.0</v>
      </c>
      <c r="S4307" s="33"/>
      <c r="T4307" s="29"/>
      <c r="U4307" s="33"/>
      <c r="V4307" s="1"/>
    </row>
    <row r="4308" ht="24.0" customHeight="1">
      <c r="A4308" s="1"/>
      <c r="B4308" s="24" t="str">
        <f>HYPERLINK("https://www.compass.com/listing/222-east-17th-street-unit-ph4-manhattan-ny-10003/314001945789996945/view?agent_id=610d3f3370540700019b0833","222 E 17th St, Unit PH4")</f>
        <v>222 E 17th St, Unit PH4</v>
      </c>
      <c r="C4308" s="25" t="s">
        <v>364</v>
      </c>
      <c r="D4308" s="26" t="s">
        <v>23</v>
      </c>
      <c r="E4308" s="27" t="str">
        <f t="shared" si="184"/>
        <v>222 E 17th St</v>
      </c>
      <c r="F4308" s="25" t="s">
        <v>48</v>
      </c>
      <c r="G4308" s="28">
        <v>1690000.0</v>
      </c>
      <c r="H4308" s="28">
        <v>1127.0</v>
      </c>
      <c r="I4308" s="28">
        <v>1745.0</v>
      </c>
      <c r="J4308" s="29"/>
      <c r="K4308" s="25" t="s">
        <v>25</v>
      </c>
      <c r="L4308" s="26">
        <v>4.0</v>
      </c>
      <c r="M4308" s="26">
        <v>2.0</v>
      </c>
      <c r="N4308" s="26">
        <v>1.0</v>
      </c>
      <c r="O4308" s="26">
        <v>0.0</v>
      </c>
      <c r="P4308" s="34">
        <v>1500.0</v>
      </c>
      <c r="Q4308" s="35">
        <v>7003.0</v>
      </c>
      <c r="R4308" s="32">
        <v>45636.0</v>
      </c>
      <c r="S4308" s="32">
        <v>36830.0</v>
      </c>
      <c r="T4308" s="29"/>
      <c r="U4308" s="33"/>
      <c r="V4308" s="1"/>
    </row>
    <row r="4309" ht="24.0" customHeight="1">
      <c r="A4309" s="1"/>
      <c r="B4309" s="24" t="str">
        <f>HYPERLINK("https://www.compass.com/listing/222-east-17th-street-unit-ph-manhattan-ny-10003/924841904268308705/view?agent_id=610d3f3370540700019b0833","222 E 17th St, Unit PH")</f>
        <v>222 E 17th St, Unit PH</v>
      </c>
      <c r="C4309" s="25" t="s">
        <v>364</v>
      </c>
      <c r="D4309" s="26" t="s">
        <v>23</v>
      </c>
      <c r="E4309" s="27" t="str">
        <f t="shared" si="184"/>
        <v>222 E 17th St</v>
      </c>
      <c r="F4309" s="25" t="s">
        <v>48</v>
      </c>
      <c r="G4309" s="28">
        <v>1725000.0</v>
      </c>
      <c r="H4309" s="28">
        <v>1725.0</v>
      </c>
      <c r="I4309" s="28">
        <v>1745.0</v>
      </c>
      <c r="J4309" s="29"/>
      <c r="K4309" s="25" t="s">
        <v>25</v>
      </c>
      <c r="L4309" s="26">
        <v>6.0</v>
      </c>
      <c r="M4309" s="26">
        <v>2.0</v>
      </c>
      <c r="N4309" s="26">
        <v>1.0</v>
      </c>
      <c r="O4309" s="26">
        <v>0.0</v>
      </c>
      <c r="P4309" s="34">
        <v>1000.0</v>
      </c>
      <c r="Q4309" s="35">
        <v>1.0</v>
      </c>
      <c r="R4309" s="32">
        <v>45636.0</v>
      </c>
      <c r="S4309" s="32">
        <v>43662.0</v>
      </c>
      <c r="T4309" s="29"/>
      <c r="U4309" s="33"/>
      <c r="V4309" s="1"/>
    </row>
    <row r="4310" ht="24.0" customHeight="1">
      <c r="A4310" s="1"/>
      <c r="B4310" s="24" t="str">
        <f>HYPERLINK("https://www.compass.com/listing/69-west-9th-street-unit-12g-manhattan-ny-10011/1838975613407417873/view?agent_id=610d3f3370540700019b0833","69 W 9th St, Unit 12G")</f>
        <v>69 W 9th St, Unit 12G</v>
      </c>
      <c r="C4310" s="25" t="s">
        <v>364</v>
      </c>
      <c r="D4310" s="26" t="s">
        <v>23</v>
      </c>
      <c r="E4310" s="27" t="str">
        <f>HYPERLINK("https://www.compass.com/building/69-w-9th-st-manhattan-ny-10011/282061360903261253/","69 W 9th St")</f>
        <v>69 W 9th St</v>
      </c>
      <c r="F4310" s="25" t="s">
        <v>43</v>
      </c>
      <c r="G4310" s="28">
        <v>1198000.0</v>
      </c>
      <c r="H4310" s="29"/>
      <c r="I4310" s="28">
        <v>1804.0</v>
      </c>
      <c r="J4310" s="29"/>
      <c r="K4310" s="25" t="s">
        <v>25</v>
      </c>
      <c r="L4310" s="26">
        <v>4.0</v>
      </c>
      <c r="M4310" s="26">
        <v>2.0</v>
      </c>
      <c r="N4310" s="26">
        <v>1.0</v>
      </c>
      <c r="O4310" s="26">
        <v>0.0</v>
      </c>
      <c r="P4310" s="30"/>
      <c r="Q4310" s="35">
        <v>67.0</v>
      </c>
      <c r="R4310" s="32">
        <v>45636.0</v>
      </c>
      <c r="S4310" s="32">
        <v>43733.0</v>
      </c>
      <c r="T4310" s="29"/>
      <c r="U4310" s="33"/>
      <c r="V4310" s="1"/>
    </row>
    <row r="4311" ht="24.0" customHeight="1">
      <c r="A4311" s="1"/>
      <c r="B4311" s="24" t="str">
        <f>HYPERLINK("https://www.compass.com/listing/156-bank-street-unit-1a-manhattan-ny-10014/1471125348681775281/view?agent_id=610d3f3370540700019b0833","156 Bank St, Unit 1A")</f>
        <v>156 Bank St, Unit 1A</v>
      </c>
      <c r="C4311" s="25" t="s">
        <v>364</v>
      </c>
      <c r="D4311" s="26" t="s">
        <v>23</v>
      </c>
      <c r="E4311" s="27" t="str">
        <f>HYPERLINK("https://www.compass.com/building/west-village-houses-manhattan-ny/282062615914516501/","West Village Houses")</f>
        <v>West Village Houses</v>
      </c>
      <c r="F4311" s="25" t="s">
        <v>26</v>
      </c>
      <c r="G4311" s="28">
        <v>1295000.0</v>
      </c>
      <c r="H4311" s="29"/>
      <c r="I4311" s="28">
        <v>1363.0</v>
      </c>
      <c r="J4311" s="28">
        <v>0.0</v>
      </c>
      <c r="K4311" s="25" t="s">
        <v>25</v>
      </c>
      <c r="L4311" s="26">
        <v>5.0</v>
      </c>
      <c r="M4311" s="26">
        <v>2.0</v>
      </c>
      <c r="N4311" s="26">
        <v>1.0</v>
      </c>
      <c r="O4311" s="26">
        <v>0.0</v>
      </c>
      <c r="P4311" s="30"/>
      <c r="Q4311" s="35">
        <v>43.0</v>
      </c>
      <c r="R4311" s="32">
        <v>45636.0</v>
      </c>
      <c r="S4311" s="32">
        <v>45281.0</v>
      </c>
      <c r="T4311" s="29"/>
      <c r="U4311" s="33"/>
      <c r="V4311" s="1"/>
    </row>
    <row r="4312" ht="24.0" customHeight="1">
      <c r="A4312" s="1"/>
      <c r="B4312" s="24" t="str">
        <f>HYPERLINK("https://www.compass.com/listing/53-east-10th-street-unit-3-manhattan-ny-10003/919029351659285393/view?agent_id=610d3f3370540700019b0833","53 E 10th St, Unit 3")</f>
        <v>53 E 10th St, Unit 3</v>
      </c>
      <c r="C4312" s="25" t="s">
        <v>364</v>
      </c>
      <c r="D4312" s="26" t="s">
        <v>23</v>
      </c>
      <c r="E4312" s="27" t="str">
        <f>HYPERLINK("https://www.compass.com/building/53-e-10th-st-manhattan-ny-10003/281893945301015445/","53 E 10th St")</f>
        <v>53 E 10th St</v>
      </c>
      <c r="F4312" s="25" t="s">
        <v>43</v>
      </c>
      <c r="G4312" s="28">
        <v>3250000.0</v>
      </c>
      <c r="H4312" s="28">
        <v>1625.0</v>
      </c>
      <c r="I4312" s="28">
        <v>2249.0</v>
      </c>
      <c r="J4312" s="29"/>
      <c r="K4312" s="25" t="s">
        <v>25</v>
      </c>
      <c r="L4312" s="26">
        <v>4.0</v>
      </c>
      <c r="M4312" s="26">
        <v>2.0</v>
      </c>
      <c r="N4312" s="26">
        <v>0.0</v>
      </c>
      <c r="O4312" s="26">
        <v>0.0</v>
      </c>
      <c r="P4312" s="34">
        <v>2000.0</v>
      </c>
      <c r="Q4312" s="35">
        <v>241.0</v>
      </c>
      <c r="R4312" s="32">
        <v>45636.0</v>
      </c>
      <c r="S4312" s="32">
        <v>41744.0</v>
      </c>
      <c r="T4312" s="29"/>
      <c r="U4312" s="33"/>
      <c r="V4312" s="1"/>
    </row>
    <row r="4313" ht="24.0" customHeight="1">
      <c r="A4313" s="1"/>
      <c r="B4313" s="24" t="str">
        <f>HYPERLINK("https://www.compass.com/listing/135-west-4th-street-unit-1w-manhattan-ny-10012/198885647648313841/view?agent_id=610d3f3370540700019b0833","135 W 4th St, Unit 1W")</f>
        <v>135 W 4th St, Unit 1W</v>
      </c>
      <c r="C4313" s="25" t="s">
        <v>364</v>
      </c>
      <c r="D4313" s="26" t="s">
        <v>23</v>
      </c>
      <c r="E4313" s="27" t="str">
        <f>HYPERLINK("https://www.compass.com/building/135-w-4th-st-manhattan-ny-10012/455678430839861957/","135 W 4th St")</f>
        <v>135 W 4th St</v>
      </c>
      <c r="F4313" s="25" t="s">
        <v>43</v>
      </c>
      <c r="G4313" s="28">
        <v>3295000.0</v>
      </c>
      <c r="H4313" s="28">
        <v>1734.0</v>
      </c>
      <c r="I4313" s="28">
        <v>4150.0</v>
      </c>
      <c r="J4313" s="28">
        <v>26208.0</v>
      </c>
      <c r="K4313" s="25" t="s">
        <v>28</v>
      </c>
      <c r="L4313" s="26">
        <v>6.0</v>
      </c>
      <c r="M4313" s="26">
        <v>2.0</v>
      </c>
      <c r="N4313" s="30"/>
      <c r="O4313" s="30"/>
      <c r="P4313" s="34">
        <v>1900.0</v>
      </c>
      <c r="Q4313" s="35">
        <v>24.0</v>
      </c>
      <c r="R4313" s="32">
        <v>43551.0</v>
      </c>
      <c r="S4313" s="32">
        <v>43526.0</v>
      </c>
      <c r="T4313" s="29"/>
      <c r="U4313" s="33"/>
      <c r="V4313" s="1"/>
    </row>
    <row r="4314" ht="24.0" customHeight="1">
      <c r="A4314" s="1"/>
      <c r="B4314" s="24" t="str">
        <f>HYPERLINK("https://www.compass.com/listing/38-50-west-9th-street-unit-2a-manhattan-ny-10011/502211873836570441/view?agent_id=610d3f3370540700019b0833","38-50 W 9th St, Unit 2A")</f>
        <v>38-50 W 9th St, Unit 2A</v>
      </c>
      <c r="C4314" s="25" t="s">
        <v>364</v>
      </c>
      <c r="D4314" s="26" t="s">
        <v>23</v>
      </c>
      <c r="E4314" s="27" t="str">
        <f>HYPERLINK("https://www.compass.com/building/the-portsmouth-manhattan-ny/436395784003862797/","The Portsmouth")</f>
        <v>The Portsmouth</v>
      </c>
      <c r="F4314" s="25" t="s">
        <v>43</v>
      </c>
      <c r="G4314" s="28">
        <v>1995000.0</v>
      </c>
      <c r="H4314" s="28">
        <v>1995.0</v>
      </c>
      <c r="I4314" s="28">
        <v>1830.0</v>
      </c>
      <c r="J4314" s="29"/>
      <c r="K4314" s="25" t="s">
        <v>25</v>
      </c>
      <c r="L4314" s="26">
        <v>4.0</v>
      </c>
      <c r="M4314" s="26">
        <v>2.0</v>
      </c>
      <c r="N4314" s="30"/>
      <c r="O4314" s="30"/>
      <c r="P4314" s="34">
        <v>1000.0</v>
      </c>
      <c r="Q4314" s="35">
        <v>176.0</v>
      </c>
      <c r="R4314" s="32">
        <v>41640.0</v>
      </c>
      <c r="S4314" s="32">
        <v>41717.0</v>
      </c>
      <c r="T4314" s="29"/>
      <c r="U4314" s="33"/>
      <c r="V4314" s="1"/>
    </row>
    <row r="4315" ht="24.0" customHeight="1">
      <c r="A4315" s="1"/>
      <c r="B4315" s="24" t="str">
        <f>HYPERLINK("https://www.compass.com/listing/55-avenue-c-unit-12-manhattan-ny-10009/70927439445923633/view?agent_id=610d3f3370540700019b0833","55 Avenue C, Unit 12")</f>
        <v>55 Avenue C, Unit 12</v>
      </c>
      <c r="C4315" s="25" t="s">
        <v>364</v>
      </c>
      <c r="D4315" s="26" t="s">
        <v>23</v>
      </c>
      <c r="E4315" s="27" t="str">
        <f>HYPERLINK("https://www.compass.com/building/55-avenue-c-manhattan-ny-10009/389270682556089877/","55 Avenue C")</f>
        <v>55 Avenue C</v>
      </c>
      <c r="F4315" s="25" t="s">
        <v>24</v>
      </c>
      <c r="G4315" s="28">
        <v>825000.0</v>
      </c>
      <c r="H4315" s="29"/>
      <c r="I4315" s="28">
        <v>300.0</v>
      </c>
      <c r="J4315" s="29"/>
      <c r="K4315" s="25" t="s">
        <v>25</v>
      </c>
      <c r="L4315" s="26">
        <v>4.0</v>
      </c>
      <c r="M4315" s="26">
        <v>2.0</v>
      </c>
      <c r="N4315" s="26">
        <v>0.0</v>
      </c>
      <c r="O4315" s="26">
        <v>0.0</v>
      </c>
      <c r="P4315" s="30"/>
      <c r="Q4315" s="35">
        <v>32.0</v>
      </c>
      <c r="R4315" s="32">
        <v>45636.0</v>
      </c>
      <c r="S4315" s="32">
        <v>43033.0</v>
      </c>
      <c r="T4315" s="29"/>
      <c r="U4315" s="33"/>
      <c r="V4315" s="1"/>
    </row>
    <row r="4316" ht="24.0" customHeight="1">
      <c r="A4316" s="1"/>
      <c r="B4316" s="24" t="str">
        <f>HYPERLINK("https://www.compass.com/listing/241-east-7th-street-unit-5a-manhattan-ny-10009/1805180740081530697/view?agent_id=610d3f3370540700019b0833","241 E 7th St, Unit 5A")</f>
        <v>241 E 7th St, Unit 5A</v>
      </c>
      <c r="C4316" s="25" t="s">
        <v>364</v>
      </c>
      <c r="D4316" s="26" t="s">
        <v>23</v>
      </c>
      <c r="E4316" s="27" t="str">
        <f>HYPERLINK("https://www.compass.com/building/241-e-7th-st-manhattan-ny-10009/281898986770542213/","241 E 7th St")</f>
        <v>241 E 7th St</v>
      </c>
      <c r="F4316" s="25" t="s">
        <v>24</v>
      </c>
      <c r="G4316" s="28">
        <v>935000.0</v>
      </c>
      <c r="H4316" s="29"/>
      <c r="I4316" s="28">
        <v>1400.0</v>
      </c>
      <c r="J4316" s="28">
        <v>0.0</v>
      </c>
      <c r="K4316" s="25" t="s">
        <v>25</v>
      </c>
      <c r="L4316" s="26">
        <v>4.0</v>
      </c>
      <c r="M4316" s="26">
        <v>2.0</v>
      </c>
      <c r="N4316" s="26">
        <v>1.0</v>
      </c>
      <c r="O4316" s="26">
        <v>0.0</v>
      </c>
      <c r="P4316" s="30"/>
      <c r="Q4316" s="35">
        <v>79.0</v>
      </c>
      <c r="R4316" s="32">
        <v>45821.0</v>
      </c>
      <c r="S4316" s="32">
        <v>45742.0</v>
      </c>
      <c r="T4316" s="29"/>
      <c r="U4316" s="33"/>
      <c r="V4316" s="1"/>
    </row>
    <row r="4317" ht="24.0" customHeight="1">
      <c r="A4317" s="1"/>
      <c r="B4317" s="24" t="str">
        <f>HYPERLINK("https://www.compass.com/listing/1-5th-avenue-unit-11-12c-manhattan-ny-10003/85303158917678673/view?agent_id=610d3f3370540700019b0833","1 5th Ave, Unit 11/12C")</f>
        <v>1 5th Ave, Unit 11/12C</v>
      </c>
      <c r="C4317" s="25" t="s">
        <v>364</v>
      </c>
      <c r="D4317" s="26" t="s">
        <v>23</v>
      </c>
      <c r="E4317" s="27" t="str">
        <f>HYPERLINK("https://www.compass.com/building/one-fifth-avenue-manhattan-ny/281888545268827205/","One Fifth Avenue")</f>
        <v>One Fifth Avenue</v>
      </c>
      <c r="F4317" s="25" t="s">
        <v>43</v>
      </c>
      <c r="G4317" s="28">
        <v>3300000.0</v>
      </c>
      <c r="H4317" s="29"/>
      <c r="I4317" s="28">
        <v>3716.0</v>
      </c>
      <c r="J4317" s="29"/>
      <c r="K4317" s="25" t="s">
        <v>25</v>
      </c>
      <c r="L4317" s="26">
        <v>6.0</v>
      </c>
      <c r="M4317" s="26">
        <v>2.0</v>
      </c>
      <c r="N4317" s="26">
        <v>0.0</v>
      </c>
      <c r="O4317" s="26">
        <v>0.0</v>
      </c>
      <c r="P4317" s="30"/>
      <c r="Q4317" s="35">
        <v>13.0</v>
      </c>
      <c r="R4317" s="32">
        <v>44234.0</v>
      </c>
      <c r="S4317" s="32">
        <v>42660.0</v>
      </c>
      <c r="T4317" s="29"/>
      <c r="U4317" s="33"/>
      <c r="V4317" s="1"/>
    </row>
    <row r="4318" ht="24.0" customHeight="1">
      <c r="A4318" s="1"/>
      <c r="B4318" s="24" t="str">
        <f>HYPERLINK("https://www.compass.com/listing/30-5th-avenue-unit-7k-manhattan-ny-10011/29365722807346433/view?agent_id=610d3f3370540700019b0833","30 5th Ave, Unit 7K")</f>
        <v>30 5th Ave, Unit 7K</v>
      </c>
      <c r="C4318" s="25" t="s">
        <v>370</v>
      </c>
      <c r="D4318" s="26" t="s">
        <v>23</v>
      </c>
      <c r="E4318" s="27" t="str">
        <f>HYPERLINK("https://www.compass.com/building/30-5th-ave-manhattan-ny-10011/294847352439140789/","30 5th Ave")</f>
        <v>30 5th Ave</v>
      </c>
      <c r="F4318" s="25" t="s">
        <v>43</v>
      </c>
      <c r="G4318" s="28">
        <v>1995000.0</v>
      </c>
      <c r="H4318" s="29"/>
      <c r="I4318" s="28">
        <v>2267.0</v>
      </c>
      <c r="J4318" s="29"/>
      <c r="K4318" s="25" t="s">
        <v>25</v>
      </c>
      <c r="L4318" s="26">
        <v>4.0</v>
      </c>
      <c r="M4318" s="26">
        <v>2.0</v>
      </c>
      <c r="N4318" s="26">
        <v>0.0</v>
      </c>
      <c r="O4318" s="26">
        <v>0.0</v>
      </c>
      <c r="P4318" s="30"/>
      <c r="Q4318" s="35">
        <v>133.0</v>
      </c>
      <c r="R4318" s="32">
        <v>44581.0</v>
      </c>
      <c r="S4318" s="32">
        <v>42857.0</v>
      </c>
      <c r="T4318" s="29"/>
      <c r="U4318" s="33"/>
      <c r="V4318" s="1"/>
    </row>
    <row r="4319" ht="24.0" customHeight="1">
      <c r="A4319" s="1"/>
      <c r="B4319" s="24" t="str">
        <f>HYPERLINK("https://www.compass.com/listing/56-east-11th-street-unit-8-manhattan-ny-10003/29365137626422049/view?agent_id=610d3f3370540700019b0833","56 E 11th St, Unit 8")</f>
        <v>56 E 11th St, Unit 8</v>
      </c>
      <c r="C4319" s="25" t="s">
        <v>364</v>
      </c>
      <c r="D4319" s="26" t="s">
        <v>23</v>
      </c>
      <c r="E4319" s="27" t="str">
        <f>HYPERLINK("https://www.compass.com/building/56-e-11th-st-manhattan-ny-10003/281894028683781157/","56 E 11th St")</f>
        <v>56 E 11th St</v>
      </c>
      <c r="F4319" s="25" t="s">
        <v>43</v>
      </c>
      <c r="G4319" s="28">
        <v>3750000.0</v>
      </c>
      <c r="H4319" s="28">
        <v>1875.0</v>
      </c>
      <c r="I4319" s="28">
        <v>2703.0</v>
      </c>
      <c r="J4319" s="29"/>
      <c r="K4319" s="25" t="s">
        <v>25</v>
      </c>
      <c r="L4319" s="26">
        <v>6.0</v>
      </c>
      <c r="M4319" s="26">
        <v>2.0</v>
      </c>
      <c r="N4319" s="26">
        <v>0.0</v>
      </c>
      <c r="O4319" s="26">
        <v>0.0</v>
      </c>
      <c r="P4319" s="34">
        <v>2000.0</v>
      </c>
      <c r="Q4319" s="35">
        <v>152.0</v>
      </c>
      <c r="R4319" s="32">
        <v>45636.0</v>
      </c>
      <c r="S4319" s="32">
        <v>42181.0</v>
      </c>
      <c r="T4319" s="29"/>
      <c r="U4319" s="33"/>
      <c r="V4319" s="1"/>
    </row>
    <row r="4320" ht="24.0" customHeight="1">
      <c r="A4320" s="1"/>
      <c r="B4320" s="24" t="str">
        <f>HYPERLINK("https://www.compass.com/listing/45-east-9th-street-unit-76-manhattan-ny-10003/1838913132219951745/view?agent_id=610d3f3370540700019b0833","45 E 9th St, Unit 76")</f>
        <v>45 E 9th St, Unit 76</v>
      </c>
      <c r="C4320" s="25" t="s">
        <v>364</v>
      </c>
      <c r="D4320" s="26" t="s">
        <v>23</v>
      </c>
      <c r="E4320" s="27" t="str">
        <f>HYPERLINK("https://www.compass.com/building/45-e-9th-st-manhattan-ny-10003/292785299849753653/","45 E 9th St")</f>
        <v>45 E 9th St</v>
      </c>
      <c r="F4320" s="25" t="s">
        <v>43</v>
      </c>
      <c r="G4320" s="28">
        <v>3850000.0</v>
      </c>
      <c r="H4320" s="29"/>
      <c r="I4320" s="28">
        <v>3100.0</v>
      </c>
      <c r="J4320" s="29"/>
      <c r="K4320" s="25" t="s">
        <v>25</v>
      </c>
      <c r="L4320" s="26">
        <v>5.0</v>
      </c>
      <c r="M4320" s="26">
        <v>2.0</v>
      </c>
      <c r="N4320" s="26">
        <v>0.0</v>
      </c>
      <c r="O4320" s="26">
        <v>0.0</v>
      </c>
      <c r="P4320" s="30"/>
      <c r="Q4320" s="35">
        <v>4276.0</v>
      </c>
      <c r="R4320" s="32">
        <v>45534.0</v>
      </c>
      <c r="S4320" s="32">
        <v>41257.0</v>
      </c>
      <c r="T4320" s="29"/>
      <c r="U4320" s="33"/>
      <c r="V4320" s="1"/>
    </row>
    <row r="4321" ht="24.0" customHeight="1">
      <c r="A4321" s="1"/>
      <c r="B4321" s="24" t="str">
        <f>HYPERLINK("https://www.compass.com/listing/38-50-west-9th-street-unit-2a-manhattan-ny-10011/502211875547742369/view?agent_id=610d3f3370540700019b0833","38-50 W 9th St, Unit 2A")</f>
        <v>38-50 W 9th St, Unit 2A</v>
      </c>
      <c r="C4321" s="25" t="s">
        <v>364</v>
      </c>
      <c r="D4321" s="26" t="s">
        <v>23</v>
      </c>
      <c r="E4321" s="27" t="str">
        <f>HYPERLINK("https://www.compass.com/building/the-portsmouth-manhattan-ny/436395784003862797/","The Portsmouth")</f>
        <v>The Portsmouth</v>
      </c>
      <c r="F4321" s="25" t="s">
        <v>43</v>
      </c>
      <c r="G4321" s="28">
        <v>1950000.0</v>
      </c>
      <c r="H4321" s="28">
        <v>1950.0</v>
      </c>
      <c r="I4321" s="28">
        <v>1830.0</v>
      </c>
      <c r="J4321" s="29"/>
      <c r="K4321" s="25" t="s">
        <v>25</v>
      </c>
      <c r="L4321" s="26">
        <v>4.0</v>
      </c>
      <c r="M4321" s="26">
        <v>2.0</v>
      </c>
      <c r="N4321" s="30"/>
      <c r="O4321" s="30"/>
      <c r="P4321" s="34">
        <v>1000.0</v>
      </c>
      <c r="Q4321" s="35">
        <v>99.0</v>
      </c>
      <c r="R4321" s="32">
        <v>41640.0</v>
      </c>
      <c r="S4321" s="32">
        <v>41916.0</v>
      </c>
      <c r="T4321" s="29"/>
      <c r="U4321" s="33"/>
      <c r="V4321" s="1"/>
    </row>
    <row r="4322" ht="24.0" customHeight="1">
      <c r="A4322" s="1"/>
      <c r="B4322" s="24" t="str">
        <f>HYPERLINK("https://www.compass.com/listing/496-laguardia-place-unit-4cd-manhattan-ny-10012/1838923349653216425/view?agent_id=610d3f3370540700019b0833","496 LaGuardia Pl, Unit 4CD")</f>
        <v>496 LaGuardia Pl, Unit 4CD</v>
      </c>
      <c r="C4322" s="25" t="s">
        <v>364</v>
      </c>
      <c r="D4322" s="26" t="s">
        <v>23</v>
      </c>
      <c r="E4322" s="27" t="str">
        <f>HYPERLINK("https://www.compass.com/building/496-laguardia-pl-manhattan-ny-10012/307444222369797349/","496 Laguardia Pl")</f>
        <v>496 Laguardia Pl</v>
      </c>
      <c r="F4322" s="25" t="s">
        <v>43</v>
      </c>
      <c r="G4322" s="28">
        <v>1950000.0</v>
      </c>
      <c r="H4322" s="29"/>
      <c r="I4322" s="28">
        <v>1483.0</v>
      </c>
      <c r="J4322" s="28">
        <v>8472.0</v>
      </c>
      <c r="K4322" s="25" t="s">
        <v>28</v>
      </c>
      <c r="L4322" s="26">
        <v>4.0</v>
      </c>
      <c r="M4322" s="26">
        <v>2.0</v>
      </c>
      <c r="N4322" s="26">
        <v>0.0</v>
      </c>
      <c r="O4322" s="26">
        <v>0.0</v>
      </c>
      <c r="P4322" s="30"/>
      <c r="Q4322" s="35">
        <v>1751.0</v>
      </c>
      <c r="R4322" s="32">
        <v>44581.0</v>
      </c>
      <c r="S4322" s="32">
        <v>41184.0</v>
      </c>
      <c r="T4322" s="29"/>
      <c r="U4322" s="33"/>
      <c r="V4322" s="1"/>
    </row>
    <row r="4323" ht="24.0" customHeight="1">
      <c r="A4323" s="1"/>
      <c r="B4323" s="24" t="str">
        <f>HYPERLINK("https://www.compass.com/listing/56-east-11th-street-unit-ph9-manhattan-ny-10003/803451035196589865/view?agent_id=610d3f3370540700019b0833","56 E 11th St, Unit PH9")</f>
        <v>56 E 11th St, Unit PH9</v>
      </c>
      <c r="C4323" s="25" t="s">
        <v>364</v>
      </c>
      <c r="D4323" s="26" t="s">
        <v>23</v>
      </c>
      <c r="E4323" s="27" t="str">
        <f>HYPERLINK("https://www.compass.com/building/56-e-11th-st-manhattan-ny-10003/281894028683781157/","56 E 11th St")</f>
        <v>56 E 11th St</v>
      </c>
      <c r="F4323" s="25" t="s">
        <v>43</v>
      </c>
      <c r="G4323" s="28">
        <v>5100000.0</v>
      </c>
      <c r="H4323" s="28">
        <v>2550.0</v>
      </c>
      <c r="I4323" s="28">
        <v>2300.0</v>
      </c>
      <c r="J4323" s="29"/>
      <c r="K4323" s="25" t="s">
        <v>25</v>
      </c>
      <c r="L4323" s="26">
        <v>5.0</v>
      </c>
      <c r="M4323" s="26">
        <v>2.0</v>
      </c>
      <c r="N4323" s="26">
        <v>0.0</v>
      </c>
      <c r="O4323" s="26">
        <v>0.0</v>
      </c>
      <c r="P4323" s="34">
        <v>2000.0</v>
      </c>
      <c r="Q4323" s="35">
        <v>81.0</v>
      </c>
      <c r="R4323" s="32">
        <v>44581.0</v>
      </c>
      <c r="S4323" s="32">
        <v>42012.0</v>
      </c>
      <c r="T4323" s="29"/>
      <c r="U4323" s="33"/>
      <c r="V4323" s="1"/>
    </row>
    <row r="4324" ht="24.0" customHeight="1">
      <c r="A4324" s="1"/>
      <c r="B4324" s="24" t="str">
        <f>HYPERLINK("https://www.compass.com/listing/23-east-10th-street-unit-316-manhattan-ny-10003/4703676917679671217/view?agent_id=610d3f3370540700019b0833","23 E 10th St, Unit 316")</f>
        <v>23 E 10th St, Unit 316</v>
      </c>
      <c r="C4324" s="25" t="s">
        <v>364</v>
      </c>
      <c r="D4324" s="26" t="s">
        <v>23</v>
      </c>
      <c r="E4324" s="27" t="str">
        <f>HYPERLINK("https://www.compass.com/building/the-albert-manhattan-ny/292786710872340549/","The Albert")</f>
        <v>The Albert</v>
      </c>
      <c r="F4324" s="25" t="s">
        <v>43</v>
      </c>
      <c r="G4324" s="28">
        <v>665000.0</v>
      </c>
      <c r="H4324" s="28">
        <v>633.0</v>
      </c>
      <c r="I4324" s="28">
        <v>1271.0</v>
      </c>
      <c r="J4324" s="29"/>
      <c r="K4324" s="25" t="s">
        <v>25</v>
      </c>
      <c r="L4324" s="26">
        <v>4.0</v>
      </c>
      <c r="M4324" s="26">
        <v>2.0</v>
      </c>
      <c r="N4324" s="30"/>
      <c r="O4324" s="30"/>
      <c r="P4324" s="34">
        <v>1050.0</v>
      </c>
      <c r="Q4324" s="35">
        <v>9.0</v>
      </c>
      <c r="R4324" s="32">
        <v>42475.0</v>
      </c>
      <c r="S4324" s="32">
        <v>37895.0</v>
      </c>
      <c r="T4324" s="29"/>
      <c r="U4324" s="33"/>
      <c r="V4324" s="1"/>
    </row>
    <row r="4325" ht="24.0" customHeight="1">
      <c r="A4325" s="1"/>
      <c r="B4325" s="24" t="str">
        <f>HYPERLINK("https://www.compass.com/listing/210-east-17th-street-unit-4b-manhattan-ny-10003/76303772971786721/view?agent_id=610d3f3370540700019b0833","210 E 17th St, Unit 4B")</f>
        <v>210 E 17th St, Unit 4B</v>
      </c>
      <c r="C4325" s="25" t="s">
        <v>364</v>
      </c>
      <c r="D4325" s="26" t="s">
        <v>23</v>
      </c>
      <c r="E4325" s="27" t="str">
        <f>HYPERLINK("https://www.compass.com/building/210-e-17th-st-manhattan-ny-10003/281890680261842085/","210 E 17th St")</f>
        <v>210 E 17th St</v>
      </c>
      <c r="F4325" s="25" t="s">
        <v>48</v>
      </c>
      <c r="G4325" s="28">
        <v>839000.0</v>
      </c>
      <c r="H4325" s="29"/>
      <c r="I4325" s="28">
        <v>1261.0</v>
      </c>
      <c r="J4325" s="29"/>
      <c r="K4325" s="25" t="s">
        <v>25</v>
      </c>
      <c r="L4325" s="26">
        <v>5.0</v>
      </c>
      <c r="M4325" s="26">
        <v>2.0</v>
      </c>
      <c r="N4325" s="26">
        <v>1.0</v>
      </c>
      <c r="O4325" s="26">
        <v>0.0</v>
      </c>
      <c r="P4325" s="30"/>
      <c r="Q4325" s="31"/>
      <c r="R4325" s="32">
        <v>45636.0</v>
      </c>
      <c r="S4325" s="33"/>
      <c r="T4325" s="29"/>
      <c r="U4325" s="33"/>
      <c r="V4325" s="1"/>
    </row>
    <row r="4326" ht="24.0" customHeight="1">
      <c r="A4326" s="1"/>
      <c r="B4326" s="24" t="str">
        <f>HYPERLINK("https://www.compass.com/listing/60-east-8th-street-unit-19n-manhattan-ny-10003/743343925154489777/view?agent_id=610d3f3370540700019b0833","60 E 8th St, Unit 19N")</f>
        <v>60 E 8th St, Unit 19N</v>
      </c>
      <c r="C4326" s="25" t="s">
        <v>364</v>
      </c>
      <c r="D4326" s="26" t="s">
        <v>23</v>
      </c>
      <c r="E4326" s="27" t="str">
        <f>HYPERLINK("https://www.compass.com/building/georgetown-plaza-manhattan-ny/281894210716574965/","Georgetown Plaza")</f>
        <v>Georgetown Plaza</v>
      </c>
      <c r="F4326" s="25" t="s">
        <v>43</v>
      </c>
      <c r="G4326" s="28">
        <v>1750000.0</v>
      </c>
      <c r="H4326" s="29"/>
      <c r="I4326" s="28">
        <v>2306.0</v>
      </c>
      <c r="J4326" s="29"/>
      <c r="K4326" s="25" t="s">
        <v>49</v>
      </c>
      <c r="L4326" s="26">
        <v>4.0</v>
      </c>
      <c r="M4326" s="26">
        <v>2.0</v>
      </c>
      <c r="N4326" s="26">
        <v>1.0</v>
      </c>
      <c r="O4326" s="26">
        <v>0.0</v>
      </c>
      <c r="P4326" s="30"/>
      <c r="Q4326" s="35">
        <v>166.0</v>
      </c>
      <c r="R4326" s="32">
        <v>45636.0</v>
      </c>
      <c r="S4326" s="32">
        <v>44277.0</v>
      </c>
      <c r="T4326" s="29"/>
      <c r="U4326" s="33"/>
      <c r="V4326" s="1"/>
    </row>
    <row r="4327" ht="24.0" customHeight="1">
      <c r="A4327" s="1"/>
      <c r="B4327" s="24" t="str">
        <f>HYPERLINK("https://www.compass.com/listing/56-east-11th-street-unit-ph9-manhattan-ny-10003/919901689900779857/view?agent_id=610d3f3370540700019b0833","56 E 11th St, Unit PH9")</f>
        <v>56 E 11th St, Unit PH9</v>
      </c>
      <c r="C4327" s="25" t="s">
        <v>364</v>
      </c>
      <c r="D4327" s="26" t="s">
        <v>23</v>
      </c>
      <c r="E4327" s="27" t="str">
        <f>HYPERLINK("https://www.compass.com/building/56-e-11th-st-manhattan-ny-10003/281894028683781157/","56 E 11th St")</f>
        <v>56 E 11th St</v>
      </c>
      <c r="F4327" s="25" t="s">
        <v>43</v>
      </c>
      <c r="G4327" s="28">
        <v>5000000.0</v>
      </c>
      <c r="H4327" s="29"/>
      <c r="I4327" s="28">
        <v>2300.0</v>
      </c>
      <c r="J4327" s="29"/>
      <c r="K4327" s="25" t="s">
        <v>25</v>
      </c>
      <c r="L4327" s="26">
        <v>5.0</v>
      </c>
      <c r="M4327" s="26">
        <v>2.0</v>
      </c>
      <c r="N4327" s="26">
        <v>0.0</v>
      </c>
      <c r="O4327" s="26">
        <v>0.0</v>
      </c>
      <c r="P4327" s="30"/>
      <c r="Q4327" s="35">
        <v>123.0</v>
      </c>
      <c r="R4327" s="32">
        <v>45636.0</v>
      </c>
      <c r="S4327" s="32">
        <v>41802.0</v>
      </c>
      <c r="T4327" s="29"/>
      <c r="U4327" s="33"/>
      <c r="V4327" s="1"/>
    </row>
    <row r="4328" ht="24.0" customHeight="1">
      <c r="A4328" s="1"/>
      <c r="B4328" s="24" t="str">
        <f>HYPERLINK("https://www.compass.com/listing/237-west-19th-street-unit-b-manhattan-ny-10011/921165271947054385/view?agent_id=610d3f3370540700019b0833","237 W 19th St, Unit B")</f>
        <v>237 W 19th St, Unit B</v>
      </c>
      <c r="C4328" s="25" t="s">
        <v>364</v>
      </c>
      <c r="D4328" s="26" t="s">
        <v>23</v>
      </c>
      <c r="E4328" s="27" t="str">
        <f>HYPERLINK("https://www.compass.com/building/237-w-19th-st-manhattan-ny-10011/281907554559218149/","237 W 19th St")</f>
        <v>237 W 19th St</v>
      </c>
      <c r="F4328" s="25" t="s">
        <v>27</v>
      </c>
      <c r="G4328" s="28">
        <v>1749000.0</v>
      </c>
      <c r="H4328" s="29"/>
      <c r="I4328" s="28">
        <v>915.0</v>
      </c>
      <c r="J4328" s="28">
        <v>7392.0</v>
      </c>
      <c r="K4328" s="25" t="s">
        <v>28</v>
      </c>
      <c r="L4328" s="26">
        <v>3.0</v>
      </c>
      <c r="M4328" s="26">
        <v>2.0</v>
      </c>
      <c r="N4328" s="26">
        <v>1.0</v>
      </c>
      <c r="O4328" s="26">
        <v>0.0</v>
      </c>
      <c r="P4328" s="30"/>
      <c r="Q4328" s="31"/>
      <c r="R4328" s="32">
        <v>45636.0</v>
      </c>
      <c r="S4328" s="33"/>
      <c r="T4328" s="29"/>
      <c r="U4328" s="33"/>
      <c r="V4328" s="1"/>
    </row>
    <row r="4329" ht="24.0" customHeight="1">
      <c r="A4329" s="1"/>
      <c r="B4329" s="24" t="str">
        <f>HYPERLINK("https://www.compass.com/listing/60-west-13th-street-unit-9c-manhattan-ny-10011/1078437981160526393/view?agent_id=610d3f3370540700019b0833","60 W 13th St, Unit 9C")</f>
        <v>60 W 13th St, Unit 9C</v>
      </c>
      <c r="C4329" s="25" t="s">
        <v>364</v>
      </c>
      <c r="D4329" s="26" t="s">
        <v>23</v>
      </c>
      <c r="E4329" s="27" t="str">
        <f>HYPERLINK("https://www.compass.com/building/village-house-condominium-manhattan-ny/281911923413378437/","Village House Condominium")</f>
        <v>Village House Condominium</v>
      </c>
      <c r="F4329" s="25" t="s">
        <v>43</v>
      </c>
      <c r="G4329" s="28">
        <v>1540000.0</v>
      </c>
      <c r="H4329" s="28">
        <v>1812.0</v>
      </c>
      <c r="I4329" s="28">
        <v>1814.0</v>
      </c>
      <c r="J4329" s="28">
        <v>11844.0</v>
      </c>
      <c r="K4329" s="25" t="s">
        <v>28</v>
      </c>
      <c r="L4329" s="26">
        <v>4.0</v>
      </c>
      <c r="M4329" s="26">
        <v>2.0</v>
      </c>
      <c r="N4329" s="26">
        <v>1.0</v>
      </c>
      <c r="O4329" s="26">
        <v>0.0</v>
      </c>
      <c r="P4329" s="26">
        <v>850.0</v>
      </c>
      <c r="Q4329" s="35">
        <v>117.0</v>
      </c>
      <c r="R4329" s="32">
        <v>44900.0</v>
      </c>
      <c r="S4329" s="32">
        <v>44782.0</v>
      </c>
      <c r="T4329" s="29"/>
      <c r="U4329" s="33"/>
      <c r="V4329" s="1"/>
    </row>
    <row r="4330" ht="24.0" customHeight="1">
      <c r="A4330" s="1"/>
      <c r="B4330" s="24" t="str">
        <f>HYPERLINK("https://www.compass.com/listing/50-54-east-8th-street-unit-4e-manhattan-ny-10003/588455391116387761/view?agent_id=610d3f3370540700019b0833","50-54 E 8th St, Unit 4E")</f>
        <v>50-54 E 8th St, Unit 4E</v>
      </c>
      <c r="C4330" s="25" t="s">
        <v>364</v>
      </c>
      <c r="D4330" s="26" t="s">
        <v>23</v>
      </c>
      <c r="E4330" s="27" t="str">
        <f>HYPERLINK("https://www.compass.com/building/50-54-e-8th-st-manhattan-ny-10003/436383059332391421/","50-54 E 8th St")</f>
        <v>50-54 E 8th St</v>
      </c>
      <c r="F4330" s="25" t="s">
        <v>43</v>
      </c>
      <c r="G4330" s="28">
        <v>775000.0</v>
      </c>
      <c r="H4330" s="29"/>
      <c r="I4330" s="28">
        <v>2654.0</v>
      </c>
      <c r="J4330" s="29"/>
      <c r="K4330" s="25" t="s">
        <v>25</v>
      </c>
      <c r="L4330" s="26">
        <v>4.0</v>
      </c>
      <c r="M4330" s="26">
        <v>2.0</v>
      </c>
      <c r="N4330" s="26">
        <v>1.0</v>
      </c>
      <c r="O4330" s="26">
        <v>0.0</v>
      </c>
      <c r="P4330" s="30"/>
      <c r="Q4330" s="35">
        <v>140.0</v>
      </c>
      <c r="R4330" s="32">
        <v>44581.0</v>
      </c>
      <c r="S4330" s="32">
        <v>44063.0</v>
      </c>
      <c r="T4330" s="29"/>
      <c r="U4330" s="33"/>
      <c r="V4330" s="1"/>
    </row>
    <row r="4331" ht="24.0" customHeight="1">
      <c r="A4331" s="1"/>
      <c r="B4331" s="24" t="str">
        <f>HYPERLINK("https://www.compass.com/listing/37-west-12th-street-unit-3h-manhattan-ny-10011/4864015440852041281/view?agent_id=610d3f3370540700019b0833","37 W 12th St, Unit 3H")</f>
        <v>37 W 12th St, Unit 3H</v>
      </c>
      <c r="C4331" s="25" t="s">
        <v>364</v>
      </c>
      <c r="D4331" s="26" t="s">
        <v>23</v>
      </c>
      <c r="E4331" s="27" t="str">
        <f>HYPERLINK("https://www.compass.com/building/37-w-12th-st-manhattan-ny-10011/281909849464266213/","37 W 12th St")</f>
        <v>37 W 12th St</v>
      </c>
      <c r="F4331" s="25" t="s">
        <v>43</v>
      </c>
      <c r="G4331" s="28">
        <v>1900000.0</v>
      </c>
      <c r="H4331" s="29"/>
      <c r="I4331" s="28">
        <v>3247.0</v>
      </c>
      <c r="J4331" s="29"/>
      <c r="K4331" s="25" t="s">
        <v>25</v>
      </c>
      <c r="L4331" s="26">
        <v>4.0</v>
      </c>
      <c r="M4331" s="26">
        <v>2.0</v>
      </c>
      <c r="N4331" s="26">
        <v>0.0</v>
      </c>
      <c r="O4331" s="26">
        <v>0.0</v>
      </c>
      <c r="P4331" s="30"/>
      <c r="Q4331" s="35">
        <v>121.0</v>
      </c>
      <c r="R4331" s="32">
        <v>45636.0</v>
      </c>
      <c r="S4331" s="32">
        <v>42923.0</v>
      </c>
      <c r="T4331" s="29"/>
      <c r="U4331" s="33"/>
      <c r="V4331" s="1"/>
    </row>
    <row r="4332" ht="24.0" customHeight="1">
      <c r="A4332" s="1"/>
      <c r="B4332" s="24" t="str">
        <f>HYPERLINK("https://www.compass.com/listing/12-east-14th-street-unit-5b-manhattan-ny-10003/997092601992864049/view?agent_id=610d3f3370540700019b0833","12 E 14th St, Unit 5B")</f>
        <v>12 E 14th St, Unit 5B</v>
      </c>
      <c r="C4332" s="25" t="s">
        <v>364</v>
      </c>
      <c r="D4332" s="26" t="s">
        <v>23</v>
      </c>
      <c r="E4332" s="27" t="str">
        <f>HYPERLINK("https://www.compass.com/building/12-e-14th-st-manhattan-ny-10003/294839876410976485/","12 E 14th St")</f>
        <v>12 E 14th St</v>
      </c>
      <c r="F4332" s="25" t="s">
        <v>43</v>
      </c>
      <c r="G4332" s="28">
        <v>995000.0</v>
      </c>
      <c r="H4332" s="29"/>
      <c r="I4332" s="28">
        <v>2448.0</v>
      </c>
      <c r="J4332" s="29"/>
      <c r="K4332" s="25" t="s">
        <v>25</v>
      </c>
      <c r="L4332" s="26">
        <v>5.0</v>
      </c>
      <c r="M4332" s="26">
        <v>2.0</v>
      </c>
      <c r="N4332" s="26">
        <v>1.0</v>
      </c>
      <c r="O4332" s="26">
        <v>0.0</v>
      </c>
      <c r="P4332" s="30"/>
      <c r="Q4332" s="35">
        <v>0.0</v>
      </c>
      <c r="R4332" s="32">
        <v>45636.0</v>
      </c>
      <c r="S4332" s="32">
        <v>44627.0</v>
      </c>
      <c r="T4332" s="29"/>
      <c r="U4332" s="33"/>
      <c r="V4332" s="1"/>
    </row>
    <row r="4333" ht="24.0" customHeight="1">
      <c r="A4333" s="1"/>
      <c r="B4333" s="24" t="str">
        <f>HYPERLINK("https://www.compass.com/listing/102-avenue-b-unit-4-manhattan-ny-10009/4848426122544690337/view?agent_id=610d3f3370540700019b0833","102 Avenue B, Unit 4")</f>
        <v>102 Avenue B, Unit 4</v>
      </c>
      <c r="C4333" s="25" t="s">
        <v>364</v>
      </c>
      <c r="D4333" s="26" t="s">
        <v>23</v>
      </c>
      <c r="E4333" s="27" t="str">
        <f>HYPERLINK("https://www.compass.com/building/102-avenue-b-manhattan-ny-10009/426968488033221469/","102 Avenue B")</f>
        <v>102 Avenue B</v>
      </c>
      <c r="F4333" s="25" t="s">
        <v>24</v>
      </c>
      <c r="G4333" s="28">
        <v>875000.0</v>
      </c>
      <c r="H4333" s="28">
        <v>875.0</v>
      </c>
      <c r="I4333" s="28">
        <v>525.0</v>
      </c>
      <c r="J4333" s="29"/>
      <c r="K4333" s="25" t="s">
        <v>25</v>
      </c>
      <c r="L4333" s="26">
        <v>4.0</v>
      </c>
      <c r="M4333" s="26">
        <v>2.0</v>
      </c>
      <c r="N4333" s="30"/>
      <c r="O4333" s="30"/>
      <c r="P4333" s="34">
        <v>1000.0</v>
      </c>
      <c r="Q4333" s="35">
        <v>364.0</v>
      </c>
      <c r="R4333" s="32">
        <v>42477.0</v>
      </c>
      <c r="S4333" s="32">
        <v>40877.0</v>
      </c>
      <c r="T4333" s="29"/>
      <c r="U4333" s="33"/>
      <c r="V4333" s="1"/>
    </row>
    <row r="4334" ht="24.0" customHeight="1">
      <c r="A4334" s="1"/>
      <c r="B4334" s="24" t="str">
        <f>HYPERLINK("https://www.compass.com/listing/50-west-9th-street-unit-5a-manhattan-ny-10011/29365696341246641/view?agent_id=610d3f3370540700019b0833","50 W 9th St, Unit 5A")</f>
        <v>50 W 9th St, Unit 5A</v>
      </c>
      <c r="C4334" s="25" t="s">
        <v>364</v>
      </c>
      <c r="D4334" s="26" t="s">
        <v>23</v>
      </c>
      <c r="E4334" s="27" t="str">
        <f>HYPERLINK("https://www.compass.com/building/the-hampshire-manhattan-ny/282059725334413285/","The Hampshire")</f>
        <v>The Hampshire</v>
      </c>
      <c r="F4334" s="25" t="s">
        <v>43</v>
      </c>
      <c r="G4334" s="28">
        <v>1175000.0</v>
      </c>
      <c r="H4334" s="29"/>
      <c r="I4334" s="28">
        <v>1565.0</v>
      </c>
      <c r="J4334" s="29"/>
      <c r="K4334" s="25" t="s">
        <v>25</v>
      </c>
      <c r="L4334" s="26">
        <v>4.0</v>
      </c>
      <c r="M4334" s="26">
        <v>2.0</v>
      </c>
      <c r="N4334" s="30"/>
      <c r="O4334" s="30"/>
      <c r="P4334" s="30"/>
      <c r="Q4334" s="35">
        <v>73.0</v>
      </c>
      <c r="R4334" s="32">
        <v>42477.0</v>
      </c>
      <c r="S4334" s="32">
        <v>39790.0</v>
      </c>
      <c r="T4334" s="29"/>
      <c r="U4334" s="33"/>
      <c r="V4334" s="1"/>
    </row>
    <row r="4335" ht="24.0" customHeight="1">
      <c r="A4335" s="1"/>
      <c r="B4335" s="24" t="str">
        <f>HYPERLINK("https://www.compass.com/listing/25-5th-avenue-unit-14b-manhattan-ny-10003/29365500509225457/view?agent_id=610d3f3370540700019b0833","25 5th Ave, Unit 14B")</f>
        <v>25 5th Ave, Unit 14B</v>
      </c>
      <c r="C4335" s="25" t="s">
        <v>364</v>
      </c>
      <c r="D4335" s="26" t="s">
        <v>23</v>
      </c>
      <c r="E4335" s="27" t="str">
        <f>HYPERLINK("https://www.compass.com/building/25-5th-ave-manhattan-ny-10003/293532429275211765/","25 5th Ave")</f>
        <v>25 5th Ave</v>
      </c>
      <c r="F4335" s="25" t="s">
        <v>43</v>
      </c>
      <c r="G4335" s="28">
        <v>1750000.0</v>
      </c>
      <c r="H4335" s="29"/>
      <c r="I4335" s="28">
        <v>2337.0</v>
      </c>
      <c r="J4335" s="28">
        <v>12204.0</v>
      </c>
      <c r="K4335" s="25" t="s">
        <v>28</v>
      </c>
      <c r="L4335" s="26">
        <v>4.0</v>
      </c>
      <c r="M4335" s="26">
        <v>2.0</v>
      </c>
      <c r="N4335" s="26">
        <v>0.0</v>
      </c>
      <c r="O4335" s="26">
        <v>0.0</v>
      </c>
      <c r="P4335" s="30"/>
      <c r="Q4335" s="35">
        <v>48.0</v>
      </c>
      <c r="R4335" s="32">
        <v>45636.0</v>
      </c>
      <c r="S4335" s="32">
        <v>43202.0</v>
      </c>
      <c r="T4335" s="29"/>
      <c r="U4335" s="33"/>
      <c r="V4335" s="1"/>
    </row>
    <row r="4336" ht="24.0" customHeight="1">
      <c r="A4336" s="1"/>
      <c r="B4336" s="24" t="str">
        <f>HYPERLINK("https://www.compass.com/listing/180-thompson-street-unit-5b-manhattan-ny-10012/1861837431026497169/view?agent_id=610d3f3370540700019b0833","180 Thompson St, Unit 5B")</f>
        <v>180 Thompson St, Unit 5B</v>
      </c>
      <c r="C4336" s="25" t="s">
        <v>365</v>
      </c>
      <c r="D4336" s="26" t="s">
        <v>23</v>
      </c>
      <c r="E4336" s="27" t="str">
        <f>HYPERLINK("https://www.compass.com/building/180-thompson-st-manhattan-ny-10012/281913563965058325/","180 Thompson St")</f>
        <v>180 Thompson St</v>
      </c>
      <c r="F4336" s="25" t="s">
        <v>43</v>
      </c>
      <c r="G4336" s="28">
        <v>749000.0</v>
      </c>
      <c r="H4336" s="28">
        <v>936.0</v>
      </c>
      <c r="I4336" s="28">
        <v>1383.0</v>
      </c>
      <c r="J4336" s="29"/>
      <c r="K4336" s="25" t="s">
        <v>25</v>
      </c>
      <c r="L4336" s="26">
        <v>3.0</v>
      </c>
      <c r="M4336" s="26">
        <v>2.0</v>
      </c>
      <c r="N4336" s="30"/>
      <c r="O4336" s="30"/>
      <c r="P4336" s="26">
        <v>800.0</v>
      </c>
      <c r="Q4336" s="31"/>
      <c r="R4336" s="32">
        <v>42828.0</v>
      </c>
      <c r="S4336" s="33"/>
      <c r="T4336" s="29"/>
      <c r="U4336" s="33"/>
      <c r="V4336" s="1"/>
    </row>
    <row r="4337" ht="24.0" customHeight="1">
      <c r="A4337" s="1"/>
      <c r="B4337" s="24" t="str">
        <f>HYPERLINK("https://www.compass.com/listing/42-west-9th-street-unit-194-manhattan-ny-10011/29514358329572193/view?agent_id=610d3f3370540700019b0833","42 W 9th St, Unit 194")</f>
        <v>42 W 9th St, Unit 194</v>
      </c>
      <c r="C4337" s="25" t="s">
        <v>370</v>
      </c>
      <c r="D4337" s="26" t="s">
        <v>23</v>
      </c>
      <c r="E4337" s="27" t="str">
        <f>HYPERLINK("https://www.compass.com/building/the-portsmouth-manhattan-ny/282058566750206581/","The Portsmouth")</f>
        <v>The Portsmouth</v>
      </c>
      <c r="F4337" s="25" t="s">
        <v>43</v>
      </c>
      <c r="G4337" s="28">
        <v>2745000.0</v>
      </c>
      <c r="H4337" s="29"/>
      <c r="I4337" s="28">
        <v>3152.0</v>
      </c>
      <c r="J4337" s="29"/>
      <c r="K4337" s="25" t="s">
        <v>25</v>
      </c>
      <c r="L4337" s="26">
        <v>6.0</v>
      </c>
      <c r="M4337" s="26">
        <v>2.0</v>
      </c>
      <c r="N4337" s="26">
        <v>0.0</v>
      </c>
      <c r="O4337" s="26">
        <v>0.0</v>
      </c>
      <c r="P4337" s="30"/>
      <c r="Q4337" s="35">
        <v>182.0</v>
      </c>
      <c r="R4337" s="32">
        <v>44581.0</v>
      </c>
      <c r="S4337" s="32">
        <v>43228.0</v>
      </c>
      <c r="T4337" s="29"/>
      <c r="U4337" s="33"/>
      <c r="V4337" s="1"/>
    </row>
    <row r="4338" ht="24.0" customHeight="1">
      <c r="A4338" s="1"/>
      <c r="B4338" s="24" t="str">
        <f>HYPERLINK("https://www.compass.com/listing/137-barrow-street-unit-4a-manhattan-ny-10014/1226154482760577409/view?agent_id=610d3f3370540700019b0833","137 Barrow St, Unit 4A")</f>
        <v>137 Barrow St, Unit 4A</v>
      </c>
      <c r="C4338" s="25" t="s">
        <v>364</v>
      </c>
      <c r="D4338" s="26" t="s">
        <v>23</v>
      </c>
      <c r="E4338" s="27" t="str">
        <f>HYPERLINK("https://www.compass.com/building/west-village-houses-manhattan-ny/282065834338193317/","West Village Houses")</f>
        <v>West Village Houses</v>
      </c>
      <c r="F4338" s="25" t="s">
        <v>26</v>
      </c>
      <c r="G4338" s="28">
        <v>1475000.0</v>
      </c>
      <c r="H4338" s="29"/>
      <c r="I4338" s="28">
        <v>1300.0</v>
      </c>
      <c r="J4338" s="29"/>
      <c r="K4338" s="25" t="s">
        <v>25</v>
      </c>
      <c r="L4338" s="26">
        <v>4.0</v>
      </c>
      <c r="M4338" s="26">
        <v>2.0</v>
      </c>
      <c r="N4338" s="26">
        <v>1.0</v>
      </c>
      <c r="O4338" s="26">
        <v>0.0</v>
      </c>
      <c r="P4338" s="30"/>
      <c r="Q4338" s="35">
        <v>232.0</v>
      </c>
      <c r="R4338" s="32">
        <v>45636.0</v>
      </c>
      <c r="S4338" s="32">
        <v>44943.0</v>
      </c>
      <c r="T4338" s="29"/>
      <c r="U4338" s="33"/>
      <c r="V4338" s="1"/>
    </row>
    <row r="4339" ht="24.0" customHeight="1">
      <c r="A4339" s="1"/>
      <c r="B4339" s="24" t="str">
        <f>HYPERLINK("https://www.compass.com/listing/265-east-7th-street-unit-1-manhattan-ny-10009/867514550832933073/view?agent_id=610d3f3370540700019b0833","265 E 7th St, Unit 1")</f>
        <v>265 E 7th St, Unit 1</v>
      </c>
      <c r="C4339" s="25" t="s">
        <v>370</v>
      </c>
      <c r="D4339" s="26" t="s">
        <v>23</v>
      </c>
      <c r="E4339" s="27" t="str">
        <f>HYPERLINK("https://www.compass.com/building/265-e-7th-st-manhattan-ny-10009/281899164156047221/","265 E 7th St")</f>
        <v>265 E 7th St</v>
      </c>
      <c r="F4339" s="25" t="s">
        <v>24</v>
      </c>
      <c r="G4339" s="28">
        <v>1175000.0</v>
      </c>
      <c r="H4339" s="29"/>
      <c r="I4339" s="28">
        <v>1732.0</v>
      </c>
      <c r="J4339" s="29"/>
      <c r="K4339" s="25" t="s">
        <v>25</v>
      </c>
      <c r="L4339" s="26">
        <v>5.0</v>
      </c>
      <c r="M4339" s="26">
        <v>2.0</v>
      </c>
      <c r="N4339" s="26">
        <v>1.0</v>
      </c>
      <c r="O4339" s="30"/>
      <c r="P4339" s="30"/>
      <c r="Q4339" s="35">
        <v>26.0</v>
      </c>
      <c r="R4339" s="32">
        <v>45612.0</v>
      </c>
      <c r="S4339" s="32">
        <v>44353.0</v>
      </c>
      <c r="T4339" s="29"/>
      <c r="U4339" s="33"/>
      <c r="V4339" s="1"/>
    </row>
    <row r="4340" ht="24.0" customHeight="1">
      <c r="A4340" s="1"/>
      <c r="B4340" s="24" t="str">
        <f>HYPERLINK("https://www.compass.com/listing/126-east-12th-street-unit-2c-manhattan-ny-10003/167803858611989329/view?agent_id=610d3f3370540700019b0833","126 E 12th St, Unit 2C")</f>
        <v>126 E 12th St, Unit 2C</v>
      </c>
      <c r="C4340" s="25" t="s">
        <v>364</v>
      </c>
      <c r="D4340" s="26" t="s">
        <v>23</v>
      </c>
      <c r="E4340" s="27" t="str">
        <f>HYPERLINK("https://www.compass.com/building/126-e-12th-st-manhattan-ny-10003/281889319461848853/","126 E 12th St")</f>
        <v>126 E 12th St</v>
      </c>
      <c r="F4340" s="25" t="s">
        <v>43</v>
      </c>
      <c r="G4340" s="28">
        <v>875000.0</v>
      </c>
      <c r="H4340" s="28">
        <v>1167.0</v>
      </c>
      <c r="I4340" s="28">
        <v>1399.0</v>
      </c>
      <c r="J4340" s="29"/>
      <c r="K4340" s="25" t="s">
        <v>25</v>
      </c>
      <c r="L4340" s="26">
        <v>4.0</v>
      </c>
      <c r="M4340" s="26">
        <v>2.0</v>
      </c>
      <c r="N4340" s="30"/>
      <c r="O4340" s="30"/>
      <c r="P4340" s="26">
        <v>750.0</v>
      </c>
      <c r="Q4340" s="35">
        <v>104.0</v>
      </c>
      <c r="R4340" s="32">
        <v>43698.0</v>
      </c>
      <c r="S4340" s="32">
        <v>40582.0</v>
      </c>
      <c r="T4340" s="29"/>
      <c r="U4340" s="33"/>
      <c r="V4340" s="1"/>
    </row>
    <row r="4341" ht="24.0" customHeight="1">
      <c r="A4341" s="1"/>
      <c r="B4341" s="24" t="str">
        <f>HYPERLINK("https://www.compass.com/listing/155-east-2nd-street-unit-3-manhattan-ny-10009/243369532410838097/view?agent_id=610d3f3370540700019b0833","155 E 2nd St, Unit 3")</f>
        <v>155 E 2nd St, Unit 3</v>
      </c>
      <c r="C4341" s="25" t="s">
        <v>364</v>
      </c>
      <c r="D4341" s="26" t="s">
        <v>23</v>
      </c>
      <c r="E4341" s="27" t="str">
        <f>HYPERLINK("https://www.compass.com/building/155-e-2nd-st-manhattan-ny-10009/281897885958680965/","155 E 2nd St")</f>
        <v>155 E 2nd St</v>
      </c>
      <c r="F4341" s="25" t="s">
        <v>24</v>
      </c>
      <c r="G4341" s="28">
        <v>739000.0</v>
      </c>
      <c r="H4341" s="29"/>
      <c r="I4341" s="28">
        <v>540.0</v>
      </c>
      <c r="J4341" s="28">
        <v>0.0</v>
      </c>
      <c r="K4341" s="25" t="s">
        <v>25</v>
      </c>
      <c r="L4341" s="26">
        <v>5.0</v>
      </c>
      <c r="M4341" s="26">
        <v>2.0</v>
      </c>
      <c r="N4341" s="30"/>
      <c r="O4341" s="30"/>
      <c r="P4341" s="30"/>
      <c r="Q4341" s="35">
        <v>350.0</v>
      </c>
      <c r="R4341" s="32">
        <v>44032.0</v>
      </c>
      <c r="S4341" s="32">
        <v>43587.0</v>
      </c>
      <c r="T4341" s="29"/>
      <c r="U4341" s="33"/>
      <c r="V4341" s="1"/>
    </row>
    <row r="4342" ht="24.0" customHeight="1">
      <c r="A4342" s="1"/>
      <c r="B4342" s="24" t="str">
        <f>HYPERLINK("https://www.compass.com/listing/210-east-17th-street-unit-4a-manhattan-ny-10003/1838946612336831393/view?agent_id=610d3f3370540700019b0833","210 E 17th St, Unit 4A")</f>
        <v>210 E 17th St, Unit 4A</v>
      </c>
      <c r="C4342" s="25" t="s">
        <v>364</v>
      </c>
      <c r="D4342" s="26" t="s">
        <v>23</v>
      </c>
      <c r="E4342" s="27" t="str">
        <f>HYPERLINK("https://www.compass.com/building/210-e-17th-st-manhattan-ny-10003/281890680261842085/","210 E 17th St")</f>
        <v>210 E 17th St</v>
      </c>
      <c r="F4342" s="25" t="s">
        <v>48</v>
      </c>
      <c r="G4342" s="28">
        <v>799900.0</v>
      </c>
      <c r="H4342" s="29"/>
      <c r="I4342" s="28">
        <v>1347.0</v>
      </c>
      <c r="J4342" s="29"/>
      <c r="K4342" s="25" t="s">
        <v>25</v>
      </c>
      <c r="L4342" s="26">
        <v>5.0</v>
      </c>
      <c r="M4342" s="26">
        <v>2.0</v>
      </c>
      <c r="N4342" s="26">
        <v>1.0</v>
      </c>
      <c r="O4342" s="26">
        <v>0.0</v>
      </c>
      <c r="P4342" s="30"/>
      <c r="Q4342" s="35">
        <v>75.0</v>
      </c>
      <c r="R4342" s="32">
        <v>45636.0</v>
      </c>
      <c r="S4342" s="32">
        <v>43762.0</v>
      </c>
      <c r="T4342" s="29"/>
      <c r="U4342" s="33"/>
      <c r="V4342" s="1"/>
    </row>
    <row r="4343" ht="24.0" customHeight="1">
      <c r="A4343" s="1"/>
      <c r="B4343" s="24" t="str">
        <f>HYPERLINK("https://www.compass.com/listing/275-east-7th-street-unit-1-manhattan-ny-10009/1838915760580008945/view?agent_id=610d3f3370540700019b0833","275 E 7th St, Unit 1")</f>
        <v>275 E 7th St, Unit 1</v>
      </c>
      <c r="C4343" s="25" t="s">
        <v>365</v>
      </c>
      <c r="D4343" s="26" t="s">
        <v>23</v>
      </c>
      <c r="E4343" s="27" t="str">
        <f t="shared" ref="E4343:E4344" si="185">HYPERLINK("https://www.compass.com/building/275-e-7th-st-manhattan-ny-10009/281899251355629637/","275 E 7th St")</f>
        <v>275 E 7th St</v>
      </c>
      <c r="F4343" s="25" t="s">
        <v>24</v>
      </c>
      <c r="G4343" s="28">
        <v>829000.0</v>
      </c>
      <c r="H4343" s="29"/>
      <c r="I4343" s="28">
        <v>495.0</v>
      </c>
      <c r="J4343" s="29"/>
      <c r="K4343" s="25" t="s">
        <v>25</v>
      </c>
      <c r="L4343" s="26">
        <v>4.0</v>
      </c>
      <c r="M4343" s="26">
        <v>2.0</v>
      </c>
      <c r="N4343" s="26">
        <v>0.0</v>
      </c>
      <c r="O4343" s="26">
        <v>0.0</v>
      </c>
      <c r="P4343" s="30"/>
      <c r="Q4343" s="35">
        <v>90.0</v>
      </c>
      <c r="R4343" s="32">
        <v>42476.0</v>
      </c>
      <c r="S4343" s="32">
        <v>41367.0</v>
      </c>
      <c r="T4343" s="29"/>
      <c r="U4343" s="33"/>
      <c r="V4343" s="1"/>
    </row>
    <row r="4344" ht="24.0" customHeight="1">
      <c r="A4344" s="1"/>
      <c r="B4344" s="24" t="str">
        <f>HYPERLINK("https://www.compass.com/listing/275-east-7th-street-unit-garden-manhattan-ny-10009/923584760689243657/view?agent_id=610d3f3370540700019b0833","275 East 7th Street, Unit GARDEN")</f>
        <v>275 East 7th Street, Unit GARDEN</v>
      </c>
      <c r="C4344" s="25" t="s">
        <v>364</v>
      </c>
      <c r="D4344" s="26" t="s">
        <v>23</v>
      </c>
      <c r="E4344" s="27" t="str">
        <f t="shared" si="185"/>
        <v>275 E 7th St</v>
      </c>
      <c r="F4344" s="25" t="s">
        <v>24</v>
      </c>
      <c r="G4344" s="28">
        <v>965000.0</v>
      </c>
      <c r="H4344" s="29"/>
      <c r="I4344" s="28">
        <v>498.0</v>
      </c>
      <c r="J4344" s="29"/>
      <c r="K4344" s="25" t="s">
        <v>25</v>
      </c>
      <c r="L4344" s="26">
        <v>3.0</v>
      </c>
      <c r="M4344" s="26">
        <v>2.0</v>
      </c>
      <c r="N4344" s="26">
        <v>1.0</v>
      </c>
      <c r="O4344" s="26">
        <v>0.0</v>
      </c>
      <c r="P4344" s="30"/>
      <c r="Q4344" s="35">
        <v>123.0</v>
      </c>
      <c r="R4344" s="32">
        <v>45636.0</v>
      </c>
      <c r="S4344" s="32">
        <v>43237.0</v>
      </c>
      <c r="T4344" s="29"/>
      <c r="U4344" s="33"/>
      <c r="V4344" s="1"/>
    </row>
    <row r="4345" ht="24.0" customHeight="1">
      <c r="A4345" s="1"/>
      <c r="B4345" s="24" t="str">
        <f>HYPERLINK("https://www.compass.com/listing/18-east-12th-street-unit-1c-manhattan-ny-10003/4831389662889129841/view?agent_id=610d3f3370540700019b0833","18 East 12th Street, Unit 1C")</f>
        <v>18 East 12th Street, Unit 1C</v>
      </c>
      <c r="C4345" s="25" t="s">
        <v>370</v>
      </c>
      <c r="D4345" s="26" t="s">
        <v>23</v>
      </c>
      <c r="E4345" s="27" t="str">
        <f>HYPERLINK("https://www.compass.com/building/18-e-12th-st-manhattan-ny-10003/292781080119878917/","18 E 12th St")</f>
        <v>18 E 12th St</v>
      </c>
      <c r="F4345" s="25" t="s">
        <v>43</v>
      </c>
      <c r="G4345" s="28">
        <v>3250000.0</v>
      </c>
      <c r="H4345" s="28">
        <v>1857.0</v>
      </c>
      <c r="I4345" s="28">
        <v>4478.0</v>
      </c>
      <c r="J4345" s="28">
        <v>25380.0</v>
      </c>
      <c r="K4345" s="25" t="s">
        <v>28</v>
      </c>
      <c r="L4345" s="26">
        <v>5.0</v>
      </c>
      <c r="M4345" s="26">
        <v>2.0</v>
      </c>
      <c r="N4345" s="26">
        <v>0.0</v>
      </c>
      <c r="O4345" s="26">
        <v>0.0</v>
      </c>
      <c r="P4345" s="34">
        <v>1750.0</v>
      </c>
      <c r="Q4345" s="35">
        <v>333.0</v>
      </c>
      <c r="R4345" s="32">
        <v>45636.0</v>
      </c>
      <c r="S4345" s="32">
        <v>42857.0</v>
      </c>
      <c r="T4345" s="29"/>
      <c r="U4345" s="33"/>
      <c r="V4345" s="1"/>
    </row>
    <row r="4346" ht="24.0" customHeight="1">
      <c r="A4346" s="1"/>
      <c r="B4346" s="24" t="str">
        <f>HYPERLINK("https://www.compass.com/listing/252-east-7th-street-unit-2122-manhattan-ny-10009/4852264532292154673/view?agent_id=610d3f3370540700019b0833","252 E 7th St, Unit 2122")</f>
        <v>252 E 7th St, Unit 2122</v>
      </c>
      <c r="C4346" s="25" t="s">
        <v>364</v>
      </c>
      <c r="D4346" s="26" t="s">
        <v>23</v>
      </c>
      <c r="E4346" s="27" t="str">
        <f>HYPERLINK("https://www.compass.com/building/252-e-7th-st-manhattan-ny-10009/294838072189356837/","252 E 7th St")</f>
        <v>252 E 7th St</v>
      </c>
      <c r="F4346" s="25" t="s">
        <v>24</v>
      </c>
      <c r="G4346" s="28">
        <v>1195000.0</v>
      </c>
      <c r="H4346" s="28">
        <v>1423.0</v>
      </c>
      <c r="I4346" s="28">
        <v>1184.0</v>
      </c>
      <c r="J4346" s="28">
        <v>0.0</v>
      </c>
      <c r="K4346" s="25" t="s">
        <v>25</v>
      </c>
      <c r="L4346" s="26">
        <v>4.0</v>
      </c>
      <c r="M4346" s="26">
        <v>2.0</v>
      </c>
      <c r="N4346" s="26">
        <v>1.0</v>
      </c>
      <c r="O4346" s="30"/>
      <c r="P4346" s="26">
        <v>840.0</v>
      </c>
      <c r="Q4346" s="35">
        <v>21.0</v>
      </c>
      <c r="R4346" s="32">
        <v>42779.0</v>
      </c>
      <c r="S4346" s="32">
        <v>42667.0</v>
      </c>
      <c r="T4346" s="29"/>
      <c r="U4346" s="33"/>
      <c r="V4346" s="1"/>
    </row>
    <row r="4347" ht="24.0" customHeight="1">
      <c r="A4347" s="1"/>
      <c r="B4347" s="24" t="str">
        <f>HYPERLINK("https://www.compass.com/listing/126-west-11th-street-unit-42-manhattan-ny-10011/1403754400940767249/view?agent_id=610d3f3370540700019b0833","126 West 11th Street, Unit 42")</f>
        <v>126 West 11th Street, Unit 42</v>
      </c>
      <c r="C4347" s="25" t="s">
        <v>364</v>
      </c>
      <c r="D4347" s="26" t="s">
        <v>23</v>
      </c>
      <c r="E4347" s="27" t="str">
        <f>HYPERLINK("https://www.compass.com/building/the-unadilla-manhattan-ny/281904887636182549/","The Unadilla")</f>
        <v>The Unadilla</v>
      </c>
      <c r="F4347" s="25" t="s">
        <v>26</v>
      </c>
      <c r="G4347" s="28">
        <v>1695000.0</v>
      </c>
      <c r="H4347" s="29"/>
      <c r="I4347" s="28">
        <v>2151.0</v>
      </c>
      <c r="J4347" s="28">
        <v>0.0</v>
      </c>
      <c r="K4347" s="25" t="s">
        <v>25</v>
      </c>
      <c r="L4347" s="26">
        <v>6.0</v>
      </c>
      <c r="M4347" s="26">
        <v>2.0</v>
      </c>
      <c r="N4347" s="26">
        <v>1.0</v>
      </c>
      <c r="O4347" s="26">
        <v>0.0</v>
      </c>
      <c r="P4347" s="30"/>
      <c r="Q4347" s="35">
        <v>219.0</v>
      </c>
      <c r="R4347" s="32">
        <v>45636.0</v>
      </c>
      <c r="S4347" s="32">
        <v>45188.0</v>
      </c>
      <c r="T4347" s="29"/>
      <c r="U4347" s="33"/>
      <c r="V4347" s="1"/>
    </row>
    <row r="4348" ht="24.0" customHeight="1">
      <c r="A4348" s="1"/>
      <c r="B4348" s="24" t="str">
        <f>HYPERLINK("https://www.compass.com/listing/25-charles-street-unit-2c-manhattan-ny-10014/1789958734019282465/view?agent_id=610d3f3370540700019b0833","25 Charles Street, Unit 2C")</f>
        <v>25 Charles Street, Unit 2C</v>
      </c>
      <c r="C4348" s="25" t="s">
        <v>365</v>
      </c>
      <c r="D4348" s="26" t="s">
        <v>23</v>
      </c>
      <c r="E4348" s="27" t="str">
        <f>HYPERLINK("https://www.compass.com/building/25-charles-st-manhattan-ny-10014/281931537656625045/","25 Charles St")</f>
        <v>25 Charles St</v>
      </c>
      <c r="F4348" s="25" t="s">
        <v>26</v>
      </c>
      <c r="G4348" s="28">
        <v>1495000.0</v>
      </c>
      <c r="H4348" s="29"/>
      <c r="I4348" s="28">
        <v>1676.0</v>
      </c>
      <c r="J4348" s="28">
        <v>0.0</v>
      </c>
      <c r="K4348" s="25" t="s">
        <v>25</v>
      </c>
      <c r="L4348" s="26">
        <v>4.0</v>
      </c>
      <c r="M4348" s="26">
        <v>2.0</v>
      </c>
      <c r="N4348" s="26">
        <v>1.0</v>
      </c>
      <c r="O4348" s="26">
        <v>0.0</v>
      </c>
      <c r="P4348" s="30"/>
      <c r="Q4348" s="35">
        <v>118.0</v>
      </c>
      <c r="R4348" s="32">
        <v>45840.0</v>
      </c>
      <c r="S4348" s="32">
        <v>45721.0</v>
      </c>
      <c r="T4348" s="29"/>
      <c r="U4348" s="33"/>
      <c r="V4348" s="1"/>
    </row>
    <row r="4349" ht="24.0" customHeight="1">
      <c r="A4349" s="1"/>
      <c r="B4349" s="24" t="str">
        <f>HYPERLINK("https://www.compass.com/listing/518-east-11th-street-unit-4b-manhattan-ny-10009/1809602806281639585/view?agent_id=610d3f3370540700019b0833","518 East 11th Street, Unit 4B")</f>
        <v>518 East 11th Street, Unit 4B</v>
      </c>
      <c r="C4349" s="25" t="s">
        <v>370</v>
      </c>
      <c r="D4349" s="26" t="s">
        <v>23</v>
      </c>
      <c r="E4349" s="27" t="str">
        <f>HYPERLINK("https://www.compass.com/building/518-e-11th-st-manhattan-ny-10009/281900615964047605/","518 E 11th St")</f>
        <v>518 E 11th St</v>
      </c>
      <c r="F4349" s="25" t="s">
        <v>24</v>
      </c>
      <c r="G4349" s="28">
        <v>997500.0</v>
      </c>
      <c r="H4349" s="29"/>
      <c r="I4349" s="28">
        <v>1360.0</v>
      </c>
      <c r="J4349" s="29"/>
      <c r="K4349" s="25" t="s">
        <v>25</v>
      </c>
      <c r="L4349" s="26">
        <v>4.0</v>
      </c>
      <c r="M4349" s="26">
        <v>2.0</v>
      </c>
      <c r="N4349" s="26">
        <v>1.0</v>
      </c>
      <c r="O4349" s="26">
        <v>0.0</v>
      </c>
      <c r="P4349" s="30"/>
      <c r="Q4349" s="35">
        <v>114.0</v>
      </c>
      <c r="R4349" s="32">
        <v>45636.0</v>
      </c>
      <c r="S4349" s="32">
        <v>44781.0</v>
      </c>
      <c r="T4349" s="29"/>
      <c r="U4349" s="33"/>
      <c r="V4349" s="1"/>
    </row>
    <row r="4350" ht="24.0" customHeight="1">
      <c r="A4350" s="1"/>
      <c r="B4350" s="24" t="str">
        <f>HYPERLINK("https://www.compass.com/listing/13-west-13th-street-unit-3abn-manhattan-ny-10011/1809613634011847649/view?agent_id=610d3f3370540700019b0833","13 West 13th Street, Unit 3ABN")</f>
        <v>13 West 13th Street, Unit 3ABN</v>
      </c>
      <c r="C4350" s="25" t="s">
        <v>370</v>
      </c>
      <c r="D4350" s="26" t="s">
        <v>23</v>
      </c>
      <c r="E4350" s="27" t="str">
        <f>HYPERLINK("https://www.compass.com/building/the-norville-house-manhattan-ny/292801098475923429/","The Norville House")</f>
        <v>The Norville House</v>
      </c>
      <c r="F4350" s="25" t="s">
        <v>43</v>
      </c>
      <c r="G4350" s="28">
        <v>1399000.0</v>
      </c>
      <c r="H4350" s="28">
        <v>1238.0</v>
      </c>
      <c r="I4350" s="28">
        <v>2299.0</v>
      </c>
      <c r="J4350" s="29"/>
      <c r="K4350" s="25" t="s">
        <v>25</v>
      </c>
      <c r="L4350" s="26">
        <v>4.0</v>
      </c>
      <c r="M4350" s="26">
        <v>2.0</v>
      </c>
      <c r="N4350" s="26">
        <v>0.0</v>
      </c>
      <c r="O4350" s="26">
        <v>0.0</v>
      </c>
      <c r="P4350" s="34">
        <v>1130.0</v>
      </c>
      <c r="Q4350" s="35">
        <v>180.0</v>
      </c>
      <c r="R4350" s="32">
        <v>45636.0</v>
      </c>
      <c r="S4350" s="32">
        <v>43103.0</v>
      </c>
      <c r="T4350" s="29"/>
      <c r="U4350" s="33"/>
      <c r="V4350" s="1"/>
    </row>
    <row r="4351" ht="24.0" customHeight="1">
      <c r="A4351" s="1"/>
      <c r="B4351" s="24" t="str">
        <f>HYPERLINK("https://www.compass.com/listing/626-east-9th-street-unit-1r-manhattan-ny-10009/1087870814316393561/view?agent_id=610d3f3370540700019b0833","626 East 9th Street, Unit 1R")</f>
        <v>626 East 9th Street, Unit 1R</v>
      </c>
      <c r="C4351" s="25" t="s">
        <v>364</v>
      </c>
      <c r="D4351" s="26" t="s">
        <v>23</v>
      </c>
      <c r="E4351" s="27" t="str">
        <f>HYPERLINK("https://www.compass.com/building/626-e-9th-st-manhattan-ny-10009/281901210447921653/","626 E 9th St")</f>
        <v>626 E 9th St</v>
      </c>
      <c r="F4351" s="25" t="s">
        <v>24</v>
      </c>
      <c r="G4351" s="28">
        <v>896000.0</v>
      </c>
      <c r="H4351" s="29"/>
      <c r="I4351" s="28">
        <v>800.0</v>
      </c>
      <c r="J4351" s="29"/>
      <c r="K4351" s="25" t="s">
        <v>25</v>
      </c>
      <c r="L4351" s="26">
        <v>5.0</v>
      </c>
      <c r="M4351" s="26">
        <v>2.0</v>
      </c>
      <c r="N4351" s="26">
        <v>1.0</v>
      </c>
      <c r="O4351" s="26">
        <v>0.0</v>
      </c>
      <c r="P4351" s="30"/>
      <c r="Q4351" s="35">
        <v>132.0</v>
      </c>
      <c r="R4351" s="32">
        <v>45636.0</v>
      </c>
      <c r="S4351" s="32">
        <v>44852.0</v>
      </c>
      <c r="T4351" s="29"/>
      <c r="U4351" s="33"/>
      <c r="V4351" s="1"/>
    </row>
    <row r="4352" ht="24.0" customHeight="1">
      <c r="A4352" s="1"/>
      <c r="B4352" s="24" t="str">
        <f>HYPERLINK("https://www.compass.com/listing/226-east-2nd-street-unit-2b-manhattan-ny-10009/1809624815900292681/view?agent_id=610d3f3370540700019b0833","226 East 2nd Street, Unit 2B")</f>
        <v>226 East 2nd Street, Unit 2B</v>
      </c>
      <c r="C4352" s="25" t="s">
        <v>370</v>
      </c>
      <c r="D4352" s="26" t="s">
        <v>23</v>
      </c>
      <c r="E4352" s="27" t="str">
        <f t="shared" ref="E4352:E4353" si="186">HYPERLINK("https://www.compass.com/building/226-e-2nd-st-manhattan-ny-10009/292791996853013269/","226 E 2nd St")</f>
        <v>226 E 2nd St</v>
      </c>
      <c r="F4352" s="25" t="s">
        <v>24</v>
      </c>
      <c r="G4352" s="28">
        <v>875000.0</v>
      </c>
      <c r="H4352" s="29"/>
      <c r="I4352" s="28">
        <v>1273.0</v>
      </c>
      <c r="J4352" s="29"/>
      <c r="K4352" s="25" t="s">
        <v>25</v>
      </c>
      <c r="L4352" s="26">
        <v>4.0</v>
      </c>
      <c r="M4352" s="26">
        <v>2.0</v>
      </c>
      <c r="N4352" s="26">
        <v>1.0</v>
      </c>
      <c r="O4352" s="26">
        <v>0.0</v>
      </c>
      <c r="P4352" s="30"/>
      <c r="Q4352" s="35">
        <v>84.0</v>
      </c>
      <c r="R4352" s="32">
        <v>45636.0</v>
      </c>
      <c r="S4352" s="32">
        <v>44448.0</v>
      </c>
      <c r="T4352" s="29"/>
      <c r="U4352" s="33"/>
      <c r="V4352" s="1"/>
    </row>
    <row r="4353" ht="24.0" customHeight="1">
      <c r="A4353" s="1"/>
      <c r="B4353" s="24" t="str">
        <f>HYPERLINK("https://www.compass.com/listing/226-east-2nd-street-unit-2b-manhattan-ny-10009/808438210251722265/view?agent_id=610d3f3370540700019b0833","226 East 2nd Street, Unit 2B")</f>
        <v>226 East 2nd Street, Unit 2B</v>
      </c>
      <c r="C4353" s="25" t="s">
        <v>364</v>
      </c>
      <c r="D4353" s="26" t="s">
        <v>23</v>
      </c>
      <c r="E4353" s="27" t="str">
        <f t="shared" si="186"/>
        <v>226 E 2nd St</v>
      </c>
      <c r="F4353" s="25" t="s">
        <v>24</v>
      </c>
      <c r="G4353" s="28">
        <v>899000.0</v>
      </c>
      <c r="H4353" s="29"/>
      <c r="I4353" s="28">
        <v>1273.0</v>
      </c>
      <c r="J4353" s="29"/>
      <c r="K4353" s="25" t="s">
        <v>25</v>
      </c>
      <c r="L4353" s="26">
        <v>4.0</v>
      </c>
      <c r="M4353" s="26">
        <v>2.0</v>
      </c>
      <c r="N4353" s="26">
        <v>1.0</v>
      </c>
      <c r="O4353" s="26">
        <v>0.0</v>
      </c>
      <c r="P4353" s="30"/>
      <c r="Q4353" s="35">
        <v>81.0</v>
      </c>
      <c r="R4353" s="32">
        <v>45636.0</v>
      </c>
      <c r="S4353" s="32">
        <v>44367.0</v>
      </c>
      <c r="T4353" s="29"/>
      <c r="U4353" s="33"/>
      <c r="V4353" s="1"/>
    </row>
    <row r="4354" ht="24.0" customHeight="1">
      <c r="A4354" s="1"/>
      <c r="B4354" s="24" t="str">
        <f>HYPERLINK("https://www.compass.com/listing/184-east-2nd-street-unit-4f-manhattan-ny-10009/962286328693406393/view?agent_id=610d3f3370540700019b0833","184 East 2nd Street, Unit 4F")</f>
        <v>184 East 2nd Street, Unit 4F</v>
      </c>
      <c r="C4354" s="25" t="s">
        <v>370</v>
      </c>
      <c r="D4354" s="26" t="s">
        <v>23</v>
      </c>
      <c r="E4354" s="27" t="str">
        <f>HYPERLINK("https://www.compass.com/building/184-e-2nd-st-manhattan-ny-10009/307441464648718533/","184 E 2nd St")</f>
        <v>184 E 2nd St</v>
      </c>
      <c r="F4354" s="25" t="s">
        <v>24</v>
      </c>
      <c r="G4354" s="28">
        <v>1175000.0</v>
      </c>
      <c r="H4354" s="29"/>
      <c r="I4354" s="28">
        <v>1527.0</v>
      </c>
      <c r="J4354" s="28">
        <v>12540.0</v>
      </c>
      <c r="K4354" s="25" t="s">
        <v>28</v>
      </c>
      <c r="L4354" s="26">
        <v>5.0</v>
      </c>
      <c r="M4354" s="26">
        <v>2.0</v>
      </c>
      <c r="N4354" s="26">
        <v>1.0</v>
      </c>
      <c r="O4354" s="26">
        <v>0.0</v>
      </c>
      <c r="P4354" s="30"/>
      <c r="Q4354" s="35">
        <v>94.0</v>
      </c>
      <c r="R4354" s="32">
        <v>45636.0</v>
      </c>
      <c r="S4354" s="32">
        <v>44579.0</v>
      </c>
      <c r="T4354" s="29"/>
      <c r="U4354" s="33"/>
      <c r="V4354" s="1"/>
    </row>
    <row r="4355" ht="24.0" customHeight="1">
      <c r="A4355" s="1"/>
      <c r="B4355" s="24" t="str">
        <f>HYPERLINK("https://www.compass.com/listing/2-east-12th-street-unit-3-manhattan-ny-10003/4852312369654676865/view?agent_id=610d3f3370540700019b0833","2 East 12th Street, Unit 3")</f>
        <v>2 East 12th Street, Unit 3</v>
      </c>
      <c r="C4355" s="25" t="s">
        <v>370</v>
      </c>
      <c r="D4355" s="26" t="s">
        <v>23</v>
      </c>
      <c r="E4355" s="27" t="str">
        <f>HYPERLINK("https://www.compass.com/building/2-e-12th-st-manhattan-ny-10003/281890345279556981/","2 E 12th St")</f>
        <v>2 E 12th St</v>
      </c>
      <c r="F4355" s="25" t="s">
        <v>43</v>
      </c>
      <c r="G4355" s="28">
        <v>1950000.0</v>
      </c>
      <c r="H4355" s="29"/>
      <c r="I4355" s="28">
        <v>2378.0</v>
      </c>
      <c r="J4355" s="29"/>
      <c r="K4355" s="25" t="s">
        <v>25</v>
      </c>
      <c r="L4355" s="26">
        <v>4.0</v>
      </c>
      <c r="M4355" s="26">
        <v>2.0</v>
      </c>
      <c r="N4355" s="26">
        <v>0.0</v>
      </c>
      <c r="O4355" s="26">
        <v>0.0</v>
      </c>
      <c r="P4355" s="30"/>
      <c r="Q4355" s="35">
        <v>150.0</v>
      </c>
      <c r="R4355" s="32">
        <v>44581.0</v>
      </c>
      <c r="S4355" s="32">
        <v>41462.0</v>
      </c>
      <c r="T4355" s="29"/>
      <c r="U4355" s="33"/>
      <c r="V4355" s="1"/>
    </row>
    <row r="4356" ht="24.0" customHeight="1">
      <c r="A4356" s="1"/>
      <c r="B4356" s="24" t="str">
        <f>HYPERLINK("https://www.compass.com/listing/226-east-2nd-street-unit-2b-manhattan-ny-10009/967570915951506913/view?agent_id=610d3f3370540700019b0833","226 East 2nd Street, Unit 2B")</f>
        <v>226 East 2nd Street, Unit 2B</v>
      </c>
      <c r="C4356" s="25" t="s">
        <v>370</v>
      </c>
      <c r="D4356" s="26" t="s">
        <v>23</v>
      </c>
      <c r="E4356" s="27" t="str">
        <f>HYPERLINK("https://www.compass.com/building/226-e-2nd-st-manhattan-ny-10009/292791996853013269/","226 E 2nd St")</f>
        <v>226 E 2nd St</v>
      </c>
      <c r="F4356" s="25" t="s">
        <v>24</v>
      </c>
      <c r="G4356" s="28">
        <v>869000.0</v>
      </c>
      <c r="H4356" s="29"/>
      <c r="I4356" s="28">
        <v>1273.0</v>
      </c>
      <c r="J4356" s="29"/>
      <c r="K4356" s="25" t="s">
        <v>25</v>
      </c>
      <c r="L4356" s="26">
        <v>4.0</v>
      </c>
      <c r="M4356" s="26">
        <v>2.0</v>
      </c>
      <c r="N4356" s="26">
        <v>1.0</v>
      </c>
      <c r="O4356" s="26">
        <v>0.0</v>
      </c>
      <c r="P4356" s="30"/>
      <c r="Q4356" s="35">
        <v>152.0</v>
      </c>
      <c r="R4356" s="32">
        <v>45636.0</v>
      </c>
      <c r="S4356" s="32">
        <v>44586.0</v>
      </c>
      <c r="T4356" s="29"/>
      <c r="U4356" s="33"/>
      <c r="V4356" s="1"/>
    </row>
    <row r="4357" ht="24.0" customHeight="1">
      <c r="A4357" s="1"/>
      <c r="B4357" s="24" t="str">
        <f>HYPERLINK("https://www.compass.com/listing/241-east-7th-street-unit-5a-manhattan-ny-10009/1669615365770160745/view?agent_id=610d3f3370540700019b0833","241 East 7th Street, Unit 5A")</f>
        <v>241 East 7th Street, Unit 5A</v>
      </c>
      <c r="C4357" s="25" t="s">
        <v>364</v>
      </c>
      <c r="D4357" s="26" t="s">
        <v>23</v>
      </c>
      <c r="E4357" s="27" t="str">
        <f>HYPERLINK("https://www.compass.com/building/241-e-7th-st-manhattan-ny-10009/281898986770542213/","241 E 7th St")</f>
        <v>241 E 7th St</v>
      </c>
      <c r="F4357" s="25" t="s">
        <v>24</v>
      </c>
      <c r="G4357" s="28">
        <v>935000.0</v>
      </c>
      <c r="H4357" s="29"/>
      <c r="I4357" s="28">
        <v>1200.0</v>
      </c>
      <c r="J4357" s="28">
        <v>0.0</v>
      </c>
      <c r="K4357" s="25" t="s">
        <v>25</v>
      </c>
      <c r="L4357" s="26">
        <v>5.0</v>
      </c>
      <c r="M4357" s="26">
        <v>2.0</v>
      </c>
      <c r="N4357" s="26">
        <v>1.0</v>
      </c>
      <c r="O4357" s="26">
        <v>0.0</v>
      </c>
      <c r="P4357" s="30"/>
      <c r="Q4357" s="35">
        <v>93.0</v>
      </c>
      <c r="R4357" s="32">
        <v>45649.0</v>
      </c>
      <c r="S4357" s="32">
        <v>45555.0</v>
      </c>
      <c r="T4357" s="29"/>
      <c r="U4357" s="33"/>
      <c r="V4357" s="1"/>
    </row>
    <row r="4358" ht="24.0" customHeight="1">
      <c r="A4358" s="1"/>
      <c r="B4358" s="24" t="str">
        <f>HYPERLINK("https://www.compass.com/listing/407-east-12th-street-unit-3rs-manhattan-ny-10009/4852270711592453809/view?agent_id=610d3f3370540700019b0833","407 East 12th Street, Unit 3RS")</f>
        <v>407 East 12th Street, Unit 3RS</v>
      </c>
      <c r="C4358" s="25" t="s">
        <v>370</v>
      </c>
      <c r="D4358" s="26" t="s">
        <v>23</v>
      </c>
      <c r="E4358" s="27" t="str">
        <f>HYPERLINK("https://www.compass.com/building/407-e-12th-st-manhattan-ny-10009/281899901934121749/","407 E 12th St")</f>
        <v>407 E 12th St</v>
      </c>
      <c r="F4358" s="25" t="s">
        <v>24</v>
      </c>
      <c r="G4358" s="28">
        <v>1795000.0</v>
      </c>
      <c r="H4358" s="28">
        <v>1598.0</v>
      </c>
      <c r="I4358" s="28">
        <v>1477.0</v>
      </c>
      <c r="J4358" s="28">
        <v>8148.0</v>
      </c>
      <c r="K4358" s="25" t="s">
        <v>28</v>
      </c>
      <c r="L4358" s="26">
        <v>4.0</v>
      </c>
      <c r="M4358" s="26">
        <v>2.0</v>
      </c>
      <c r="N4358" s="26">
        <v>0.0</v>
      </c>
      <c r="O4358" s="26">
        <v>0.0</v>
      </c>
      <c r="P4358" s="34">
        <v>1123.0</v>
      </c>
      <c r="Q4358" s="35">
        <v>63.0</v>
      </c>
      <c r="R4358" s="32">
        <v>45636.0</v>
      </c>
      <c r="S4358" s="32">
        <v>42136.0</v>
      </c>
      <c r="T4358" s="29"/>
      <c r="U4358" s="33"/>
      <c r="V4358" s="1"/>
    </row>
    <row r="4359" ht="24.0" customHeight="1">
      <c r="A4359" s="1"/>
      <c r="B4359" s="24" t="str">
        <f>HYPERLINK("https://www.compass.com/listing/265-east-7th-street-unit-no-1-manhattan-ny-10009/1838974235536950825/view?agent_id=610d3f3370540700019b0833","265 East 7th Street, Unit NO 1")</f>
        <v>265 East 7th Street, Unit NO 1</v>
      </c>
      <c r="C4359" s="25" t="s">
        <v>370</v>
      </c>
      <c r="D4359" s="26" t="s">
        <v>23</v>
      </c>
      <c r="E4359" s="27" t="str">
        <f>HYPERLINK("https://www.compass.com/building/265-e-7th-st-manhattan-ny-10009/281899164156047221/","265 E 7th St")</f>
        <v>265 E 7th St</v>
      </c>
      <c r="F4359" s="25" t="s">
        <v>24</v>
      </c>
      <c r="G4359" s="28">
        <v>1175000.0</v>
      </c>
      <c r="H4359" s="29"/>
      <c r="I4359" s="28">
        <v>1732.0</v>
      </c>
      <c r="J4359" s="29"/>
      <c r="K4359" s="25" t="s">
        <v>25</v>
      </c>
      <c r="L4359" s="26">
        <v>5.0</v>
      </c>
      <c r="M4359" s="26">
        <v>2.0</v>
      </c>
      <c r="N4359" s="26">
        <v>1.0</v>
      </c>
      <c r="O4359" s="30"/>
      <c r="P4359" s="30"/>
      <c r="Q4359" s="35">
        <v>61.0</v>
      </c>
      <c r="R4359" s="32">
        <v>45612.0</v>
      </c>
      <c r="S4359" s="32">
        <v>44451.0</v>
      </c>
      <c r="T4359" s="29"/>
      <c r="U4359" s="33"/>
      <c r="V4359" s="1"/>
    </row>
    <row r="4360" ht="24.0" customHeight="1">
      <c r="A4360" s="1"/>
      <c r="B4360" s="24" t="str">
        <f>HYPERLINK("https://www.compass.com/listing/241-east-7th-street-unit-5a-manhattan-ny-10009/1407647566157706953/view?agent_id=610d3f3370540700019b0833","241 East 7th Street, Unit 5A")</f>
        <v>241 East 7th Street, Unit 5A</v>
      </c>
      <c r="C4360" s="25" t="s">
        <v>364</v>
      </c>
      <c r="D4360" s="26" t="s">
        <v>23</v>
      </c>
      <c r="E4360" s="27" t="str">
        <f>HYPERLINK("https://www.compass.com/building/241-e-7th-st-manhattan-ny-10009/281898986770542213/","241 E 7th St")</f>
        <v>241 E 7th St</v>
      </c>
      <c r="F4360" s="25" t="s">
        <v>24</v>
      </c>
      <c r="G4360" s="28">
        <v>925000.0</v>
      </c>
      <c r="H4360" s="29"/>
      <c r="I4360" s="28">
        <v>1200.0</v>
      </c>
      <c r="J4360" s="28">
        <v>0.0</v>
      </c>
      <c r="K4360" s="25" t="s">
        <v>25</v>
      </c>
      <c r="L4360" s="26">
        <v>4.0</v>
      </c>
      <c r="M4360" s="26">
        <v>2.0</v>
      </c>
      <c r="N4360" s="26">
        <v>1.0</v>
      </c>
      <c r="O4360" s="26">
        <v>0.0</v>
      </c>
      <c r="P4360" s="30"/>
      <c r="Q4360" s="35">
        <v>207.0</v>
      </c>
      <c r="R4360" s="32">
        <v>45636.0</v>
      </c>
      <c r="S4360" s="32">
        <v>45194.0</v>
      </c>
      <c r="T4360" s="29"/>
      <c r="U4360" s="33"/>
      <c r="V4360" s="1"/>
    </row>
    <row r="4361" ht="24.0" customHeight="1">
      <c r="A4361" s="1"/>
      <c r="B4361" s="24" t="str">
        <f>HYPERLINK("https://www.compass.com/listing/30-5th-avenue-unit-7k-manhattan-ny-10011/1838984517822930721/view?agent_id=610d3f3370540700019b0833","30 5th Avenue, Unit 7K")</f>
        <v>30 5th Avenue, Unit 7K</v>
      </c>
      <c r="C4361" s="25" t="s">
        <v>364</v>
      </c>
      <c r="D4361" s="26" t="s">
        <v>23</v>
      </c>
      <c r="E4361" s="27" t="str">
        <f>HYPERLINK("https://www.compass.com/building/30-5th-ave-manhattan-ny-10011/294847352439140789/","30 5th Ave")</f>
        <v>30 5th Ave</v>
      </c>
      <c r="F4361" s="25" t="s">
        <v>43</v>
      </c>
      <c r="G4361" s="28">
        <v>2400000.0</v>
      </c>
      <c r="H4361" s="29"/>
      <c r="I4361" s="28">
        <v>2267.0</v>
      </c>
      <c r="J4361" s="29"/>
      <c r="K4361" s="25" t="s">
        <v>25</v>
      </c>
      <c r="L4361" s="26">
        <v>5.0</v>
      </c>
      <c r="M4361" s="26">
        <v>2.0</v>
      </c>
      <c r="N4361" s="26">
        <v>0.0</v>
      </c>
      <c r="O4361" s="26">
        <v>0.0</v>
      </c>
      <c r="P4361" s="30"/>
      <c r="Q4361" s="35">
        <v>453.0</v>
      </c>
      <c r="R4361" s="32">
        <v>45636.0</v>
      </c>
      <c r="S4361" s="32">
        <v>42592.0</v>
      </c>
      <c r="T4361" s="29"/>
      <c r="U4361" s="33"/>
      <c r="V4361" s="1"/>
    </row>
    <row r="4362" ht="24.0" customHeight="1">
      <c r="A4362" s="1"/>
      <c r="B4362" s="24" t="str">
        <f>HYPERLINK("https://www.compass.com/listing/25-charles-street-unit-2b-manhattan-ny-10014/368519110866278449/view?agent_id=610d3f3370540700019b0833","25 Charles Street, Unit 2B")</f>
        <v>25 Charles Street, Unit 2B</v>
      </c>
      <c r="C4362" s="25" t="s">
        <v>364</v>
      </c>
      <c r="D4362" s="26" t="s">
        <v>23</v>
      </c>
      <c r="E4362" s="27" t="str">
        <f t="shared" ref="E4362:E4363" si="187">HYPERLINK("https://www.compass.com/building/25-charles-st-manhattan-ny-10014/281931537656625045/","25 Charles St")</f>
        <v>25 Charles St</v>
      </c>
      <c r="F4362" s="25" t="s">
        <v>26</v>
      </c>
      <c r="G4362" s="28">
        <v>1795000.0</v>
      </c>
      <c r="H4362" s="29"/>
      <c r="I4362" s="28">
        <v>1608.0</v>
      </c>
      <c r="J4362" s="29"/>
      <c r="K4362" s="25" t="s">
        <v>25</v>
      </c>
      <c r="L4362" s="26">
        <v>5.0</v>
      </c>
      <c r="M4362" s="26">
        <v>2.0</v>
      </c>
      <c r="N4362" s="26">
        <v>1.0</v>
      </c>
      <c r="O4362" s="26">
        <v>0.0</v>
      </c>
      <c r="P4362" s="30"/>
      <c r="Q4362" s="35">
        <v>270.0</v>
      </c>
      <c r="R4362" s="32">
        <v>45636.0</v>
      </c>
      <c r="S4362" s="32">
        <v>43758.0</v>
      </c>
      <c r="T4362" s="29"/>
      <c r="U4362" s="33"/>
      <c r="V4362" s="1"/>
    </row>
    <row r="4363" ht="24.0" customHeight="1">
      <c r="A4363" s="1"/>
      <c r="B4363" s="24" t="str">
        <f>HYPERLINK("https://www.compass.com/listing/25-charles-street-unit-2b-manhattan-ny-10014/923181693837941761/view?agent_id=610d3f3370540700019b0833","25 Charles Street, Unit 2B")</f>
        <v>25 Charles Street, Unit 2B</v>
      </c>
      <c r="C4363" s="25" t="s">
        <v>364</v>
      </c>
      <c r="D4363" s="26" t="s">
        <v>23</v>
      </c>
      <c r="E4363" s="27" t="str">
        <f t="shared" si="187"/>
        <v>25 Charles St</v>
      </c>
      <c r="F4363" s="25" t="s">
        <v>26</v>
      </c>
      <c r="G4363" s="28">
        <v>1745000.0</v>
      </c>
      <c r="H4363" s="29"/>
      <c r="I4363" s="28">
        <v>1608.0</v>
      </c>
      <c r="J4363" s="29"/>
      <c r="K4363" s="25" t="s">
        <v>25</v>
      </c>
      <c r="L4363" s="26">
        <v>5.0</v>
      </c>
      <c r="M4363" s="26">
        <v>2.0</v>
      </c>
      <c r="N4363" s="26">
        <v>1.0</v>
      </c>
      <c r="O4363" s="26">
        <v>0.0</v>
      </c>
      <c r="P4363" s="30"/>
      <c r="Q4363" s="35">
        <v>176.0</v>
      </c>
      <c r="R4363" s="32">
        <v>44581.0</v>
      </c>
      <c r="S4363" s="32">
        <v>44031.0</v>
      </c>
      <c r="T4363" s="29"/>
      <c r="U4363" s="33"/>
      <c r="V4363" s="1"/>
    </row>
    <row r="4364" ht="24.0" customHeight="1">
      <c r="A4364" s="1"/>
      <c r="B4364" s="24" t="str">
        <f>HYPERLINK("https://www.compass.com/listing/63-east-9th-street-unit-5h-manhattan-ny-10003/29364950099038481/view?agent_id=610d3f3370540700019b0833","63 East 9th Street, Unit 5H")</f>
        <v>63 East 9th Street, Unit 5H</v>
      </c>
      <c r="C4364" s="25" t="s">
        <v>364</v>
      </c>
      <c r="D4364" s="26" t="s">
        <v>23</v>
      </c>
      <c r="E4364" s="27" t="str">
        <f>HYPERLINK("https://www.compass.com/building/the-randall-house-manhattan-ny/281894363078860085/","The Randall House")</f>
        <v>The Randall House</v>
      </c>
      <c r="F4364" s="25" t="s">
        <v>43</v>
      </c>
      <c r="G4364" s="28">
        <v>2195000.0</v>
      </c>
      <c r="H4364" s="29"/>
      <c r="I4364" s="28">
        <v>2006.0</v>
      </c>
      <c r="J4364" s="29"/>
      <c r="K4364" s="25" t="s">
        <v>49</v>
      </c>
      <c r="L4364" s="26">
        <v>4.0</v>
      </c>
      <c r="M4364" s="26">
        <v>2.0</v>
      </c>
      <c r="N4364" s="26">
        <v>0.0</v>
      </c>
      <c r="O4364" s="26">
        <v>0.0</v>
      </c>
      <c r="P4364" s="30"/>
      <c r="Q4364" s="35">
        <v>63.0</v>
      </c>
      <c r="R4364" s="32">
        <v>45636.0</v>
      </c>
      <c r="S4364" s="32">
        <v>42684.0</v>
      </c>
      <c r="T4364" s="29"/>
      <c r="U4364" s="33"/>
      <c r="V4364" s="1"/>
    </row>
    <row r="4365" ht="24.0" customHeight="1">
      <c r="A4365" s="1"/>
      <c r="B4365" s="24" t="str">
        <f>HYPERLINK("https://www.compass.com/listing/60-east-8th-street-unit-17b-manhattan-ny-10003/919638475750152289/view?agent_id=610d3f3370540700019b0833","60 East 8th Street, Unit 17B")</f>
        <v>60 East 8th Street, Unit 17B</v>
      </c>
      <c r="C4365" s="25" t="s">
        <v>364</v>
      </c>
      <c r="D4365" s="26" t="s">
        <v>23</v>
      </c>
      <c r="E4365" s="27" t="str">
        <f>HYPERLINK("https://www.compass.com/building/georgetown-plaza-manhattan-ny/281894210716574965/","Georgetown Plaza")</f>
        <v>Georgetown Plaza</v>
      </c>
      <c r="F4365" s="25" t="s">
        <v>43</v>
      </c>
      <c r="G4365" s="28">
        <v>2295000.0</v>
      </c>
      <c r="H4365" s="28">
        <v>2086.0</v>
      </c>
      <c r="I4365" s="28">
        <v>2103.0</v>
      </c>
      <c r="J4365" s="29"/>
      <c r="K4365" s="25" t="s">
        <v>49</v>
      </c>
      <c r="L4365" s="26">
        <v>4.0</v>
      </c>
      <c r="M4365" s="26">
        <v>2.0</v>
      </c>
      <c r="N4365" s="26">
        <v>1.0</v>
      </c>
      <c r="O4365" s="26">
        <v>0.0</v>
      </c>
      <c r="P4365" s="34">
        <v>1100.0</v>
      </c>
      <c r="Q4365" s="35">
        <v>26.0</v>
      </c>
      <c r="R4365" s="32">
        <v>45636.0</v>
      </c>
      <c r="S4365" s="32">
        <v>42253.0</v>
      </c>
      <c r="T4365" s="29"/>
      <c r="U4365" s="33"/>
      <c r="V4365" s="1"/>
    </row>
    <row r="4366" ht="24.0" customHeight="1">
      <c r="A4366" s="1"/>
      <c r="B4366" s="24" t="str">
        <f>HYPERLINK("https://www.compass.com/listing/217-east-7th-street-unit-pha-manhattan-ny-10009/586495768515930361/view?agent_id=610d3f3370540700019b0833","217 East 7th Street, Unit PHA")</f>
        <v>217 East 7th Street, Unit PHA</v>
      </c>
      <c r="C4366" s="25" t="s">
        <v>370</v>
      </c>
      <c r="D4366" s="26" t="s">
        <v>23</v>
      </c>
      <c r="E4366" s="27" t="str">
        <f>HYPERLINK("https://www.compass.com/building/217-e-7th-st-manhattan-ny-10009/281898725415071605/","217 E 7th St")</f>
        <v>217 E 7th St</v>
      </c>
      <c r="F4366" s="25" t="s">
        <v>24</v>
      </c>
      <c r="G4366" s="28">
        <v>1395000.0</v>
      </c>
      <c r="H4366" s="28">
        <v>1282.0</v>
      </c>
      <c r="I4366" s="28">
        <v>2804.0</v>
      </c>
      <c r="J4366" s="28">
        <v>19524.0</v>
      </c>
      <c r="K4366" s="25" t="s">
        <v>28</v>
      </c>
      <c r="L4366" s="26">
        <v>5.0</v>
      </c>
      <c r="M4366" s="26">
        <v>2.0</v>
      </c>
      <c r="N4366" s="26">
        <v>1.0</v>
      </c>
      <c r="O4366" s="26">
        <v>0.0</v>
      </c>
      <c r="P4366" s="34">
        <v>1088.0</v>
      </c>
      <c r="Q4366" s="35">
        <v>119.0</v>
      </c>
      <c r="R4366" s="32">
        <v>44581.0</v>
      </c>
      <c r="S4366" s="32">
        <v>44059.0</v>
      </c>
      <c r="T4366" s="29"/>
      <c r="U4366" s="33"/>
      <c r="V4366" s="1"/>
    </row>
    <row r="4367" ht="24.0" customHeight="1">
      <c r="A4367" s="1"/>
      <c r="B4367" s="24" t="str">
        <f>HYPERLINK("https://www.compass.com/listing/70-east-10th-street-unit-15b-manhattan-ny-10003/4852276507281727201/view?agent_id=610d3f3370540700019b0833","70 East 10th Street, Unit 15B")</f>
        <v>70 East 10th Street, Unit 15B</v>
      </c>
      <c r="C4367" s="25" t="s">
        <v>364</v>
      </c>
      <c r="D4367" s="26" t="s">
        <v>23</v>
      </c>
      <c r="E4367" s="27" t="str">
        <f>HYPERLINK("https://www.compass.com/building/stewart-house-manhattan-ny/282058667388337333/","Stewart House")</f>
        <v>Stewart House</v>
      </c>
      <c r="F4367" s="25" t="s">
        <v>43</v>
      </c>
      <c r="G4367" s="28">
        <v>1695000.0</v>
      </c>
      <c r="H4367" s="29"/>
      <c r="I4367" s="28">
        <v>2029.0</v>
      </c>
      <c r="J4367" s="29"/>
      <c r="K4367" s="25" t="s">
        <v>25</v>
      </c>
      <c r="L4367" s="26">
        <v>4.0</v>
      </c>
      <c r="M4367" s="26">
        <v>2.0</v>
      </c>
      <c r="N4367" s="26">
        <v>0.0</v>
      </c>
      <c r="O4367" s="26">
        <v>0.0</v>
      </c>
      <c r="P4367" s="30"/>
      <c r="Q4367" s="35">
        <v>1764.0</v>
      </c>
      <c r="R4367" s="32">
        <v>44581.0</v>
      </c>
      <c r="S4367" s="32">
        <v>41172.0</v>
      </c>
      <c r="T4367" s="29"/>
      <c r="U4367" s="33"/>
      <c r="V4367" s="1"/>
    </row>
    <row r="4368" ht="24.0" customHeight="1">
      <c r="A4368" s="1"/>
      <c r="B4368" s="24" t="str">
        <f>HYPERLINK("https://www.compass.com/listing/59-4th-avenue-unit-2a-manhattan-ny-10003/50869202550079409/view?agent_id=610d3f3370540700019b0833","59 4th Avenue, Unit 2A")</f>
        <v>59 4th Avenue, Unit 2A</v>
      </c>
      <c r="C4368" s="25" t="s">
        <v>370</v>
      </c>
      <c r="D4368" s="26" t="s">
        <v>23</v>
      </c>
      <c r="E4368" s="27" t="str">
        <f>HYPERLINK("https://www.compass.com/building/59-4th-ave-manhattan-ny-10003/281894111689057429/","59 4th Ave")</f>
        <v>59 4th Ave</v>
      </c>
      <c r="F4368" s="25" t="s">
        <v>43</v>
      </c>
      <c r="G4368" s="28">
        <v>2400000.0</v>
      </c>
      <c r="H4368" s="28">
        <v>1263.0</v>
      </c>
      <c r="I4368" s="28">
        <v>2776.0</v>
      </c>
      <c r="J4368" s="29"/>
      <c r="K4368" s="25" t="s">
        <v>25</v>
      </c>
      <c r="L4368" s="26">
        <v>4.0</v>
      </c>
      <c r="M4368" s="26">
        <v>2.0</v>
      </c>
      <c r="N4368" s="26">
        <v>0.0</v>
      </c>
      <c r="O4368" s="26">
        <v>0.0</v>
      </c>
      <c r="P4368" s="34">
        <v>1900.0</v>
      </c>
      <c r="Q4368" s="35">
        <v>418.0</v>
      </c>
      <c r="R4368" s="32">
        <v>45636.0</v>
      </c>
      <c r="S4368" s="32">
        <v>41797.0</v>
      </c>
      <c r="T4368" s="29"/>
      <c r="U4368" s="33"/>
      <c r="V4368" s="1"/>
    </row>
    <row r="4369" ht="24.0" customHeight="1">
      <c r="A4369" s="1"/>
      <c r="B4369" s="24" t="str">
        <f>HYPERLINK("https://www.compass.com/listing/14-horatio-street-unit-17e-manhattan-ny-10014/920044768523472449/view?agent_id=610d3f3370540700019b0833","14 Horatio Street, Unit 17E")</f>
        <v>14 Horatio Street, Unit 17E</v>
      </c>
      <c r="C4369" s="25" t="s">
        <v>364</v>
      </c>
      <c r="D4369" s="26" t="s">
        <v>23</v>
      </c>
      <c r="E4369" s="27" t="str">
        <f>HYPERLINK("https://www.compass.com/building/14-horatio-st-manhattan-ny-10014/292834290545254549/","14 Horatio St")</f>
        <v>14 Horatio St</v>
      </c>
      <c r="F4369" s="25" t="s">
        <v>26</v>
      </c>
      <c r="G4369" s="28">
        <v>3680000.0</v>
      </c>
      <c r="H4369" s="29"/>
      <c r="I4369" s="28">
        <v>2602.0</v>
      </c>
      <c r="J4369" s="29"/>
      <c r="K4369" s="25" t="s">
        <v>25</v>
      </c>
      <c r="L4369" s="26">
        <v>5.0</v>
      </c>
      <c r="M4369" s="26">
        <v>2.0</v>
      </c>
      <c r="N4369" s="26">
        <v>0.0</v>
      </c>
      <c r="O4369" s="26">
        <v>0.0</v>
      </c>
      <c r="P4369" s="30"/>
      <c r="Q4369" s="35">
        <v>116.0</v>
      </c>
      <c r="R4369" s="32">
        <v>45636.0</v>
      </c>
      <c r="S4369" s="32">
        <v>41522.0</v>
      </c>
      <c r="T4369" s="29"/>
      <c r="U4369" s="33"/>
      <c r="V4369" s="1"/>
    </row>
    <row r="4370" ht="24.0" customHeight="1">
      <c r="A4370" s="1"/>
      <c r="B4370" s="24" t="str">
        <f>HYPERLINK("https://www.compass.com/listing/223-225-east-3rd-street-unit-2d-manhattan-ny-10009/502221808590768697/view?agent_id=610d3f3370540700019b0833","223-225 East 3rd Street, Unit 2D")</f>
        <v>223-225 East 3rd Street, Unit 2D</v>
      </c>
      <c r="C4370" s="25" t="s">
        <v>364</v>
      </c>
      <c r="D4370" s="26" t="s">
        <v>23</v>
      </c>
      <c r="E4370" s="27" t="str">
        <f>HYPERLINK("https://www.compass.com/building/223-225-e-3rd-st-manhattan-ny-10009/436388890916996349/","223-225 E 3rd St")</f>
        <v>223-225 E 3rd St</v>
      </c>
      <c r="F4370" s="25" t="s">
        <v>24</v>
      </c>
      <c r="G4370" s="28">
        <v>735000.0</v>
      </c>
      <c r="H4370" s="29"/>
      <c r="I4370" s="28">
        <v>654.0</v>
      </c>
      <c r="J4370" s="29"/>
      <c r="K4370" s="25" t="s">
        <v>25</v>
      </c>
      <c r="L4370" s="26">
        <v>4.0</v>
      </c>
      <c r="M4370" s="26">
        <v>2.0</v>
      </c>
      <c r="N4370" s="30"/>
      <c r="O4370" s="30"/>
      <c r="P4370" s="30"/>
      <c r="Q4370" s="35">
        <v>77.0</v>
      </c>
      <c r="R4370" s="32">
        <v>41640.0</v>
      </c>
      <c r="S4370" s="32">
        <v>42492.0</v>
      </c>
      <c r="T4370" s="29"/>
      <c r="U4370" s="33"/>
      <c r="V4370" s="1"/>
    </row>
    <row r="4371" ht="24.0" customHeight="1">
      <c r="A4371" s="1"/>
      <c r="B4371" s="24" t="str">
        <f>HYPERLINK("https://www.compass.com/listing/222-east-17th-street-unit-ph-manhattan-ny-10003/119060035409027153/view?agent_id=610d3f3370540700019b0833","222 East 17th Street, Unit PH")</f>
        <v>222 East 17th Street, Unit PH</v>
      </c>
      <c r="C4371" s="25" t="s">
        <v>364</v>
      </c>
      <c r="D4371" s="26" t="s">
        <v>23</v>
      </c>
      <c r="E4371" s="27" t="str">
        <f>HYPERLINK("https://www.compass.com/building/222-e-17th-st-manhattan-ny-10003/281891062111276661/","222 E 17th St")</f>
        <v>222 E 17th St</v>
      </c>
      <c r="F4371" s="25" t="s">
        <v>48</v>
      </c>
      <c r="G4371" s="28">
        <v>1725000.0</v>
      </c>
      <c r="H4371" s="28">
        <v>1725.0</v>
      </c>
      <c r="I4371" s="28">
        <v>1745.0</v>
      </c>
      <c r="J4371" s="29"/>
      <c r="K4371" s="25" t="s">
        <v>25</v>
      </c>
      <c r="L4371" s="26">
        <v>4.0</v>
      </c>
      <c r="M4371" s="26">
        <v>2.0</v>
      </c>
      <c r="N4371" s="26">
        <v>1.0</v>
      </c>
      <c r="O4371" s="26">
        <v>0.0</v>
      </c>
      <c r="P4371" s="34">
        <v>1000.0</v>
      </c>
      <c r="Q4371" s="35">
        <v>227.0</v>
      </c>
      <c r="R4371" s="32">
        <v>45636.0</v>
      </c>
      <c r="S4371" s="32">
        <v>43416.0</v>
      </c>
      <c r="T4371" s="29"/>
      <c r="U4371" s="33"/>
      <c r="V4371" s="1"/>
    </row>
    <row r="4372" ht="24.0" customHeight="1">
      <c r="A4372" s="1"/>
      <c r="B4372" s="24" t="str">
        <f>HYPERLINK("https://www.compass.com/listing/79-west-12th-street-unit-5f-manhattan-ny-10011/1555485579666461561/view?agent_id=610d3f3370540700019b0833","79 West 12th Street, Unit 5F")</f>
        <v>79 West 12th Street, Unit 5F</v>
      </c>
      <c r="C4372" s="25" t="s">
        <v>364</v>
      </c>
      <c r="D4372" s="26" t="s">
        <v>23</v>
      </c>
      <c r="E4372" s="27" t="str">
        <f>HYPERLINK("https://www.compass.com/building/79-w-12th-st-manhattan-ny-10011/294841895029173781/","79 W 12th St")</f>
        <v>79 W 12th St</v>
      </c>
      <c r="F4372" s="25" t="s">
        <v>43</v>
      </c>
      <c r="G4372" s="28">
        <v>1200000.0</v>
      </c>
      <c r="H4372" s="29"/>
      <c r="I4372" s="28">
        <v>2194.0</v>
      </c>
      <c r="J4372" s="28">
        <v>0.0</v>
      </c>
      <c r="K4372" s="25" t="s">
        <v>25</v>
      </c>
      <c r="L4372" s="26">
        <v>4.0</v>
      </c>
      <c r="M4372" s="26">
        <v>2.0</v>
      </c>
      <c r="N4372" s="26">
        <v>1.0</v>
      </c>
      <c r="O4372" s="26">
        <v>0.0</v>
      </c>
      <c r="P4372" s="30"/>
      <c r="Q4372" s="35">
        <v>141.0</v>
      </c>
      <c r="R4372" s="32">
        <v>45636.0</v>
      </c>
      <c r="S4372" s="32">
        <v>45397.0</v>
      </c>
      <c r="T4372" s="29"/>
      <c r="U4372" s="33"/>
      <c r="V4372" s="1"/>
    </row>
    <row r="4373" ht="24.0" customHeight="1">
      <c r="A4373" s="1"/>
      <c r="B4373" s="24" t="str">
        <f>HYPERLINK("https://www.compass.com/listing/35-west-9th-street-unit-9c-manhattan-ny-10011/267397102995328273/view?agent_id=610d3f3370540700019b0833","35 West 9th Street, Unit 9C")</f>
        <v>35 West 9th Street, Unit 9C</v>
      </c>
      <c r="C4373" s="25" t="s">
        <v>364</v>
      </c>
      <c r="D4373" s="26" t="s">
        <v>23</v>
      </c>
      <c r="E4373" s="27" t="str">
        <f>HYPERLINK("https://www.compass.com/building/35-w-9th-st-manhattan-ny-10011/281909497679602357/","35 W 9th St")</f>
        <v>35 W 9th St</v>
      </c>
      <c r="F4373" s="25" t="s">
        <v>43</v>
      </c>
      <c r="G4373" s="28">
        <v>1700000.0</v>
      </c>
      <c r="H4373" s="29"/>
      <c r="I4373" s="28">
        <v>2929.0</v>
      </c>
      <c r="J4373" s="28">
        <v>0.0</v>
      </c>
      <c r="K4373" s="25" t="s">
        <v>25</v>
      </c>
      <c r="L4373" s="26">
        <v>4.0</v>
      </c>
      <c r="M4373" s="26">
        <v>2.0</v>
      </c>
      <c r="N4373" s="26">
        <v>1.0</v>
      </c>
      <c r="O4373" s="30"/>
      <c r="P4373" s="30"/>
      <c r="Q4373" s="35">
        <v>0.0</v>
      </c>
      <c r="R4373" s="32">
        <v>43623.0</v>
      </c>
      <c r="S4373" s="32">
        <v>43620.0</v>
      </c>
      <c r="T4373" s="29"/>
      <c r="U4373" s="33"/>
      <c r="V4373" s="1"/>
    </row>
    <row r="4374" ht="24.0" customHeight="1">
      <c r="A4374" s="1"/>
      <c r="B4374" s="24" t="str">
        <f>HYPERLINK("https://www.compass.com/listing/60-west-13th-street-unit-4c-manhattan-ny-10011/21020958873635009/view?agent_id=610d3f3370540700019b0833","60 West 13th Street, Unit 4C")</f>
        <v>60 West 13th Street, Unit 4C</v>
      </c>
      <c r="C4374" s="25" t="s">
        <v>370</v>
      </c>
      <c r="D4374" s="26" t="s">
        <v>23</v>
      </c>
      <c r="E4374" s="27" t="str">
        <f>HYPERLINK("https://www.compass.com/building/village-house-condominium-manhattan-ny/281911923413378437/","Village House Condominium")</f>
        <v>Village House Condominium</v>
      </c>
      <c r="F4374" s="25" t="s">
        <v>43</v>
      </c>
      <c r="G4374" s="28">
        <v>1225000.0</v>
      </c>
      <c r="H4374" s="29"/>
      <c r="I4374" s="28">
        <v>1749.0</v>
      </c>
      <c r="J4374" s="28">
        <v>12228.0</v>
      </c>
      <c r="K4374" s="25" t="s">
        <v>28</v>
      </c>
      <c r="L4374" s="26">
        <v>4.0</v>
      </c>
      <c r="M4374" s="26">
        <v>2.0</v>
      </c>
      <c r="N4374" s="26">
        <v>1.0</v>
      </c>
      <c r="O4374" s="26">
        <v>0.0</v>
      </c>
      <c r="P4374" s="30"/>
      <c r="Q4374" s="35">
        <v>26.0</v>
      </c>
      <c r="R4374" s="32">
        <v>45636.0</v>
      </c>
      <c r="S4374" s="32">
        <v>43887.0</v>
      </c>
      <c r="T4374" s="29"/>
      <c r="U4374" s="33"/>
      <c r="V4374" s="1"/>
    </row>
    <row r="4375" ht="24.0" customHeight="1">
      <c r="A4375" s="1"/>
      <c r="B4375" s="24" t="str">
        <f>HYPERLINK("https://www.compass.com/listing/59-4th-avenue-unit-7a-manhattan-ny-10003/50858753506995889/view?agent_id=610d3f3370540700019b0833","59 4th Avenue, Unit 7A")</f>
        <v>59 4th Avenue, Unit 7A</v>
      </c>
      <c r="C4375" s="25" t="s">
        <v>370</v>
      </c>
      <c r="D4375" s="26" t="s">
        <v>23</v>
      </c>
      <c r="E4375" s="27" t="str">
        <f>HYPERLINK("https://www.compass.com/building/59-4th-ave-manhattan-ny-10003/281894111689057429/","59 4th Ave")</f>
        <v>59 4th Ave</v>
      </c>
      <c r="F4375" s="25" t="s">
        <v>43</v>
      </c>
      <c r="G4375" s="28">
        <v>2295000.0</v>
      </c>
      <c r="H4375" s="28">
        <v>1350.0</v>
      </c>
      <c r="I4375" s="28">
        <v>3040.0</v>
      </c>
      <c r="J4375" s="29"/>
      <c r="K4375" s="25" t="s">
        <v>25</v>
      </c>
      <c r="L4375" s="26">
        <v>4.0</v>
      </c>
      <c r="M4375" s="26">
        <v>2.0</v>
      </c>
      <c r="N4375" s="26">
        <v>0.0</v>
      </c>
      <c r="O4375" s="26">
        <v>0.0</v>
      </c>
      <c r="P4375" s="34">
        <v>1700.0</v>
      </c>
      <c r="Q4375" s="35">
        <v>162.0</v>
      </c>
      <c r="R4375" s="32">
        <v>45636.0</v>
      </c>
      <c r="S4375" s="32">
        <v>42178.0</v>
      </c>
      <c r="T4375" s="29"/>
      <c r="U4375" s="33"/>
      <c r="V4375" s="1"/>
    </row>
    <row r="4376" ht="24.0" customHeight="1">
      <c r="A4376" s="1"/>
      <c r="B4376" s="24" t="str">
        <f>HYPERLINK("https://www.compass.com/listing/39-5-washington-square-south-unit-5-pom-manhattan-ny-10012/4703710456659853473/view?agent_id=610d3f3370540700019b0833","39-5 Washington Square S, Unit 5/POM")</f>
        <v>39-5 Washington Square S, Unit 5/POM</v>
      </c>
      <c r="C4376" s="25" t="s">
        <v>364</v>
      </c>
      <c r="D4376" s="26" t="s">
        <v>23</v>
      </c>
      <c r="E4376" s="27" t="str">
        <f>HYPERLINK("https://www.compass.com/building/39-5-washington-square-s-manhattan-ny-10012/567859143744591973/","39-5 Washington Square S")</f>
        <v>39-5 Washington Square S</v>
      </c>
      <c r="F4376" s="25" t="s">
        <v>43</v>
      </c>
      <c r="G4376" s="28">
        <v>2595000.0</v>
      </c>
      <c r="H4376" s="29"/>
      <c r="I4376" s="28">
        <v>1139.0</v>
      </c>
      <c r="J4376" s="29"/>
      <c r="K4376" s="25" t="s">
        <v>25</v>
      </c>
      <c r="L4376" s="26">
        <v>6.0</v>
      </c>
      <c r="M4376" s="26">
        <v>2.0</v>
      </c>
      <c r="N4376" s="30"/>
      <c r="O4376" s="30"/>
      <c r="P4376" s="30"/>
      <c r="Q4376" s="31"/>
      <c r="R4376" s="32">
        <v>42670.0</v>
      </c>
      <c r="S4376" s="33"/>
      <c r="T4376" s="29"/>
      <c r="U4376" s="33"/>
      <c r="V4376" s="1"/>
    </row>
    <row r="4377" ht="24.0" customHeight="1">
      <c r="A4377" s="1"/>
      <c r="B4377" s="24" t="str">
        <f>HYPERLINK("https://www.compass.com/listing/237-west-19th-street-unit-c-manhattan-ny-10011/1838904054067859353/view?agent_id=610d3f3370540700019b0833","237 West 19th Street, Unit C")</f>
        <v>237 West 19th Street, Unit C</v>
      </c>
      <c r="C4377" s="25" t="s">
        <v>364</v>
      </c>
      <c r="D4377" s="26" t="s">
        <v>23</v>
      </c>
      <c r="E4377" s="27" t="str">
        <f>HYPERLINK("https://www.compass.com/building/237-w-19th-st-manhattan-ny-10011/281907554559218149/","237 W 19th St")</f>
        <v>237 W 19th St</v>
      </c>
      <c r="F4377" s="25" t="s">
        <v>27</v>
      </c>
      <c r="G4377" s="28">
        <v>1749000.0</v>
      </c>
      <c r="H4377" s="29"/>
      <c r="I4377" s="28">
        <v>915.0</v>
      </c>
      <c r="J4377" s="28">
        <v>7392.0</v>
      </c>
      <c r="K4377" s="25" t="s">
        <v>28</v>
      </c>
      <c r="L4377" s="26">
        <v>3.0</v>
      </c>
      <c r="M4377" s="26">
        <v>2.0</v>
      </c>
      <c r="N4377" s="26">
        <v>1.0</v>
      </c>
      <c r="O4377" s="26">
        <v>0.0</v>
      </c>
      <c r="P4377" s="30"/>
      <c r="Q4377" s="31"/>
      <c r="R4377" s="32">
        <v>45636.0</v>
      </c>
      <c r="S4377" s="33"/>
      <c r="T4377" s="29"/>
      <c r="U4377" s="33"/>
      <c r="V4377" s="1"/>
    </row>
    <row r="4378" ht="24.0" customHeight="1">
      <c r="A4378" s="1"/>
      <c r="B4378" s="24" t="str">
        <f>HYPERLINK("https://www.compass.com/listing/271-east-7th-street-unit-1a-manhattan-ny-10009/278792838639098385/view?agent_id=610d3f3370540700019b0833","271 East 7th Street, Unit 1A")</f>
        <v>271 East 7th Street, Unit 1A</v>
      </c>
      <c r="C4378" s="25" t="s">
        <v>364</v>
      </c>
      <c r="D4378" s="26" t="s">
        <v>23</v>
      </c>
      <c r="E4378" s="27" t="str">
        <f>HYPERLINK("https://www.compass.com/building/271-e-7th-st-manhattan-ny-10009/281899213548171797/","271 E 7th St")</f>
        <v>271 E 7th St</v>
      </c>
      <c r="F4378" s="25" t="s">
        <v>24</v>
      </c>
      <c r="G4378" s="28">
        <v>845000.0</v>
      </c>
      <c r="H4378" s="28">
        <v>676.0</v>
      </c>
      <c r="I4378" s="28">
        <v>390.0</v>
      </c>
      <c r="J4378" s="29"/>
      <c r="K4378" s="25" t="s">
        <v>25</v>
      </c>
      <c r="L4378" s="26">
        <v>5.0</v>
      </c>
      <c r="M4378" s="26">
        <v>2.0</v>
      </c>
      <c r="N4378" s="30"/>
      <c r="O4378" s="30"/>
      <c r="P4378" s="34">
        <v>1250.0</v>
      </c>
      <c r="Q4378" s="35">
        <v>126.0</v>
      </c>
      <c r="R4378" s="32">
        <v>41640.0</v>
      </c>
      <c r="S4378" s="32">
        <v>41814.0</v>
      </c>
      <c r="T4378" s="29"/>
      <c r="U4378" s="33"/>
      <c r="V4378" s="1"/>
    </row>
    <row r="4379" ht="24.0" customHeight="1">
      <c r="A4379" s="1"/>
      <c r="B4379" s="24" t="str">
        <f>HYPERLINK("https://www.compass.com/listing/544-east-11th-street-unit-4a-manhattan-ny-10009/772513978042526121/view?agent_id=610d3f3370540700019b0833","544 East 11th Street, Unit 4A")</f>
        <v>544 East 11th Street, Unit 4A</v>
      </c>
      <c r="C4379" s="25" t="s">
        <v>364</v>
      </c>
      <c r="D4379" s="26" t="s">
        <v>23</v>
      </c>
      <c r="E4379" s="27" t="str">
        <f>HYPERLINK("https://www.compass.com/building/544-e-11th-st-manhattan-ny-10009/281901022232723685/","544 E 11th St")</f>
        <v>544 E 11th St</v>
      </c>
      <c r="F4379" s="25" t="s">
        <v>24</v>
      </c>
      <c r="G4379" s="28">
        <v>850000.0</v>
      </c>
      <c r="H4379" s="29"/>
      <c r="I4379" s="28">
        <v>611.0</v>
      </c>
      <c r="J4379" s="29"/>
      <c r="K4379" s="25" t="s">
        <v>25</v>
      </c>
      <c r="L4379" s="26">
        <v>4.0</v>
      </c>
      <c r="M4379" s="26">
        <v>2.0</v>
      </c>
      <c r="N4379" s="26">
        <v>1.0</v>
      </c>
      <c r="O4379" s="26">
        <v>0.0</v>
      </c>
      <c r="P4379" s="30"/>
      <c r="Q4379" s="35">
        <v>149.0</v>
      </c>
      <c r="R4379" s="32">
        <v>45636.0</v>
      </c>
      <c r="S4379" s="32">
        <v>44317.0</v>
      </c>
      <c r="T4379" s="29"/>
      <c r="U4379" s="33"/>
      <c r="V4379" s="1"/>
    </row>
    <row r="4380" ht="24.0" customHeight="1">
      <c r="A4380" s="1"/>
      <c r="B4380" s="24" t="str">
        <f>HYPERLINK("https://www.compass.com/listing/210-thompson-street-unit-5ds-manhattan-ny-10012/197766493306426113/view?agent_id=610d3f3370540700019b0833","210 Thompson Street, Unit 5DS")</f>
        <v>210 Thompson Street, Unit 5DS</v>
      </c>
      <c r="C4380" s="25" t="s">
        <v>370</v>
      </c>
      <c r="D4380" s="26" t="s">
        <v>23</v>
      </c>
      <c r="E4380" s="27" t="str">
        <f>HYPERLINK("https://www.compass.com/building/210-thompson-st-manhattan-ny-10012/282064343934209477/","210 Thompson St")</f>
        <v>210 Thompson St</v>
      </c>
      <c r="F4380" s="25" t="s">
        <v>43</v>
      </c>
      <c r="G4380" s="28">
        <v>798000.0</v>
      </c>
      <c r="H4380" s="29"/>
      <c r="I4380" s="28">
        <v>0.0</v>
      </c>
      <c r="J4380" s="28">
        <v>0.0</v>
      </c>
      <c r="K4380" s="25" t="s">
        <v>25</v>
      </c>
      <c r="L4380" s="26">
        <v>5.0</v>
      </c>
      <c r="M4380" s="26">
        <v>2.0</v>
      </c>
      <c r="N4380" s="26">
        <v>1.0</v>
      </c>
      <c r="O4380" s="30"/>
      <c r="P4380" s="30"/>
      <c r="Q4380" s="35">
        <v>320.0</v>
      </c>
      <c r="R4380" s="32">
        <v>45636.0</v>
      </c>
      <c r="S4380" s="32">
        <v>42962.0</v>
      </c>
      <c r="T4380" s="29"/>
      <c r="U4380" s="33"/>
      <c r="V4380" s="1"/>
    </row>
    <row r="4381" ht="24.0" customHeight="1">
      <c r="A4381" s="1"/>
      <c r="B4381" s="24" t="str">
        <f>HYPERLINK("https://www.compass.com/listing/242-east-19th-street-unit-2b-manhattan-ny-10003/1838929072085241065/view?agent_id=610d3f3370540700019b0833","242 East 19th Street, Unit 2B")</f>
        <v>242 East 19th Street, Unit 2B</v>
      </c>
      <c r="C4381" s="25" t="s">
        <v>364</v>
      </c>
      <c r="D4381" s="26" t="s">
        <v>23</v>
      </c>
      <c r="E4381" s="27" t="str">
        <f>HYPERLINK("https://www.compass.com/building/242-e-19th-st-manhattan-ny-10003/292784403124335077/","242 E 19th St")</f>
        <v>242 E 19th St</v>
      </c>
      <c r="F4381" s="25" t="s">
        <v>48</v>
      </c>
      <c r="G4381" s="28">
        <v>1495000.0</v>
      </c>
      <c r="H4381" s="28">
        <v>1246.0</v>
      </c>
      <c r="I4381" s="28">
        <v>2529.0</v>
      </c>
      <c r="J4381" s="28">
        <v>0.0</v>
      </c>
      <c r="K4381" s="25" t="s">
        <v>25</v>
      </c>
      <c r="L4381" s="26">
        <v>4.0</v>
      </c>
      <c r="M4381" s="26">
        <v>2.0</v>
      </c>
      <c r="N4381" s="26">
        <v>1.0</v>
      </c>
      <c r="O4381" s="26">
        <v>0.0</v>
      </c>
      <c r="P4381" s="34">
        <v>1200.0</v>
      </c>
      <c r="Q4381" s="35">
        <v>473.0</v>
      </c>
      <c r="R4381" s="32">
        <v>45304.0</v>
      </c>
      <c r="S4381" s="32">
        <v>44831.0</v>
      </c>
      <c r="T4381" s="29"/>
      <c r="U4381" s="33"/>
      <c r="V4381" s="1"/>
    </row>
    <row r="4382" ht="24.0" customHeight="1">
      <c r="A4382" s="1"/>
      <c r="B4382" s="24" t="str">
        <f>HYPERLINK("https://www.compass.com/listing/214-avenue-a-unit-2d-manhattan-ny-10009/1103745513745095697/view?agent_id=610d3f3370540700019b0833","214 Avenue A, Unit 2D")</f>
        <v>214 Avenue A, Unit 2D</v>
      </c>
      <c r="C4382" s="25" t="s">
        <v>364</v>
      </c>
      <c r="D4382" s="26" t="s">
        <v>23</v>
      </c>
      <c r="E4382" s="27" t="str">
        <f>HYPERLINK("https://www.compass.com/building/214-avenue-a-manhattan-ny-10009/389271151134846197/","214 Avenue A")</f>
        <v>214 Avenue A</v>
      </c>
      <c r="F4382" s="25" t="s">
        <v>24</v>
      </c>
      <c r="G4382" s="28">
        <v>785000.0</v>
      </c>
      <c r="H4382" s="29"/>
      <c r="I4382" s="28">
        <v>1498.0</v>
      </c>
      <c r="J4382" s="29"/>
      <c r="K4382" s="25" t="s">
        <v>25</v>
      </c>
      <c r="L4382" s="26">
        <v>4.0</v>
      </c>
      <c r="M4382" s="26">
        <v>2.0</v>
      </c>
      <c r="N4382" s="26">
        <v>1.0</v>
      </c>
      <c r="O4382" s="26">
        <v>0.0</v>
      </c>
      <c r="P4382" s="30"/>
      <c r="Q4382" s="35">
        <v>133.0</v>
      </c>
      <c r="R4382" s="32">
        <v>45636.0</v>
      </c>
      <c r="S4382" s="32">
        <v>44774.0</v>
      </c>
      <c r="T4382" s="29"/>
      <c r="U4382" s="33"/>
      <c r="V4382" s="1"/>
    </row>
    <row r="4383" ht="24.0" customHeight="1">
      <c r="A4383" s="1"/>
      <c r="B4383" s="24" t="str">
        <f>HYPERLINK("https://www.compass.com/listing/30-5th-avenue-unit-5jk-manhattan-ny-10011/4852306131508279233/view?agent_id=610d3f3370540700019b0833","30 5th Avenue, Unit 5JK")</f>
        <v>30 5th Avenue, Unit 5JK</v>
      </c>
      <c r="C4383" s="25" t="s">
        <v>370</v>
      </c>
      <c r="D4383" s="26" t="s">
        <v>23</v>
      </c>
      <c r="E4383" s="27" t="str">
        <f>HYPERLINK("https://www.compass.com/building/30-5th-ave-manhattan-ny-10011/294847352439140789/","30 5th Ave")</f>
        <v>30 5th Ave</v>
      </c>
      <c r="F4383" s="25" t="s">
        <v>43</v>
      </c>
      <c r="G4383" s="28">
        <v>4195000.0</v>
      </c>
      <c r="H4383" s="29"/>
      <c r="I4383" s="28">
        <v>3204.0</v>
      </c>
      <c r="J4383" s="29"/>
      <c r="K4383" s="25" t="s">
        <v>25</v>
      </c>
      <c r="L4383" s="26">
        <v>7.0</v>
      </c>
      <c r="M4383" s="26">
        <v>2.0</v>
      </c>
      <c r="N4383" s="26">
        <v>0.0</v>
      </c>
      <c r="O4383" s="26">
        <v>0.0</v>
      </c>
      <c r="P4383" s="30"/>
      <c r="Q4383" s="35">
        <v>200.0</v>
      </c>
      <c r="R4383" s="32">
        <v>44581.0</v>
      </c>
      <c r="S4383" s="32">
        <v>41178.0</v>
      </c>
      <c r="T4383" s="29"/>
      <c r="U4383" s="33"/>
      <c r="V4383" s="1"/>
    </row>
    <row r="4384" ht="24.0" customHeight="1">
      <c r="A4384" s="1"/>
      <c r="B4384" s="24" t="str">
        <f>HYPERLINK("https://www.compass.com/listing/60-east-9th-street-unit-7c-manhattan-ny-10003/1838945078824285849/view?agent_id=610d3f3370540700019b0833","60 East 9th Street, Unit 7C")</f>
        <v>60 East 9th Street, Unit 7C</v>
      </c>
      <c r="C4384" s="25" t="s">
        <v>364</v>
      </c>
      <c r="D4384" s="26" t="s">
        <v>23</v>
      </c>
      <c r="E4384" s="27" t="str">
        <f t="shared" ref="E4384:E4385" si="188">HYPERLINK("https://www.compass.com/building/the-hamilton-manhattan-ny/281894235555241157/","The Hamilton")</f>
        <v>The Hamilton</v>
      </c>
      <c r="F4384" s="25" t="s">
        <v>43</v>
      </c>
      <c r="G4384" s="28">
        <v>3950000.0</v>
      </c>
      <c r="H4384" s="29"/>
      <c r="I4384" s="28">
        <v>5353.0</v>
      </c>
      <c r="J4384" s="29"/>
      <c r="K4384" s="25" t="s">
        <v>25</v>
      </c>
      <c r="L4384" s="26">
        <v>7.0</v>
      </c>
      <c r="M4384" s="26">
        <v>2.0</v>
      </c>
      <c r="N4384" s="26">
        <v>0.0</v>
      </c>
      <c r="O4384" s="26">
        <v>0.0</v>
      </c>
      <c r="P4384" s="30"/>
      <c r="Q4384" s="35">
        <v>1657.0</v>
      </c>
      <c r="R4384" s="32">
        <v>44581.0</v>
      </c>
      <c r="S4384" s="32">
        <v>41221.0</v>
      </c>
      <c r="T4384" s="29"/>
      <c r="U4384" s="33"/>
      <c r="V4384" s="1"/>
    </row>
    <row r="4385" ht="24.0" customHeight="1">
      <c r="A4385" s="1"/>
      <c r="B4385" s="24" t="str">
        <f>HYPERLINK("https://www.compass.com/listing/60-east-9th-street-unit-7c-manhattan-ny-10003/1838953070289934641/view?agent_id=610d3f3370540700019b0833","60 East 9th Street, Unit 7C")</f>
        <v>60 East 9th Street, Unit 7C</v>
      </c>
      <c r="C4385" s="25" t="s">
        <v>364</v>
      </c>
      <c r="D4385" s="26" t="s">
        <v>23</v>
      </c>
      <c r="E4385" s="27" t="str">
        <f t="shared" si="188"/>
        <v>The Hamilton</v>
      </c>
      <c r="F4385" s="25" t="s">
        <v>43</v>
      </c>
      <c r="G4385" s="28">
        <v>3900000.0</v>
      </c>
      <c r="H4385" s="29"/>
      <c r="I4385" s="28">
        <v>5602.0</v>
      </c>
      <c r="J4385" s="29"/>
      <c r="K4385" s="25" t="s">
        <v>25</v>
      </c>
      <c r="L4385" s="26">
        <v>7.0</v>
      </c>
      <c r="M4385" s="26">
        <v>2.0</v>
      </c>
      <c r="N4385" s="26">
        <v>0.0</v>
      </c>
      <c r="O4385" s="26">
        <v>0.0</v>
      </c>
      <c r="P4385" s="30"/>
      <c r="Q4385" s="35">
        <v>32.0</v>
      </c>
      <c r="R4385" s="32">
        <v>45636.0</v>
      </c>
      <c r="S4385" s="32">
        <v>41899.0</v>
      </c>
      <c r="T4385" s="29"/>
      <c r="U4385" s="33"/>
      <c r="V4385" s="1"/>
    </row>
    <row r="4386" ht="24.0" customHeight="1">
      <c r="A4386" s="1"/>
      <c r="B4386" s="24" t="str">
        <f>HYPERLINK("https://www.compass.com/listing/140-7th-avenue-unit-3e-manhattan-ny-10011/1130870317085876769/view?agent_id=610d3f3370540700019b0833","140 7th Avenue, Unit 3E")</f>
        <v>140 7th Avenue, Unit 3E</v>
      </c>
      <c r="C4386" s="25" t="s">
        <v>364</v>
      </c>
      <c r="D4386" s="26" t="s">
        <v>23</v>
      </c>
      <c r="E4386" s="27" t="str">
        <f>HYPERLINK("https://www.compass.com/building/chadwin-house-manhattan-ny/281905329866819621/","Chadwin House")</f>
        <v>Chadwin House</v>
      </c>
      <c r="F4386" s="25" t="s">
        <v>27</v>
      </c>
      <c r="G4386" s="28">
        <v>1445000.0</v>
      </c>
      <c r="H4386" s="29"/>
      <c r="I4386" s="28">
        <v>2265.0</v>
      </c>
      <c r="J4386" s="28">
        <v>13740.0</v>
      </c>
      <c r="K4386" s="25" t="s">
        <v>28</v>
      </c>
      <c r="L4386" s="26">
        <v>4.0</v>
      </c>
      <c r="M4386" s="26">
        <v>2.0</v>
      </c>
      <c r="N4386" s="26">
        <v>1.0</v>
      </c>
      <c r="O4386" s="26">
        <v>0.0</v>
      </c>
      <c r="P4386" s="30"/>
      <c r="Q4386" s="35">
        <v>90.0</v>
      </c>
      <c r="R4386" s="32">
        <v>44971.0</v>
      </c>
      <c r="S4386" s="32">
        <v>44880.0</v>
      </c>
      <c r="T4386" s="29"/>
      <c r="U4386" s="33"/>
      <c r="V4386" s="1"/>
    </row>
    <row r="4387" ht="24.0" customHeight="1">
      <c r="A4387" s="1"/>
      <c r="B4387" s="24" t="str">
        <f>HYPERLINK("https://www.compass.com/listing/248-east-7th-street-unit-15-16-manhattan-ny-10009/167799680514662977/view?agent_id=610d3f3370540700019b0833","248 E 7th St, Unit 15/16")</f>
        <v>248 E 7th St, Unit 15/16</v>
      </c>
      <c r="C4387" s="25" t="s">
        <v>364</v>
      </c>
      <c r="D4387" s="26" t="s">
        <v>23</v>
      </c>
      <c r="E4387" s="27" t="str">
        <f>HYPERLINK("https://www.compass.com/building/248-e-7th-st-manhattan-ny-10009/281899036397547797/","248 E 7th St")</f>
        <v>248 E 7th St</v>
      </c>
      <c r="F4387" s="25" t="s">
        <v>24</v>
      </c>
      <c r="G4387" s="28">
        <v>995000.0</v>
      </c>
      <c r="H4387" s="29"/>
      <c r="I4387" s="28">
        <v>1184.0</v>
      </c>
      <c r="J4387" s="29"/>
      <c r="K4387" s="25" t="s">
        <v>25</v>
      </c>
      <c r="L4387" s="26">
        <v>5.0</v>
      </c>
      <c r="M4387" s="26">
        <v>2.0</v>
      </c>
      <c r="N4387" s="30"/>
      <c r="O4387" s="30"/>
      <c r="P4387" s="30"/>
      <c r="Q4387" s="35">
        <v>340.0</v>
      </c>
      <c r="R4387" s="32">
        <v>43698.0</v>
      </c>
      <c r="S4387" s="32">
        <v>40165.0</v>
      </c>
      <c r="T4387" s="29"/>
      <c r="U4387" s="33"/>
      <c r="V4387" s="1"/>
    </row>
    <row r="4388" ht="24.0" customHeight="1">
      <c r="A4388" s="1"/>
      <c r="B4388" s="24" t="str">
        <f>HYPERLINK("https://www.compass.com/listing/62-avenue-b-unit-2m-manhattan-ny-10009/4865458709297378097/view?agent_id=610d3f3370540700019b0833","62 Avenue B, Unit 2M")</f>
        <v>62 Avenue B, Unit 2M</v>
      </c>
      <c r="C4388" s="25" t="s">
        <v>364</v>
      </c>
      <c r="D4388" s="26" t="s">
        <v>23</v>
      </c>
      <c r="E4388" s="27" t="str">
        <f>HYPERLINK("https://www.compass.com/building/bloom-62-manhattan-ny/426964275618193101/","Bloom 62")</f>
        <v>Bloom 62</v>
      </c>
      <c r="F4388" s="25" t="s">
        <v>24</v>
      </c>
      <c r="G4388" s="28">
        <v>1395000.0</v>
      </c>
      <c r="H4388" s="28">
        <v>1473.0</v>
      </c>
      <c r="I4388" s="28">
        <v>2490.0</v>
      </c>
      <c r="J4388" s="28">
        <v>16178.0</v>
      </c>
      <c r="K4388" s="25" t="s">
        <v>28</v>
      </c>
      <c r="L4388" s="26">
        <v>3.0</v>
      </c>
      <c r="M4388" s="26">
        <v>2.0</v>
      </c>
      <c r="N4388" s="26">
        <v>1.0</v>
      </c>
      <c r="O4388" s="26">
        <v>0.0</v>
      </c>
      <c r="P4388" s="26">
        <v>947.0</v>
      </c>
      <c r="Q4388" s="31"/>
      <c r="R4388" s="32">
        <v>44581.0</v>
      </c>
      <c r="S4388" s="33"/>
      <c r="T4388" s="29"/>
      <c r="U4388" s="33"/>
      <c r="V4388" s="1"/>
    </row>
    <row r="4389" ht="24.0" customHeight="1">
      <c r="A4389" s="1"/>
      <c r="B4389" s="24" t="str">
        <f>HYPERLINK("https://www.compass.com/listing/237-west-19th-street-unit-c-manhattan-ny-10011/826842938519026793/view?agent_id=610d3f3370540700019b0833","237 West 19th Street, Unit C")</f>
        <v>237 West 19th Street, Unit C</v>
      </c>
      <c r="C4389" s="25" t="s">
        <v>364</v>
      </c>
      <c r="D4389" s="26" t="s">
        <v>23</v>
      </c>
      <c r="E4389" s="27" t="str">
        <f>HYPERLINK("https://www.compass.com/building/237-w-19th-st-manhattan-ny-10011/281907554559218149/","237 W 19th St")</f>
        <v>237 W 19th St</v>
      </c>
      <c r="F4389" s="25" t="s">
        <v>27</v>
      </c>
      <c r="G4389" s="28">
        <v>1499000.0</v>
      </c>
      <c r="H4389" s="29"/>
      <c r="I4389" s="28">
        <v>915.0</v>
      </c>
      <c r="J4389" s="28">
        <v>7392.0</v>
      </c>
      <c r="K4389" s="25" t="s">
        <v>28</v>
      </c>
      <c r="L4389" s="26">
        <v>3.0</v>
      </c>
      <c r="M4389" s="26">
        <v>2.0</v>
      </c>
      <c r="N4389" s="26">
        <v>0.0</v>
      </c>
      <c r="O4389" s="26">
        <v>0.0</v>
      </c>
      <c r="P4389" s="30"/>
      <c r="Q4389" s="35">
        <v>223.0</v>
      </c>
      <c r="R4389" s="32">
        <v>45636.0</v>
      </c>
      <c r="S4389" s="32">
        <v>41508.0</v>
      </c>
      <c r="T4389" s="29"/>
      <c r="U4389" s="33"/>
      <c r="V4389" s="1"/>
    </row>
    <row r="4390" ht="24.0" customHeight="1">
      <c r="A4390" s="1"/>
      <c r="B4390" s="24" t="str">
        <f>HYPERLINK("https://www.compass.com/listing/229-east-2nd-street-unit-3-manhattan-ny-10009/1861858282044035905/view?agent_id=610d3f3370540700019b0833","229 E 2nd St, Unit 3")</f>
        <v>229 E 2nd St, Unit 3</v>
      </c>
      <c r="C4390" s="25" t="s">
        <v>364</v>
      </c>
      <c r="D4390" s="26" t="s">
        <v>23</v>
      </c>
      <c r="E4390" s="27" t="str">
        <f>HYPERLINK("https://www.compass.com/building/229-e-2nd-st-manhattan-ny-10009/281898868113684021/","229 E 2nd St")</f>
        <v>229 E 2nd St</v>
      </c>
      <c r="F4390" s="25" t="s">
        <v>24</v>
      </c>
      <c r="G4390" s="28">
        <v>1749000.0</v>
      </c>
      <c r="H4390" s="28">
        <v>1427.0</v>
      </c>
      <c r="I4390" s="28">
        <v>1570.0</v>
      </c>
      <c r="J4390" s="28">
        <v>10272.0</v>
      </c>
      <c r="K4390" s="25" t="s">
        <v>28</v>
      </c>
      <c r="L4390" s="26">
        <v>4.0</v>
      </c>
      <c r="M4390" s="26">
        <v>2.0</v>
      </c>
      <c r="N4390" s="26">
        <v>1.0</v>
      </c>
      <c r="O4390" s="26">
        <v>0.0</v>
      </c>
      <c r="P4390" s="34">
        <v>1226.0</v>
      </c>
      <c r="Q4390" s="35">
        <v>182.0</v>
      </c>
      <c r="R4390" s="32">
        <v>43815.0</v>
      </c>
      <c r="S4390" s="32">
        <v>43559.0</v>
      </c>
      <c r="T4390" s="29"/>
      <c r="U4390" s="33"/>
      <c r="V4390" s="1"/>
    </row>
    <row r="4391" ht="24.0" customHeight="1">
      <c r="A4391" s="1"/>
      <c r="B4391" s="24" t="str">
        <f>HYPERLINK("https://www.compass.com/listing/902-president-street-unit-3-brooklyn-ny-11215/180973236626944865/view?agent_id=610d3f3370540700019b0833","902 President St, Unit 3")</f>
        <v>902 President St, Unit 3</v>
      </c>
      <c r="C4391" s="25" t="s">
        <v>364</v>
      </c>
      <c r="D4391" s="26" t="s">
        <v>23</v>
      </c>
      <c r="E4391" s="27" t="str">
        <f>HYPERLINK("https://www.compass.com/building/902-president-st-brooklyn-ny-11215/282500530343852133/","902 President St")</f>
        <v>902 President St</v>
      </c>
      <c r="F4391" s="25" t="s">
        <v>40</v>
      </c>
      <c r="G4391" s="28">
        <v>737000.0</v>
      </c>
      <c r="H4391" s="29"/>
      <c r="I4391" s="28">
        <v>664.0</v>
      </c>
      <c r="J4391" s="29"/>
      <c r="K4391" s="25" t="s">
        <v>25</v>
      </c>
      <c r="L4391" s="26">
        <v>4.0</v>
      </c>
      <c r="M4391" s="26">
        <v>2.0</v>
      </c>
      <c r="N4391" s="30"/>
      <c r="O4391" s="30"/>
      <c r="P4391" s="30"/>
      <c r="Q4391" s="35">
        <v>15.0</v>
      </c>
      <c r="R4391" s="32">
        <v>43698.0</v>
      </c>
      <c r="S4391" s="32">
        <v>41066.0</v>
      </c>
      <c r="T4391" s="29"/>
      <c r="U4391" s="33"/>
      <c r="V4391" s="1"/>
    </row>
    <row r="4392" ht="24.0" customHeight="1">
      <c r="A4392" s="1"/>
      <c r="B4392" s="24" t="str">
        <f>HYPERLINK("https://www.compass.com/listing/415-east-6th-street-unit-2-manhattan-ny-10009/29361607716986369/view?agent_id=610d3f3370540700019b0833","415 E 6th St, Unit 2")</f>
        <v>415 E 6th St, Unit 2</v>
      </c>
      <c r="C4392" s="25" t="s">
        <v>364</v>
      </c>
      <c r="D4392" s="26" t="s">
        <v>23</v>
      </c>
      <c r="E4392" s="27" t="str">
        <f>HYPERLINK("https://www.compass.com/building/415-e-6th-st-manhattan-ny-10009/281899972155161557/","415 E 6th St")</f>
        <v>415 E 6th St</v>
      </c>
      <c r="F4392" s="25" t="s">
        <v>24</v>
      </c>
      <c r="G4392" s="28">
        <v>1999000.0</v>
      </c>
      <c r="H4392" s="28">
        <v>1046.0</v>
      </c>
      <c r="I4392" s="28">
        <v>3670.0</v>
      </c>
      <c r="J4392" s="28">
        <v>22632.0</v>
      </c>
      <c r="K4392" s="25" t="s">
        <v>28</v>
      </c>
      <c r="L4392" s="26">
        <v>6.0</v>
      </c>
      <c r="M4392" s="26">
        <v>2.0</v>
      </c>
      <c r="N4392" s="26">
        <v>0.0</v>
      </c>
      <c r="O4392" s="26">
        <v>0.0</v>
      </c>
      <c r="P4392" s="34">
        <v>1911.0</v>
      </c>
      <c r="Q4392" s="35">
        <v>159.0</v>
      </c>
      <c r="R4392" s="32">
        <v>45636.0</v>
      </c>
      <c r="S4392" s="32">
        <v>42830.0</v>
      </c>
      <c r="T4392" s="29"/>
      <c r="U4392" s="33"/>
      <c r="V4392" s="1"/>
    </row>
    <row r="4393" ht="24.0" customHeight="1">
      <c r="A4393" s="1"/>
      <c r="B4393" s="24" t="str">
        <f>HYPERLINK("https://www.compass.com/listing/224-east-7th-street-unit-6-manhattan-ny-10009/1571339123292061489/view?agent_id=610d3f3370540700019b0833","224 E 7th St, Unit 6")</f>
        <v>224 E 7th St, Unit 6</v>
      </c>
      <c r="C4393" s="25" t="s">
        <v>364</v>
      </c>
      <c r="D4393" s="26" t="s">
        <v>23</v>
      </c>
      <c r="E4393" s="27" t="str">
        <f>HYPERLINK("https://www.compass.com/building/224-e-7th-st-manhattan-ny-10009/281898822546765317/","224 E 7th St")</f>
        <v>224 E 7th St</v>
      </c>
      <c r="F4393" s="25" t="s">
        <v>24</v>
      </c>
      <c r="G4393" s="28">
        <v>965000.0</v>
      </c>
      <c r="H4393" s="28">
        <v>1156.0</v>
      </c>
      <c r="I4393" s="28">
        <v>1450.0</v>
      </c>
      <c r="J4393" s="28">
        <v>0.0</v>
      </c>
      <c r="K4393" s="25" t="s">
        <v>25</v>
      </c>
      <c r="L4393" s="26">
        <v>5.0</v>
      </c>
      <c r="M4393" s="26">
        <v>2.0</v>
      </c>
      <c r="N4393" s="26">
        <v>1.0</v>
      </c>
      <c r="O4393" s="26">
        <v>0.0</v>
      </c>
      <c r="P4393" s="26">
        <v>835.0</v>
      </c>
      <c r="Q4393" s="35">
        <v>222.0</v>
      </c>
      <c r="R4393" s="32">
        <v>45641.0</v>
      </c>
      <c r="S4393" s="32">
        <v>45419.0</v>
      </c>
      <c r="T4393" s="29"/>
      <c r="U4393" s="33"/>
      <c r="V4393" s="1"/>
    </row>
    <row r="4394" ht="24.0" customHeight="1">
      <c r="A4394" s="1"/>
      <c r="B4394" s="24" t="str">
        <f>HYPERLINK("https://www.compass.com/listing/534-east-11th-street-unit-910-manhattan-ny-10009/1089242803594232985/view?agent_id=610d3f3370540700019b0833","534 E 11th St, Unit 910")</f>
        <v>534 E 11th St, Unit 910</v>
      </c>
      <c r="C4394" s="25" t="s">
        <v>364</v>
      </c>
      <c r="D4394" s="26" t="s">
        <v>23</v>
      </c>
      <c r="E4394" s="27" t="str">
        <f>HYPERLINK("https://www.compass.com/building/534-e-11th-st-manhattan-ny-10009/281900901629704741/","534 E 11th St")</f>
        <v>534 E 11th St</v>
      </c>
      <c r="F4394" s="25" t="s">
        <v>24</v>
      </c>
      <c r="G4394" s="28">
        <v>769500.0</v>
      </c>
      <c r="H4394" s="28">
        <v>886.0</v>
      </c>
      <c r="I4394" s="28">
        <v>1370.0</v>
      </c>
      <c r="J4394" s="29"/>
      <c r="K4394" s="25" t="s">
        <v>25</v>
      </c>
      <c r="L4394" s="26">
        <v>6.0</v>
      </c>
      <c r="M4394" s="26">
        <v>2.0</v>
      </c>
      <c r="N4394" s="26">
        <v>1.0</v>
      </c>
      <c r="O4394" s="26">
        <v>0.0</v>
      </c>
      <c r="P4394" s="26">
        <v>869.0</v>
      </c>
      <c r="Q4394" s="35">
        <v>223.0</v>
      </c>
      <c r="R4394" s="32">
        <v>45636.0</v>
      </c>
      <c r="S4394" s="32">
        <v>44825.0</v>
      </c>
      <c r="T4394" s="29"/>
      <c r="U4394" s="33"/>
      <c r="V4394" s="1"/>
    </row>
    <row r="4395" ht="24.0" customHeight="1">
      <c r="A4395" s="1"/>
      <c r="B4395" s="24" t="str">
        <f>HYPERLINK("https://www.compass.com/listing/452-west-19th-street-unit-1d-manhattan-ny-10011/1248237654013868841/view?agent_id=610d3f3370540700019b0833","452 W 19th St, Unit 1D")</f>
        <v>452 W 19th St, Unit 1D</v>
      </c>
      <c r="C4395" s="25" t="s">
        <v>364</v>
      </c>
      <c r="D4395" s="26" t="s">
        <v>23</v>
      </c>
      <c r="E4395" s="27" t="str">
        <f>HYPERLINK("https://www.compass.com/building/452-w-19th-st-manhattan-ny-10011/281910739243919349/","452 W 19th St")</f>
        <v>452 W 19th St</v>
      </c>
      <c r="F4395" s="25" t="s">
        <v>27</v>
      </c>
      <c r="G4395" s="28">
        <v>1995000.0</v>
      </c>
      <c r="H4395" s="28">
        <v>1041.0</v>
      </c>
      <c r="I4395" s="28">
        <v>2641.0</v>
      </c>
      <c r="J4395" s="28">
        <v>17724.0</v>
      </c>
      <c r="K4395" s="25" t="s">
        <v>28</v>
      </c>
      <c r="L4395" s="26">
        <v>5.0</v>
      </c>
      <c r="M4395" s="26">
        <v>2.0</v>
      </c>
      <c r="N4395" s="30"/>
      <c r="O4395" s="30"/>
      <c r="P4395" s="34">
        <v>1916.0</v>
      </c>
      <c r="Q4395" s="35">
        <v>153.0</v>
      </c>
      <c r="R4395" s="32">
        <v>43672.0</v>
      </c>
      <c r="S4395" s="32">
        <v>43517.0</v>
      </c>
      <c r="T4395" s="29"/>
      <c r="U4395" s="33"/>
      <c r="V4395" s="1"/>
    </row>
    <row r="4396" ht="24.0" customHeight="1">
      <c r="A4396" s="1"/>
      <c r="B4396" s="24" t="str">
        <f>HYPERLINK("https://www.compass.com/listing/18-east-12th-street-unit-8d-manhattan-ny-10003/50870617490073713/view?agent_id=610d3f3370540700019b0833","18 E 12th St, Unit 8D")</f>
        <v>18 E 12th St, Unit 8D</v>
      </c>
      <c r="C4396" s="25" t="s">
        <v>364</v>
      </c>
      <c r="D4396" s="26" t="s">
        <v>23</v>
      </c>
      <c r="E4396" s="27" t="str">
        <f>HYPERLINK("https://www.compass.com/building/18-e-12th-st-manhattan-ny-10003/292781080119878917/","18 E 12th St")</f>
        <v>18 E 12th St</v>
      </c>
      <c r="F4396" s="25" t="s">
        <v>43</v>
      </c>
      <c r="G4396" s="28">
        <v>2350000.0</v>
      </c>
      <c r="H4396" s="28">
        <v>1808.0</v>
      </c>
      <c r="I4396" s="28">
        <v>2511.0</v>
      </c>
      <c r="J4396" s="28">
        <v>9692.0</v>
      </c>
      <c r="K4396" s="25" t="s">
        <v>28</v>
      </c>
      <c r="L4396" s="26">
        <v>5.0</v>
      </c>
      <c r="M4396" s="26">
        <v>2.0</v>
      </c>
      <c r="N4396" s="26">
        <v>1.0</v>
      </c>
      <c r="O4396" s="26">
        <v>0.0</v>
      </c>
      <c r="P4396" s="34">
        <v>1300.0</v>
      </c>
      <c r="Q4396" s="35">
        <v>168.0</v>
      </c>
      <c r="R4396" s="32">
        <v>45636.0</v>
      </c>
      <c r="S4396" s="32">
        <v>42559.0</v>
      </c>
      <c r="T4396" s="29"/>
      <c r="U4396" s="33"/>
      <c r="V4396" s="1"/>
    </row>
    <row r="4397" ht="24.0" customHeight="1">
      <c r="A4397" s="1"/>
      <c r="B4397" s="24" t="str">
        <f>HYPERLINK("https://www.compass.com/listing/35-west-9th-street-unit-3a-manhattan-ny-10011/237528256645975441/view?agent_id=610d3f3370540700019b0833","35 W 9th St, Unit 3A")</f>
        <v>35 W 9th St, Unit 3A</v>
      </c>
      <c r="C4397" s="25" t="s">
        <v>364</v>
      </c>
      <c r="D4397" s="26" t="s">
        <v>23</v>
      </c>
      <c r="E4397" s="27" t="str">
        <f>HYPERLINK("https://www.compass.com/building/35-w-9th-st-manhattan-ny-10011/281909497679602357/","35 W 9th St")</f>
        <v>35 W 9th St</v>
      </c>
      <c r="F4397" s="25" t="s">
        <v>43</v>
      </c>
      <c r="G4397" s="28">
        <v>2075000.0</v>
      </c>
      <c r="H4397" s="29"/>
      <c r="I4397" s="28">
        <v>3048.0</v>
      </c>
      <c r="J4397" s="29"/>
      <c r="K4397" s="25" t="s">
        <v>25</v>
      </c>
      <c r="L4397" s="26">
        <v>5.0</v>
      </c>
      <c r="M4397" s="26">
        <v>2.0</v>
      </c>
      <c r="N4397" s="26">
        <v>0.0</v>
      </c>
      <c r="O4397" s="26">
        <v>0.0</v>
      </c>
      <c r="P4397" s="30"/>
      <c r="Q4397" s="35">
        <v>74.0</v>
      </c>
      <c r="R4397" s="32">
        <v>45636.0</v>
      </c>
      <c r="S4397" s="32">
        <v>42487.0</v>
      </c>
      <c r="T4397" s="29"/>
      <c r="U4397" s="33"/>
      <c r="V4397" s="1"/>
    </row>
    <row r="4398" ht="24.0" customHeight="1">
      <c r="A4398" s="1"/>
      <c r="B4398" s="24" t="str">
        <f>HYPERLINK("https://www.compass.com/listing/135-west-16th-street-unit-50-manhattan-ny-10011/79566771782199873/view?agent_id=610d3f3370540700019b0833","135 W 16th St, Unit 50")</f>
        <v>135 W 16th St, Unit 50</v>
      </c>
      <c r="C4398" s="25" t="s">
        <v>364</v>
      </c>
      <c r="D4398" s="26" t="s">
        <v>23</v>
      </c>
      <c r="E4398" s="27" t="str">
        <f>HYPERLINK("https://www.compass.com/building/135-w-16th-st-manhattan-ny-10011/281905170315495829/","135 W 16th St")</f>
        <v>135 W 16th St</v>
      </c>
      <c r="F4398" s="25" t="s">
        <v>27</v>
      </c>
      <c r="G4398" s="28">
        <v>1300000.0</v>
      </c>
      <c r="H4398" s="29"/>
      <c r="I4398" s="28">
        <v>1140.0</v>
      </c>
      <c r="J4398" s="28">
        <v>7704.0</v>
      </c>
      <c r="K4398" s="25" t="s">
        <v>28</v>
      </c>
      <c r="L4398" s="26">
        <v>4.0</v>
      </c>
      <c r="M4398" s="26">
        <v>2.0</v>
      </c>
      <c r="N4398" s="30"/>
      <c r="O4398" s="30"/>
      <c r="P4398" s="30"/>
      <c r="Q4398" s="35">
        <v>0.0</v>
      </c>
      <c r="R4398" s="32">
        <v>42478.0</v>
      </c>
      <c r="S4398" s="32">
        <v>40351.0</v>
      </c>
      <c r="T4398" s="29"/>
      <c r="U4398" s="33"/>
      <c r="V4398" s="1"/>
    </row>
    <row r="4399" ht="24.0" customHeight="1">
      <c r="A4399" s="1"/>
      <c r="B4399" s="24" t="str">
        <f>HYPERLINK("https://www.compass.com/listing/62-avenue-b-unit-3m-manhattan-ny-10009/1838913034500608825/view?agent_id=610d3f3370540700019b0833","62 Avenue B, Unit 3M")</f>
        <v>62 Avenue B, Unit 3M</v>
      </c>
      <c r="C4399" s="25" t="s">
        <v>364</v>
      </c>
      <c r="D4399" s="26" t="s">
        <v>23</v>
      </c>
      <c r="E4399" s="27" t="str">
        <f t="shared" ref="E4399:E4400" si="189">HYPERLINK("https://www.compass.com/building/bloom-62-manhattan-ny/426964275618193101/","Bloom 62")</f>
        <v>Bloom 62</v>
      </c>
      <c r="F4399" s="25" t="s">
        <v>24</v>
      </c>
      <c r="G4399" s="28">
        <v>1415000.0</v>
      </c>
      <c r="H4399" s="28">
        <v>1494.0</v>
      </c>
      <c r="I4399" s="28">
        <v>2489.0</v>
      </c>
      <c r="J4399" s="28">
        <v>16176.0</v>
      </c>
      <c r="K4399" s="25" t="s">
        <v>28</v>
      </c>
      <c r="L4399" s="26">
        <v>4.0</v>
      </c>
      <c r="M4399" s="26">
        <v>2.0</v>
      </c>
      <c r="N4399" s="26">
        <v>1.0</v>
      </c>
      <c r="O4399" s="26">
        <v>0.0</v>
      </c>
      <c r="P4399" s="26">
        <v>947.0</v>
      </c>
      <c r="Q4399" s="35">
        <v>56.0</v>
      </c>
      <c r="R4399" s="32">
        <v>43804.0</v>
      </c>
      <c r="S4399" s="32">
        <v>43053.0</v>
      </c>
      <c r="T4399" s="29"/>
      <c r="U4399" s="33"/>
      <c r="V4399" s="1"/>
    </row>
    <row r="4400" ht="24.0" customHeight="1">
      <c r="A4400" s="1"/>
      <c r="B4400" s="24" t="str">
        <f>HYPERLINK("https://www.compass.com/listing/62-avenue-b-unit-4m-manhattan-ny-10009/4854523807924238017/view?agent_id=610d3f3370540700019b0833","62 Avenue B, Unit 4M")</f>
        <v>62 Avenue B, Unit 4M</v>
      </c>
      <c r="C4400" s="25" t="s">
        <v>364</v>
      </c>
      <c r="D4400" s="26" t="s">
        <v>23</v>
      </c>
      <c r="E4400" s="27" t="str">
        <f t="shared" si="189"/>
        <v>Bloom 62</v>
      </c>
      <c r="F4400" s="25" t="s">
        <v>24</v>
      </c>
      <c r="G4400" s="28">
        <v>1435000.0</v>
      </c>
      <c r="H4400" s="28">
        <v>1515.0</v>
      </c>
      <c r="I4400" s="28">
        <v>2490.0</v>
      </c>
      <c r="J4400" s="28">
        <v>16178.0</v>
      </c>
      <c r="K4400" s="25" t="s">
        <v>28</v>
      </c>
      <c r="L4400" s="26">
        <v>3.0</v>
      </c>
      <c r="M4400" s="26">
        <v>2.0</v>
      </c>
      <c r="N4400" s="26">
        <v>1.0</v>
      </c>
      <c r="O4400" s="26">
        <v>0.0</v>
      </c>
      <c r="P4400" s="26">
        <v>947.0</v>
      </c>
      <c r="Q4400" s="35">
        <v>26.0</v>
      </c>
      <c r="R4400" s="32">
        <v>45636.0</v>
      </c>
      <c r="S4400" s="32">
        <v>43194.0</v>
      </c>
      <c r="T4400" s="29"/>
      <c r="U4400" s="33"/>
      <c r="V4400" s="1"/>
    </row>
    <row r="4401" ht="24.0" customHeight="1">
      <c r="A4401" s="1"/>
      <c r="B4401" s="24" t="str">
        <f>HYPERLINK("https://www.compass.com/listing/111-4th-avenue-unit-1h2-manhattan-ny-10003/4852265595330103057/view?agent_id=610d3f3370540700019b0833","111 4th Ave, Unit 1H2")</f>
        <v>111 4th Ave, Unit 1H2</v>
      </c>
      <c r="C4401" s="25" t="s">
        <v>364</v>
      </c>
      <c r="D4401" s="26" t="s">
        <v>23</v>
      </c>
      <c r="E4401" s="27" t="str">
        <f>HYPERLINK("https://www.compass.com/building/111-4th-ave-manhattan-ny-10003/281888963189278709/","111 4th Ave")</f>
        <v>111 4th Ave</v>
      </c>
      <c r="F4401" s="25" t="s">
        <v>43</v>
      </c>
      <c r="G4401" s="28">
        <v>1750000.0</v>
      </c>
      <c r="H4401" s="28">
        <v>1167.0</v>
      </c>
      <c r="I4401" s="28">
        <v>1959.0</v>
      </c>
      <c r="J4401" s="29"/>
      <c r="K4401" s="25" t="s">
        <v>25</v>
      </c>
      <c r="L4401" s="26">
        <v>5.0</v>
      </c>
      <c r="M4401" s="26">
        <v>2.0</v>
      </c>
      <c r="N4401" s="26">
        <v>0.0</v>
      </c>
      <c r="O4401" s="26">
        <v>0.0</v>
      </c>
      <c r="P4401" s="34">
        <v>1500.0</v>
      </c>
      <c r="Q4401" s="31"/>
      <c r="R4401" s="32">
        <v>44581.0</v>
      </c>
      <c r="S4401" s="33"/>
      <c r="T4401" s="29"/>
      <c r="U4401" s="33"/>
      <c r="V4401" s="1"/>
    </row>
    <row r="4402" ht="24.0" customHeight="1">
      <c r="A4402" s="1"/>
      <c r="B4402" s="24" t="str">
        <f>HYPERLINK("https://www.compass.com/listing/59-west-12th-street-unit-6g6f-manhattan-ny-10011/4852314083304680401/view?agent_id=610d3f3370540700019b0833","59 W 12th St, Unit 6G6F")</f>
        <v>59 W 12th St, Unit 6G6F</v>
      </c>
      <c r="C4402" s="25" t="s">
        <v>370</v>
      </c>
      <c r="D4402" s="26" t="s">
        <v>23</v>
      </c>
      <c r="E4402" s="27" t="str">
        <f>HYPERLINK("https://www.compass.com/building/59-w-12th-st-manhattan-ny-10011/281911850977747717/","59 W 12th St")</f>
        <v>59 W 12th St</v>
      </c>
      <c r="F4402" s="25" t="s">
        <v>43</v>
      </c>
      <c r="G4402" s="28">
        <v>3500000.0</v>
      </c>
      <c r="H4402" s="28">
        <v>2333.0</v>
      </c>
      <c r="I4402" s="28">
        <v>2494.0</v>
      </c>
      <c r="J4402" s="28">
        <v>14736.0</v>
      </c>
      <c r="K4402" s="25" t="s">
        <v>28</v>
      </c>
      <c r="L4402" s="26">
        <v>5.0</v>
      </c>
      <c r="M4402" s="26">
        <v>2.0</v>
      </c>
      <c r="N4402" s="26">
        <v>0.0</v>
      </c>
      <c r="O4402" s="26">
        <v>0.0</v>
      </c>
      <c r="P4402" s="34">
        <v>1500.0</v>
      </c>
      <c r="Q4402" s="35">
        <v>176.0</v>
      </c>
      <c r="R4402" s="32">
        <v>44581.0</v>
      </c>
      <c r="S4402" s="32">
        <v>41623.0</v>
      </c>
      <c r="T4402" s="29"/>
      <c r="U4402" s="33"/>
      <c r="V4402" s="1"/>
    </row>
    <row r="4403" ht="24.0" customHeight="1">
      <c r="A4403" s="1"/>
      <c r="B4403" s="24" t="str">
        <f>HYPERLINK("https://www.compass.com/listing/88-bleecker-street-unit-5ef-manhattan-ny-10012/519796378670155553/view?agent_id=610d3f3370540700019b0833","88 Bleecker St, Unit 5EF")</f>
        <v>88 Bleecker St, Unit 5EF</v>
      </c>
      <c r="C4403" s="25" t="s">
        <v>364</v>
      </c>
      <c r="D4403" s="26" t="s">
        <v>23</v>
      </c>
      <c r="E4403" s="27" t="str">
        <f>HYPERLINK("https://www.compass.com/building/atrium-manhattan-ny/281916134603650677/","Atrium")</f>
        <v>Atrium</v>
      </c>
      <c r="F4403" s="25" t="s">
        <v>43</v>
      </c>
      <c r="G4403" s="28">
        <v>2495000.0</v>
      </c>
      <c r="H4403" s="29"/>
      <c r="I4403" s="28">
        <v>4228.0</v>
      </c>
      <c r="J4403" s="28">
        <v>22836.0</v>
      </c>
      <c r="K4403" s="25" t="s">
        <v>25</v>
      </c>
      <c r="L4403" s="30"/>
      <c r="M4403" s="26">
        <v>2.0</v>
      </c>
      <c r="N4403" s="30"/>
      <c r="O4403" s="30"/>
      <c r="P4403" s="30"/>
      <c r="Q4403" s="35">
        <v>0.0</v>
      </c>
      <c r="R4403" s="32">
        <v>43998.0</v>
      </c>
      <c r="S4403" s="32">
        <v>43968.0</v>
      </c>
      <c r="T4403" s="29"/>
      <c r="U4403" s="33"/>
      <c r="V4403" s="1"/>
    </row>
    <row r="4404" ht="24.0" customHeight="1">
      <c r="A4404" s="1"/>
      <c r="B4404" s="24" t="str">
        <f>HYPERLINK("https://www.compass.com/listing/74-5th-avenue-unit-11bd-manhattan-ny-10011/4852284986880962273/view?agent_id=610d3f3370540700019b0833","74 5th Ave, Unit 11BD")</f>
        <v>74 5th Ave, Unit 11BD</v>
      </c>
      <c r="C4404" s="25" t="s">
        <v>370</v>
      </c>
      <c r="D4404" s="26" t="s">
        <v>23</v>
      </c>
      <c r="E4404" s="27" t="str">
        <f>HYPERLINK("https://www.compass.com/building/74-5th-ave-manhattan-ny-10011/281912093886670405/","74 5th Ave")</f>
        <v>74 5th Ave</v>
      </c>
      <c r="F4404" s="25" t="s">
        <v>43</v>
      </c>
      <c r="G4404" s="28">
        <v>2525000.0</v>
      </c>
      <c r="H4404" s="28">
        <v>1329.0</v>
      </c>
      <c r="I4404" s="28">
        <v>3332.0</v>
      </c>
      <c r="J4404" s="29"/>
      <c r="K4404" s="25" t="s">
        <v>25</v>
      </c>
      <c r="L4404" s="26">
        <v>6.0</v>
      </c>
      <c r="M4404" s="26">
        <v>2.0</v>
      </c>
      <c r="N4404" s="26">
        <v>0.0</v>
      </c>
      <c r="O4404" s="26">
        <v>0.0</v>
      </c>
      <c r="P4404" s="34">
        <v>1900.0</v>
      </c>
      <c r="Q4404" s="35">
        <v>451.0</v>
      </c>
      <c r="R4404" s="32">
        <v>45636.0</v>
      </c>
      <c r="S4404" s="32">
        <v>41887.0</v>
      </c>
      <c r="T4404" s="29"/>
      <c r="U4404" s="33"/>
      <c r="V4404" s="1"/>
    </row>
    <row r="4405" ht="24.0" customHeight="1">
      <c r="A4405" s="1"/>
      <c r="B4405" s="24" t="str">
        <f>HYPERLINK("https://www.compass.com/listing/1-5th-avenue-unit-16bc-manhattan-ny-10003/5781041465845905/view?agent_id=610d3f3370540700019b0833","1 5th Ave, Unit 16BC")</f>
        <v>1 5th Ave, Unit 16BC</v>
      </c>
      <c r="C4405" s="25" t="s">
        <v>364</v>
      </c>
      <c r="D4405" s="26" t="s">
        <v>23</v>
      </c>
      <c r="E4405" s="27" t="str">
        <f>HYPERLINK("https://www.compass.com/building/one-fifth-avenue-manhattan-ny/281888545268827205/","One Fifth Avenue")</f>
        <v>One Fifth Avenue</v>
      </c>
      <c r="F4405" s="25" t="s">
        <v>43</v>
      </c>
      <c r="G4405" s="28">
        <v>7875000.0</v>
      </c>
      <c r="H4405" s="29"/>
      <c r="I4405" s="28">
        <v>4817.0</v>
      </c>
      <c r="J4405" s="29"/>
      <c r="K4405" s="25" t="s">
        <v>25</v>
      </c>
      <c r="L4405" s="26">
        <v>5.0</v>
      </c>
      <c r="M4405" s="26">
        <v>2.0</v>
      </c>
      <c r="N4405" s="26">
        <v>0.0</v>
      </c>
      <c r="O4405" s="26">
        <v>0.0</v>
      </c>
      <c r="P4405" s="30"/>
      <c r="Q4405" s="35">
        <v>262.0</v>
      </c>
      <c r="R4405" s="32">
        <v>44234.0</v>
      </c>
      <c r="S4405" s="32">
        <v>42430.0</v>
      </c>
      <c r="T4405" s="29"/>
      <c r="U4405" s="33"/>
      <c r="V4405" s="1"/>
    </row>
    <row r="4406" ht="24.0" customHeight="1">
      <c r="A4406" s="1"/>
      <c r="B4406" s="24" t="str">
        <f>HYPERLINK("https://www.compass.com/listing/79-barrow-street-unit-1a-manhattan-ny-10014/803333909575930577/view?agent_id=610d3f3370540700019b0833","79 Barrow St, Unit 1A")</f>
        <v>79 Barrow St, Unit 1A</v>
      </c>
      <c r="C4406" s="25" t="s">
        <v>370</v>
      </c>
      <c r="D4406" s="26" t="s">
        <v>23</v>
      </c>
      <c r="E4406" s="27" t="str">
        <f>HYPERLINK("https://www.compass.com/building/79-barrow-st-manhattan-ny-10014/281935938286832485/","79 Barrow St")</f>
        <v>79 Barrow St</v>
      </c>
      <c r="F4406" s="25" t="s">
        <v>26</v>
      </c>
      <c r="G4406" s="28">
        <v>2650000.0</v>
      </c>
      <c r="H4406" s="29"/>
      <c r="I4406" s="28">
        <v>3484.0</v>
      </c>
      <c r="J4406" s="29"/>
      <c r="K4406" s="25" t="s">
        <v>25</v>
      </c>
      <c r="L4406" s="26">
        <v>4.0</v>
      </c>
      <c r="M4406" s="26">
        <v>2.0</v>
      </c>
      <c r="N4406" s="26">
        <v>0.0</v>
      </c>
      <c r="O4406" s="26">
        <v>0.0</v>
      </c>
      <c r="P4406" s="30"/>
      <c r="Q4406" s="35">
        <v>205.0</v>
      </c>
      <c r="R4406" s="32">
        <v>45636.0</v>
      </c>
      <c r="S4406" s="32">
        <v>42638.0</v>
      </c>
      <c r="T4406" s="29"/>
      <c r="U4406" s="33"/>
      <c r="V4406" s="1"/>
    </row>
    <row r="4407" ht="24.0" customHeight="1">
      <c r="A4407" s="1"/>
      <c r="B4407" s="24" t="str">
        <f>HYPERLINK("https://www.compass.com/listing/415-east-6th-street-unit-2-manhattan-ny-10009/921948014426999169/view?agent_id=610d3f3370540700019b0833","415 E 6th St, Unit 2")</f>
        <v>415 E 6th St, Unit 2</v>
      </c>
      <c r="C4407" s="25" t="s">
        <v>364</v>
      </c>
      <c r="D4407" s="26" t="s">
        <v>23</v>
      </c>
      <c r="E4407" s="27" t="str">
        <f>HYPERLINK("https://www.compass.com/building/415-e-6th-st-manhattan-ny-10009/281899972155161557/","415 E 6th St")</f>
        <v>415 E 6th St</v>
      </c>
      <c r="F4407" s="25" t="s">
        <v>24</v>
      </c>
      <c r="G4407" s="28">
        <v>2950000.0</v>
      </c>
      <c r="H4407" s="28">
        <v>1544.0</v>
      </c>
      <c r="I4407" s="28">
        <v>3269.0</v>
      </c>
      <c r="J4407" s="28">
        <v>19800.0</v>
      </c>
      <c r="K4407" s="25" t="s">
        <v>28</v>
      </c>
      <c r="L4407" s="26">
        <v>6.0</v>
      </c>
      <c r="M4407" s="26">
        <v>2.0</v>
      </c>
      <c r="N4407" s="26">
        <v>0.0</v>
      </c>
      <c r="O4407" s="26">
        <v>1.0</v>
      </c>
      <c r="P4407" s="34">
        <v>1911.0</v>
      </c>
      <c r="Q4407" s="35">
        <v>0.0</v>
      </c>
      <c r="R4407" s="32">
        <v>44581.0</v>
      </c>
      <c r="S4407" s="32">
        <v>43269.0</v>
      </c>
      <c r="T4407" s="29"/>
      <c r="U4407" s="33"/>
      <c r="V4407" s="1"/>
    </row>
    <row r="4408" ht="24.0" customHeight="1">
      <c r="A4408" s="1"/>
      <c r="B4408" s="24" t="str">
        <f>HYPERLINK("https://www.compass.com/listing/30-5th-avenue-unit-11e-manhattan-ny-10011/4852279686354452161/view?agent_id=610d3f3370540700019b0833","30 5th Ave, Unit 11E")</f>
        <v>30 5th Ave, Unit 11E</v>
      </c>
      <c r="C4408" s="25" t="s">
        <v>370</v>
      </c>
      <c r="D4408" s="26" t="s">
        <v>23</v>
      </c>
      <c r="E4408" s="27" t="str">
        <f>HYPERLINK("https://www.compass.com/building/30-5th-ave-manhattan-ny-10011/294847352439140789/","30 5th Ave")</f>
        <v>30 5th Ave</v>
      </c>
      <c r="F4408" s="25" t="s">
        <v>43</v>
      </c>
      <c r="G4408" s="28">
        <v>1995000.0</v>
      </c>
      <c r="H4408" s="29"/>
      <c r="I4408" s="28">
        <v>2368.0</v>
      </c>
      <c r="J4408" s="29"/>
      <c r="K4408" s="25" t="s">
        <v>25</v>
      </c>
      <c r="L4408" s="26">
        <v>5.0</v>
      </c>
      <c r="M4408" s="26">
        <v>2.0</v>
      </c>
      <c r="N4408" s="26">
        <v>0.0</v>
      </c>
      <c r="O4408" s="26">
        <v>0.0</v>
      </c>
      <c r="P4408" s="30"/>
      <c r="Q4408" s="35">
        <v>10.0</v>
      </c>
      <c r="R4408" s="32">
        <v>44581.0</v>
      </c>
      <c r="S4408" s="32">
        <v>42832.0</v>
      </c>
      <c r="T4408" s="29"/>
      <c r="U4408" s="33"/>
      <c r="V4408" s="1"/>
    </row>
    <row r="4409" ht="24.0" customHeight="1">
      <c r="A4409" s="1"/>
      <c r="B4409" s="24" t="str">
        <f>HYPERLINK("https://www.compass.com/listing/151-w-west-21st-street-unit-1a-manhattan-ny-10011/803392697553340289/view?agent_id=610d3f3370540700019b0833","151 W W 21st St, Unit 1A")</f>
        <v>151 W W 21st St, Unit 1A</v>
      </c>
      <c r="C4409" s="25" t="s">
        <v>364</v>
      </c>
      <c r="D4409" s="26" t="s">
        <v>23</v>
      </c>
      <c r="E4409" s="26" t="s">
        <v>443</v>
      </c>
      <c r="F4409" s="25" t="s">
        <v>27</v>
      </c>
      <c r="G4409" s="28">
        <v>2995000.0</v>
      </c>
      <c r="H4409" s="28">
        <v>2408.0</v>
      </c>
      <c r="I4409" s="28">
        <v>3380.0</v>
      </c>
      <c r="J4409" s="28">
        <v>17580.0</v>
      </c>
      <c r="K4409" s="25" t="s">
        <v>28</v>
      </c>
      <c r="L4409" s="26">
        <v>4.0</v>
      </c>
      <c r="M4409" s="26">
        <v>2.0</v>
      </c>
      <c r="N4409" s="26">
        <v>0.0</v>
      </c>
      <c r="O4409" s="26">
        <v>0.0</v>
      </c>
      <c r="P4409" s="34">
        <v>1244.0</v>
      </c>
      <c r="Q4409" s="35">
        <v>3.0</v>
      </c>
      <c r="R4409" s="32">
        <v>45636.0</v>
      </c>
      <c r="S4409" s="32">
        <v>43019.0</v>
      </c>
      <c r="T4409" s="29"/>
      <c r="U4409" s="33"/>
      <c r="V4409" s="1"/>
    </row>
    <row r="4410" ht="24.0" customHeight="1">
      <c r="A4410" s="1"/>
      <c r="B4410" s="24" t="str">
        <f>HYPERLINK("https://www.compass.com/listing/303-east-8th-street-unit-6r-manhattan-ny-10009/1166841000601845481/view?agent_id=610d3f3370540700019b0833","303 E 8th St, Unit 6R")</f>
        <v>303 E 8th St, Unit 6R</v>
      </c>
      <c r="C4410" s="25" t="s">
        <v>364</v>
      </c>
      <c r="D4410" s="26" t="s">
        <v>23</v>
      </c>
      <c r="E4410" s="27" t="str">
        <f>HYPERLINK("https://www.compass.com/building/303-e-8th-st-manhattan-ny-10009/281899441424709941/","303 E 8th St")</f>
        <v>303 E 8th St</v>
      </c>
      <c r="F4410" s="25" t="s">
        <v>24</v>
      </c>
      <c r="G4410" s="28">
        <v>1475000.0</v>
      </c>
      <c r="H4410" s="28">
        <v>1135.0</v>
      </c>
      <c r="I4410" s="28">
        <v>2150.0</v>
      </c>
      <c r="J4410" s="28">
        <v>0.0</v>
      </c>
      <c r="K4410" s="25" t="s">
        <v>25</v>
      </c>
      <c r="L4410" s="26">
        <v>5.0</v>
      </c>
      <c r="M4410" s="26">
        <v>2.0</v>
      </c>
      <c r="N4410" s="26">
        <v>1.0</v>
      </c>
      <c r="O4410" s="26">
        <v>0.0</v>
      </c>
      <c r="P4410" s="34">
        <v>1300.0</v>
      </c>
      <c r="Q4410" s="35">
        <v>150.0</v>
      </c>
      <c r="R4410" s="32">
        <v>45636.0</v>
      </c>
      <c r="S4410" s="32">
        <v>44854.0</v>
      </c>
      <c r="T4410" s="29"/>
      <c r="U4410" s="33"/>
      <c r="V4410" s="1"/>
    </row>
    <row r="4411" ht="24.0" customHeight="1">
      <c r="A4411" s="1"/>
      <c r="B4411" s="24" t="str">
        <f>HYPERLINK("https://www.compass.com/listing/62-avenue-b-unit-3m-manhattan-ny-10009/4839370517876064097/view?agent_id=610d3f3370540700019b0833","62 Avenue B, Unit 3M")</f>
        <v>62 Avenue B, Unit 3M</v>
      </c>
      <c r="C4411" s="25" t="s">
        <v>364</v>
      </c>
      <c r="D4411" s="26" t="s">
        <v>23</v>
      </c>
      <c r="E4411" s="27" t="str">
        <f>HYPERLINK("https://www.compass.com/building/bloom-62-manhattan-ny/426964275618193101/","Bloom 62")</f>
        <v>Bloom 62</v>
      </c>
      <c r="F4411" s="25" t="s">
        <v>24</v>
      </c>
      <c r="G4411" s="28">
        <v>1415000.0</v>
      </c>
      <c r="H4411" s="28">
        <v>1494.0</v>
      </c>
      <c r="I4411" s="28">
        <v>2490.0</v>
      </c>
      <c r="J4411" s="28">
        <v>16178.0</v>
      </c>
      <c r="K4411" s="36"/>
      <c r="L4411" s="26">
        <v>4.0</v>
      </c>
      <c r="M4411" s="26">
        <v>2.0</v>
      </c>
      <c r="N4411" s="26">
        <v>1.0</v>
      </c>
      <c r="O4411" s="26">
        <v>0.0</v>
      </c>
      <c r="P4411" s="26">
        <v>947.0</v>
      </c>
      <c r="Q4411" s="35">
        <v>58.0</v>
      </c>
      <c r="R4411" s="32">
        <v>43202.0</v>
      </c>
      <c r="S4411" s="32">
        <v>43053.0</v>
      </c>
      <c r="T4411" s="29"/>
      <c r="U4411" s="33"/>
      <c r="V4411" s="1"/>
    </row>
    <row r="4412" ht="24.0" customHeight="1">
      <c r="A4412" s="1"/>
      <c r="B4412" s="24" t="str">
        <f>HYPERLINK("https://www.compass.com/listing/55-avenue-c-unit-4-manhattan-ny-10009/79373773492553025/view?agent_id=610d3f3370540700019b0833","55 Avenue C, Unit 4")</f>
        <v>55 Avenue C, Unit 4</v>
      </c>
      <c r="C4412" s="25" t="s">
        <v>364</v>
      </c>
      <c r="D4412" s="26" t="s">
        <v>23</v>
      </c>
      <c r="E4412" s="27" t="str">
        <f>HYPERLINK("https://www.compass.com/building/55-avenue-c-manhattan-ny-10009/389270682556089877/","55 Avenue C")</f>
        <v>55 Avenue C</v>
      </c>
      <c r="F4412" s="25" t="s">
        <v>24</v>
      </c>
      <c r="G4412" s="28">
        <v>695000.0</v>
      </c>
      <c r="H4412" s="28">
        <v>1158.0</v>
      </c>
      <c r="I4412" s="28">
        <v>300.0</v>
      </c>
      <c r="J4412" s="29"/>
      <c r="K4412" s="25" t="s">
        <v>25</v>
      </c>
      <c r="L4412" s="26">
        <v>4.0</v>
      </c>
      <c r="M4412" s="26">
        <v>2.0</v>
      </c>
      <c r="N4412" s="30"/>
      <c r="O4412" s="30"/>
      <c r="P4412" s="26">
        <v>600.0</v>
      </c>
      <c r="Q4412" s="35">
        <v>147.0</v>
      </c>
      <c r="R4412" s="32">
        <v>42477.0</v>
      </c>
      <c r="S4412" s="32">
        <v>40060.0</v>
      </c>
      <c r="T4412" s="29"/>
      <c r="U4412" s="33"/>
      <c r="V4412" s="1"/>
    </row>
    <row r="4413" ht="24.0" customHeight="1">
      <c r="A4413" s="1"/>
      <c r="B4413" s="24" t="str">
        <f>HYPERLINK("https://www.compass.com/listing/425-east-13th-street-unit-pha-manhattan-ny-10009/920610645253817433/view?agent_id=610d3f3370540700019b0833","425 E 13th St, Unit PHA")</f>
        <v>425 E 13th St, Unit PHA</v>
      </c>
      <c r="C4413" s="25" t="s">
        <v>364</v>
      </c>
      <c r="D4413" s="26" t="s">
        <v>23</v>
      </c>
      <c r="E4413" s="27" t="str">
        <f>HYPERLINK("https://www.compass.com/building/the-a-building-manhattan-ny/292793565463989989/","The A Building")</f>
        <v>The A Building</v>
      </c>
      <c r="F4413" s="25" t="s">
        <v>24</v>
      </c>
      <c r="G4413" s="28">
        <v>2600000.0</v>
      </c>
      <c r="H4413" s="28">
        <v>2112.0</v>
      </c>
      <c r="I4413" s="28">
        <v>2776.0</v>
      </c>
      <c r="J4413" s="28">
        <v>8292.0</v>
      </c>
      <c r="K4413" s="25" t="s">
        <v>28</v>
      </c>
      <c r="L4413" s="26">
        <v>4.0</v>
      </c>
      <c r="M4413" s="26">
        <v>2.0</v>
      </c>
      <c r="N4413" s="26">
        <v>0.0</v>
      </c>
      <c r="O4413" s="26">
        <v>0.0</v>
      </c>
      <c r="P4413" s="34">
        <v>1231.0</v>
      </c>
      <c r="Q4413" s="35">
        <v>266.0</v>
      </c>
      <c r="R4413" s="32">
        <v>45636.0</v>
      </c>
      <c r="S4413" s="32">
        <v>42508.0</v>
      </c>
      <c r="T4413" s="29"/>
      <c r="U4413" s="33"/>
      <c r="V4413" s="1"/>
    </row>
    <row r="4414" ht="24.0" customHeight="1">
      <c r="A4414" s="1"/>
      <c r="B4414" s="24" t="str">
        <f>HYPERLINK("https://www.compass.com/listing/79-perry-street-unit-phf-manhattan-ny-10014/1456713465643950897/view?agent_id=610d3f3370540700019b0833","79 Perry St, Unit PHF")</f>
        <v>79 Perry St, Unit PHF</v>
      </c>
      <c r="C4414" s="25" t="s">
        <v>365</v>
      </c>
      <c r="D4414" s="26" t="s">
        <v>23</v>
      </c>
      <c r="E4414" s="27" t="str">
        <f>HYPERLINK("https://www.compass.com/building/79-perry-st-manhattan-ny-10014/281935967663739445/","79 Perry St")</f>
        <v>79 Perry St</v>
      </c>
      <c r="F4414" s="25" t="s">
        <v>26</v>
      </c>
      <c r="G4414" s="28">
        <v>1450000.0</v>
      </c>
      <c r="H4414" s="29"/>
      <c r="I4414" s="28">
        <v>1500.0</v>
      </c>
      <c r="J4414" s="28">
        <v>0.0</v>
      </c>
      <c r="K4414" s="25" t="s">
        <v>25</v>
      </c>
      <c r="L4414" s="26">
        <v>3.0</v>
      </c>
      <c r="M4414" s="26">
        <v>2.0</v>
      </c>
      <c r="N4414" s="26">
        <v>1.0</v>
      </c>
      <c r="O4414" s="26">
        <v>0.0</v>
      </c>
      <c r="P4414" s="30"/>
      <c r="Q4414" s="35">
        <v>51.0</v>
      </c>
      <c r="R4414" s="32">
        <v>45636.0</v>
      </c>
      <c r="S4414" s="32">
        <v>45261.0</v>
      </c>
      <c r="T4414" s="29"/>
      <c r="U4414" s="33"/>
      <c r="V4414" s="1"/>
    </row>
    <row r="4415" ht="24.0" customHeight="1">
      <c r="A4415" s="1"/>
      <c r="B4415" s="24" t="str">
        <f>HYPERLINK("https://www.compass.com/listing/283-east-4th-street-unit-c4-manhattan-ny-10009/183935957555242465/view?agent_id=610d3f3370540700019b0833","283 E 4th St, Unit C4")</f>
        <v>283 E 4th St, Unit C4</v>
      </c>
      <c r="C4415" s="25" t="s">
        <v>364</v>
      </c>
      <c r="D4415" s="26" t="s">
        <v>23</v>
      </c>
      <c r="E4415" s="27" t="str">
        <f>HYPERLINK("https://www.compass.com/building/283-e-4th-st-manhattan-ny-10009/281899311376117829/","283 E 4th St")</f>
        <v>283 E 4th St</v>
      </c>
      <c r="F4415" s="25" t="s">
        <v>24</v>
      </c>
      <c r="G4415" s="28">
        <v>709000.0</v>
      </c>
      <c r="H4415" s="29"/>
      <c r="I4415" s="28">
        <v>715.0</v>
      </c>
      <c r="J4415" s="28">
        <v>0.0</v>
      </c>
      <c r="K4415" s="25" t="s">
        <v>25</v>
      </c>
      <c r="L4415" s="26">
        <v>4.0</v>
      </c>
      <c r="M4415" s="26">
        <v>2.0</v>
      </c>
      <c r="N4415" s="30"/>
      <c r="O4415" s="30"/>
      <c r="P4415" s="30"/>
      <c r="Q4415" s="35">
        <v>55.0</v>
      </c>
      <c r="R4415" s="32">
        <v>43563.0</v>
      </c>
      <c r="S4415" s="32">
        <v>43505.0</v>
      </c>
      <c r="T4415" s="29"/>
      <c r="U4415" s="33"/>
      <c r="V4415" s="1"/>
    </row>
    <row r="4416" ht="24.0" customHeight="1">
      <c r="A4416" s="1"/>
      <c r="B4416" s="24" t="str">
        <f>HYPERLINK("https://www.compass.com/listing/126-east-12th-street-unit-4d-manhattan-ny-10003/167803862940443825/view?agent_id=610d3f3370540700019b0833","126 E 12th St, Unit 4D")</f>
        <v>126 E 12th St, Unit 4D</v>
      </c>
      <c r="C4416" s="25" t="s">
        <v>364</v>
      </c>
      <c r="D4416" s="26" t="s">
        <v>23</v>
      </c>
      <c r="E4416" s="27" t="str">
        <f>HYPERLINK("https://www.compass.com/building/126-e-12th-st-manhattan-ny-10003/281889319461848853/","126 E 12th St")</f>
        <v>126 E 12th St</v>
      </c>
      <c r="F4416" s="25" t="s">
        <v>43</v>
      </c>
      <c r="G4416" s="28">
        <v>690000.0</v>
      </c>
      <c r="H4416" s="29"/>
      <c r="I4416" s="28">
        <v>1436.0</v>
      </c>
      <c r="J4416" s="29"/>
      <c r="K4416" s="25" t="s">
        <v>25</v>
      </c>
      <c r="L4416" s="26">
        <v>5.0</v>
      </c>
      <c r="M4416" s="26">
        <v>2.0</v>
      </c>
      <c r="N4416" s="30"/>
      <c r="O4416" s="30"/>
      <c r="P4416" s="30"/>
      <c r="Q4416" s="31"/>
      <c r="R4416" s="32">
        <v>43698.0</v>
      </c>
      <c r="S4416" s="33"/>
      <c r="T4416" s="29"/>
      <c r="U4416" s="33"/>
      <c r="V4416" s="1"/>
    </row>
    <row r="4417" ht="24.0" customHeight="1">
      <c r="A4417" s="1"/>
      <c r="B4417" s="24" t="str">
        <f>HYPERLINK("https://www.compass.com/listing/443-bergen-street-unit-b-brooklyn-ny-11217/115109383989388897/view?agent_id=610d3f3370540700019b0833","443 Bergen St, Unit B")</f>
        <v>443 Bergen St, Unit B</v>
      </c>
      <c r="C4417" s="25" t="s">
        <v>364</v>
      </c>
      <c r="D4417" s="26" t="s">
        <v>23</v>
      </c>
      <c r="E4417" s="27" t="str">
        <f>HYPERLINK("https://www.compass.com/building/443-bergen-st-brooklyn-ny-11217/282482377211563749/","443 Bergen St")</f>
        <v>443 Bergen St</v>
      </c>
      <c r="F4417" s="25" t="s">
        <v>40</v>
      </c>
      <c r="G4417" s="28">
        <v>1299000.0</v>
      </c>
      <c r="H4417" s="28">
        <v>1385.0</v>
      </c>
      <c r="I4417" s="28">
        <v>900.0</v>
      </c>
      <c r="J4417" s="28">
        <v>7548.0</v>
      </c>
      <c r="K4417" s="25" t="s">
        <v>28</v>
      </c>
      <c r="L4417" s="26">
        <v>4.0</v>
      </c>
      <c r="M4417" s="26">
        <v>2.0</v>
      </c>
      <c r="N4417" s="26">
        <v>1.0</v>
      </c>
      <c r="O4417" s="26">
        <v>0.0</v>
      </c>
      <c r="P4417" s="26">
        <v>938.0</v>
      </c>
      <c r="Q4417" s="35">
        <v>78.0</v>
      </c>
      <c r="R4417" s="32">
        <v>45636.0</v>
      </c>
      <c r="S4417" s="32">
        <v>43410.0</v>
      </c>
      <c r="T4417" s="29"/>
      <c r="U4417" s="33"/>
      <c r="V4417" s="1"/>
    </row>
    <row r="4418" ht="24.0" customHeight="1">
      <c r="A4418" s="1"/>
      <c r="B4418" s="24" t="str">
        <f>HYPERLINK("https://www.compass.com/listing/504-east-6th-street-unit-4-manhattan-ny-10009/79374089751490449/view?agent_id=610d3f3370540700019b0833","504 E 6th St, Unit 4")</f>
        <v>504 E 6th St, Unit 4</v>
      </c>
      <c r="C4418" s="25" t="s">
        <v>364</v>
      </c>
      <c r="D4418" s="26" t="s">
        <v>23</v>
      </c>
      <c r="E4418" s="27" t="str">
        <f>HYPERLINK("https://www.compass.com/building/504-e-6th-st-manhattan-ny-10009/281900419830003093/","504 E 6th St")</f>
        <v>504 E 6th St</v>
      </c>
      <c r="F4418" s="25" t="s">
        <v>24</v>
      </c>
      <c r="G4418" s="28">
        <v>999999.0</v>
      </c>
      <c r="H4418" s="28">
        <v>1333.0</v>
      </c>
      <c r="I4418" s="28">
        <v>930.0</v>
      </c>
      <c r="J4418" s="28">
        <v>0.0</v>
      </c>
      <c r="K4418" s="25" t="s">
        <v>49</v>
      </c>
      <c r="L4418" s="26">
        <v>3.0</v>
      </c>
      <c r="M4418" s="26">
        <v>2.0</v>
      </c>
      <c r="N4418" s="30"/>
      <c r="O4418" s="30"/>
      <c r="P4418" s="26">
        <v>750.0</v>
      </c>
      <c r="Q4418" s="35">
        <v>28.0</v>
      </c>
      <c r="R4418" s="32">
        <v>42104.0</v>
      </c>
      <c r="S4418" s="32">
        <v>41218.0</v>
      </c>
      <c r="T4418" s="29"/>
      <c r="U4418" s="33"/>
      <c r="V4418" s="1"/>
    </row>
    <row r="4419" ht="24.0" customHeight="1">
      <c r="A4419" s="1"/>
      <c r="B4419" s="24" t="str">
        <f>HYPERLINK("https://www.compass.com/listing/135-west-16th-street-unit-10-manhattan-ny-10011/1299340185060785233/view?agent_id=610d3f3370540700019b0833","135 W 16th St, Unit 10")</f>
        <v>135 W 16th St, Unit 10</v>
      </c>
      <c r="C4419" s="25" t="s">
        <v>364</v>
      </c>
      <c r="D4419" s="26" t="s">
        <v>23</v>
      </c>
      <c r="E4419" s="27" t="str">
        <f>HYPERLINK("https://www.compass.com/building/135-w-16th-st-manhattan-ny-10011/281905170315495829/","135 W 16th St")</f>
        <v>135 W 16th St</v>
      </c>
      <c r="F4419" s="25" t="s">
        <v>27</v>
      </c>
      <c r="G4419" s="28">
        <v>1249500.0</v>
      </c>
      <c r="H4419" s="29"/>
      <c r="I4419" s="28">
        <v>2139.0</v>
      </c>
      <c r="J4419" s="28">
        <v>16200.0</v>
      </c>
      <c r="K4419" s="25" t="s">
        <v>28</v>
      </c>
      <c r="L4419" s="26">
        <v>5.0</v>
      </c>
      <c r="M4419" s="26">
        <v>2.0</v>
      </c>
      <c r="N4419" s="26">
        <v>1.0</v>
      </c>
      <c r="O4419" s="26">
        <v>0.0</v>
      </c>
      <c r="P4419" s="30"/>
      <c r="Q4419" s="35">
        <v>313.0</v>
      </c>
      <c r="R4419" s="32">
        <v>45636.0</v>
      </c>
      <c r="S4419" s="32">
        <v>45043.0</v>
      </c>
      <c r="T4419" s="29"/>
      <c r="U4419" s="33"/>
      <c r="V4419" s="1"/>
    </row>
    <row r="4420" ht="24.0" customHeight="1">
      <c r="A4420" s="1"/>
      <c r="B4420" s="24" t="str">
        <f>HYPERLINK("https://www.compass.com/listing/68-west-11th-street-unit-3-manhattan-ny-10011/4852282058191415841/view?agent_id=610d3f3370540700019b0833","68 W 11th St, Unit 3")</f>
        <v>68 W 11th St, Unit 3</v>
      </c>
      <c r="C4420" s="25" t="s">
        <v>370</v>
      </c>
      <c r="D4420" s="26" t="s">
        <v>23</v>
      </c>
      <c r="E4420" s="27" t="str">
        <f>HYPERLINK("https://www.compass.com/building/68-w-11th-st-manhattan-ny-10011/281912020461184501/","68 W 11th St")</f>
        <v>68 W 11th St</v>
      </c>
      <c r="F4420" s="25" t="s">
        <v>43</v>
      </c>
      <c r="G4420" s="28">
        <v>2375000.0</v>
      </c>
      <c r="H4420" s="29"/>
      <c r="I4420" s="28">
        <v>1606.0</v>
      </c>
      <c r="J4420" s="29"/>
      <c r="K4420" s="25" t="s">
        <v>25</v>
      </c>
      <c r="L4420" s="26">
        <v>4.0</v>
      </c>
      <c r="M4420" s="26">
        <v>2.0</v>
      </c>
      <c r="N4420" s="26">
        <v>0.0</v>
      </c>
      <c r="O4420" s="26">
        <v>0.0</v>
      </c>
      <c r="P4420" s="30"/>
      <c r="Q4420" s="35">
        <v>4.0</v>
      </c>
      <c r="R4420" s="32">
        <v>45636.0</v>
      </c>
      <c r="S4420" s="32">
        <v>42831.0</v>
      </c>
      <c r="T4420" s="29"/>
      <c r="U4420" s="33"/>
      <c r="V4420" s="1"/>
    </row>
    <row r="4421" ht="24.0" customHeight="1">
      <c r="A4421" s="1"/>
      <c r="B4421" s="24" t="str">
        <f>HYPERLINK("https://www.compass.com/listing/252-east-7th-street-unit-21-manhattan-ny-10009/278797516168817313/view?agent_id=610d3f3370540700019b0833","252 E 7th St, Unit 21")</f>
        <v>252 E 7th St, Unit 21</v>
      </c>
      <c r="C4421" s="25" t="s">
        <v>364</v>
      </c>
      <c r="D4421" s="26" t="s">
        <v>23</v>
      </c>
      <c r="E4421" s="27" t="str">
        <f>HYPERLINK("https://www.compass.com/building/252-e-7th-st-manhattan-ny-10009/294838072189356837/","252 E 7th St")</f>
        <v>252 E 7th St</v>
      </c>
      <c r="F4421" s="25" t="s">
        <v>24</v>
      </c>
      <c r="G4421" s="28">
        <v>930000.0</v>
      </c>
      <c r="H4421" s="28">
        <v>1107.0</v>
      </c>
      <c r="I4421" s="28">
        <v>1084.0</v>
      </c>
      <c r="J4421" s="29"/>
      <c r="K4421" s="25" t="s">
        <v>25</v>
      </c>
      <c r="L4421" s="26">
        <v>4.0</v>
      </c>
      <c r="M4421" s="26">
        <v>2.0</v>
      </c>
      <c r="N4421" s="30"/>
      <c r="O4421" s="30"/>
      <c r="P4421" s="26">
        <v>840.0</v>
      </c>
      <c r="Q4421" s="35">
        <v>29.0</v>
      </c>
      <c r="R4421" s="32">
        <v>41640.0</v>
      </c>
      <c r="S4421" s="32">
        <v>42178.0</v>
      </c>
      <c r="T4421" s="29"/>
      <c r="U4421" s="33"/>
      <c r="V4421" s="1"/>
    </row>
    <row r="4422" ht="24.0" customHeight="1">
      <c r="A4422" s="1"/>
      <c r="B4422" s="24" t="str">
        <f>HYPERLINK("https://www.compass.com/listing/101-west-12th-street-unit-7w-manhattan-ny-10011/167806622549164801/view?agent_id=610d3f3370540700019b0833","101 W 12th St, Unit 7W")</f>
        <v>101 W 12th St, Unit 7W</v>
      </c>
      <c r="C4422" s="25" t="s">
        <v>364</v>
      </c>
      <c r="D4422" s="26" t="s">
        <v>23</v>
      </c>
      <c r="E4422" s="27" t="str">
        <f>HYPERLINK("https://www.compass.com/building/the-john-adams-manhattan-ny/281904092027046869/","The John Adams")</f>
        <v>The John Adams</v>
      </c>
      <c r="F4422" s="25" t="s">
        <v>26</v>
      </c>
      <c r="G4422" s="28">
        <v>1257000.0</v>
      </c>
      <c r="H4422" s="28">
        <v>1540.0</v>
      </c>
      <c r="I4422" s="28">
        <v>1416.0</v>
      </c>
      <c r="J4422" s="29"/>
      <c r="K4422" s="25" t="s">
        <v>25</v>
      </c>
      <c r="L4422" s="26">
        <v>4.0</v>
      </c>
      <c r="M4422" s="26">
        <v>2.0</v>
      </c>
      <c r="N4422" s="30"/>
      <c r="O4422" s="30"/>
      <c r="P4422" s="26">
        <v>816.0</v>
      </c>
      <c r="Q4422" s="31"/>
      <c r="R4422" s="32">
        <v>43698.0</v>
      </c>
      <c r="S4422" s="33"/>
      <c r="T4422" s="29"/>
      <c r="U4422" s="33"/>
      <c r="V4422" s="1"/>
    </row>
    <row r="4423" ht="24.0" customHeight="1">
      <c r="A4423" s="1"/>
      <c r="B4423" s="24" t="str">
        <f>HYPERLINK("https://www.compass.com/listing/100-west-12th-street-unit-4gh-manhattan-ny-10011/4835740025180139201/view?agent_id=610d3f3370540700019b0833","100 W 12th St, Unit 4GH")</f>
        <v>100 W 12th St, Unit 4GH</v>
      </c>
      <c r="C4423" s="25" t="s">
        <v>370</v>
      </c>
      <c r="D4423" s="26" t="s">
        <v>23</v>
      </c>
      <c r="E4423" s="27" t="str">
        <f>HYPERLINK("https://www.compass.com/building/100-w-12th-st-manhattan-ny-10011/567786911622113701/","100 W 12th St")</f>
        <v>100 W 12th St</v>
      </c>
      <c r="F4423" s="25" t="s">
        <v>26</v>
      </c>
      <c r="G4423" s="28">
        <v>1595000.0</v>
      </c>
      <c r="H4423" s="28">
        <v>1450.0</v>
      </c>
      <c r="I4423" s="28">
        <v>2459.0</v>
      </c>
      <c r="J4423" s="29"/>
      <c r="K4423" s="25" t="s">
        <v>25</v>
      </c>
      <c r="L4423" s="26">
        <v>5.0</v>
      </c>
      <c r="M4423" s="26">
        <v>2.0</v>
      </c>
      <c r="N4423" s="26">
        <v>0.0</v>
      </c>
      <c r="O4423" s="26">
        <v>0.0</v>
      </c>
      <c r="P4423" s="34">
        <v>1100.0</v>
      </c>
      <c r="Q4423" s="35">
        <v>71.0</v>
      </c>
      <c r="R4423" s="32">
        <v>45636.0</v>
      </c>
      <c r="S4423" s="32">
        <v>43011.0</v>
      </c>
      <c r="T4423" s="29"/>
      <c r="U4423" s="33"/>
      <c r="V4423" s="1"/>
    </row>
    <row r="4424" ht="24.0" customHeight="1">
      <c r="A4424" s="1"/>
      <c r="B4424" s="24" t="str">
        <f>HYPERLINK("https://www.compass.com/listing/175-west-12th-street-unit-14f-manhattan-ny-10011/921093837270968977/view?agent_id=610d3f3370540700019b0833","175 W 12th St, Unit 14F")</f>
        <v>175 W 12th St, Unit 14F</v>
      </c>
      <c r="C4424" s="25" t="s">
        <v>364</v>
      </c>
      <c r="D4424" s="26" t="s">
        <v>23</v>
      </c>
      <c r="E4424" s="27" t="str">
        <f>HYPERLINK("https://www.compass.com/building/century-towers-manhattan-ny/281906200671441957/","Century Towers")</f>
        <v>Century Towers</v>
      </c>
      <c r="F4424" s="25" t="s">
        <v>26</v>
      </c>
      <c r="G4424" s="28">
        <v>1700000.0</v>
      </c>
      <c r="H4424" s="28">
        <v>1984.0</v>
      </c>
      <c r="I4424" s="28">
        <v>1446.0</v>
      </c>
      <c r="J4424" s="28">
        <v>9000.0</v>
      </c>
      <c r="K4424" s="25" t="s">
        <v>28</v>
      </c>
      <c r="L4424" s="26">
        <v>5.0</v>
      </c>
      <c r="M4424" s="26">
        <v>2.0</v>
      </c>
      <c r="N4424" s="26">
        <v>1.0</v>
      </c>
      <c r="O4424" s="26">
        <v>0.0</v>
      </c>
      <c r="P4424" s="26">
        <v>857.0</v>
      </c>
      <c r="Q4424" s="35">
        <v>62.0</v>
      </c>
      <c r="R4424" s="32">
        <v>45636.0</v>
      </c>
      <c r="S4424" s="32">
        <v>43055.0</v>
      </c>
      <c r="T4424" s="29"/>
      <c r="U4424" s="33"/>
      <c r="V4424" s="1"/>
    </row>
    <row r="4425" ht="24.0" customHeight="1">
      <c r="A4425" s="1"/>
      <c r="B4425" s="24" t="str">
        <f>HYPERLINK("https://www.compass.com/listing/234-west-21st-street-unit-43-manhattan-ny-10011/1789323004183101113/view?agent_id=610d3f3370540700019b0833","234 W 21st St, Unit 43")</f>
        <v>234 W 21st St, Unit 43</v>
      </c>
      <c r="C4425" s="25" t="s">
        <v>364</v>
      </c>
      <c r="D4425" s="26" t="s">
        <v>23</v>
      </c>
      <c r="E4425" s="27" t="str">
        <f>HYPERLINK("https://www.compass.com/building/234-west-21st-street-manhattan-ny/281907472074035573/","234 West 21st Street")</f>
        <v>234 West 21st Street</v>
      </c>
      <c r="F4425" s="25" t="s">
        <v>27</v>
      </c>
      <c r="G4425" s="28">
        <v>1450000.0</v>
      </c>
      <c r="H4425" s="29"/>
      <c r="I4425" s="28">
        <v>1617.0</v>
      </c>
      <c r="J4425" s="28">
        <v>0.0</v>
      </c>
      <c r="K4425" s="25" t="s">
        <v>25</v>
      </c>
      <c r="L4425" s="26">
        <v>5.0</v>
      </c>
      <c r="M4425" s="26">
        <v>2.0</v>
      </c>
      <c r="N4425" s="26">
        <v>1.0</v>
      </c>
      <c r="O4425" s="26">
        <v>0.0</v>
      </c>
      <c r="P4425" s="30"/>
      <c r="Q4425" s="35">
        <v>137.0</v>
      </c>
      <c r="R4425" s="32">
        <v>45858.0</v>
      </c>
      <c r="S4425" s="32">
        <v>45720.0</v>
      </c>
      <c r="T4425" s="29"/>
      <c r="U4425" s="33"/>
      <c r="V4425" s="1"/>
    </row>
    <row r="4426" ht="24.0" customHeight="1">
      <c r="A4426" s="1"/>
      <c r="B4426" s="24" t="str">
        <f>HYPERLINK("https://www.compass.com/listing/3-sheridan-square-unit-6e-manhattan-ny-10014/1838926320898298169/view?agent_id=610d3f3370540700019b0833","3 Sheridan Square, Unit 6E")</f>
        <v>3 Sheridan Square, Unit 6E</v>
      </c>
      <c r="C4426" s="25" t="s">
        <v>364</v>
      </c>
      <c r="D4426" s="26" t="s">
        <v>23</v>
      </c>
      <c r="E4426" s="27" t="str">
        <f>HYPERLINK("https://www.compass.com/building/3-sheridan-square-manhattan-ny-10014/294838762379017749/","3 Sheridan Square")</f>
        <v>3 Sheridan Square</v>
      </c>
      <c r="F4426" s="25" t="s">
        <v>26</v>
      </c>
      <c r="G4426" s="28">
        <v>1475000.0</v>
      </c>
      <c r="H4426" s="28">
        <v>1475.0</v>
      </c>
      <c r="I4426" s="28">
        <v>1537.0</v>
      </c>
      <c r="J4426" s="29"/>
      <c r="K4426" s="25" t="s">
        <v>25</v>
      </c>
      <c r="L4426" s="26">
        <v>4.0</v>
      </c>
      <c r="M4426" s="26">
        <v>2.0</v>
      </c>
      <c r="N4426" s="26">
        <v>1.0</v>
      </c>
      <c r="O4426" s="26">
        <v>0.0</v>
      </c>
      <c r="P4426" s="34">
        <v>1000.0</v>
      </c>
      <c r="Q4426" s="35">
        <v>26.0</v>
      </c>
      <c r="R4426" s="32">
        <v>45636.0</v>
      </c>
      <c r="S4426" s="32">
        <v>41827.0</v>
      </c>
      <c r="T4426" s="29"/>
      <c r="U4426" s="33"/>
      <c r="V4426" s="1"/>
    </row>
    <row r="4427" ht="24.0" customHeight="1">
      <c r="A4427" s="1"/>
      <c r="B4427" s="24" t="str">
        <f>HYPERLINK("https://www.compass.com/listing/227-east-7th-street-unit-gardenunt-manhattan-ny-10009/192570361659838225/view?agent_id=610d3f3370540700019b0833","227 E 7th St, Unit GARDENUNT")</f>
        <v>227 E 7th St, Unit GARDENUNT</v>
      </c>
      <c r="C4427" s="25" t="s">
        <v>370</v>
      </c>
      <c r="D4427" s="26" t="s">
        <v>23</v>
      </c>
      <c r="E4427" s="27" t="str">
        <f>HYPERLINK("https://www.compass.com/building/227-e-7th-st-manhattan-ny-10009/281898841647624229/","227 E 7th St")</f>
        <v>227 E 7th St</v>
      </c>
      <c r="F4427" s="25" t="s">
        <v>24</v>
      </c>
      <c r="G4427" s="28">
        <v>1800000.0</v>
      </c>
      <c r="H4427" s="28">
        <v>1078.0</v>
      </c>
      <c r="I4427" s="28">
        <v>1480.0</v>
      </c>
      <c r="J4427" s="28">
        <v>9216.0</v>
      </c>
      <c r="K4427" s="25" t="s">
        <v>28</v>
      </c>
      <c r="L4427" s="26">
        <v>5.0</v>
      </c>
      <c r="M4427" s="26">
        <v>2.0</v>
      </c>
      <c r="N4427" s="26">
        <v>0.0</v>
      </c>
      <c r="O4427" s="26">
        <v>0.0</v>
      </c>
      <c r="P4427" s="34">
        <v>1670.0</v>
      </c>
      <c r="Q4427" s="35">
        <v>266.0</v>
      </c>
      <c r="R4427" s="32">
        <v>45636.0</v>
      </c>
      <c r="S4427" s="32">
        <v>41829.0</v>
      </c>
      <c r="T4427" s="29"/>
      <c r="U4427" s="33"/>
      <c r="V4427" s="1"/>
    </row>
    <row r="4428" ht="24.0" customHeight="1">
      <c r="A4428" s="1"/>
      <c r="B4428" s="24" t="str">
        <f>HYPERLINK("https://www.compass.com/listing/256-west-10th-street-unit-1c-manhattan-ny-10014/4852329996435333233/view?agent_id=610d3f3370540700019b0833","256 W 10th St, Unit 1C")</f>
        <v>256 W 10th St, Unit 1C</v>
      </c>
      <c r="C4428" s="25" t="s">
        <v>370</v>
      </c>
      <c r="D4428" s="26" t="s">
        <v>23</v>
      </c>
      <c r="E4428" s="27" t="str">
        <f>HYPERLINK("https://www.compass.com/building/256-w-10th-st-manhattan-ny-10014/292834100182572325/","256 W 10th St")</f>
        <v>256 W 10th St</v>
      </c>
      <c r="F4428" s="25" t="s">
        <v>26</v>
      </c>
      <c r="G4428" s="28">
        <v>2150000.0</v>
      </c>
      <c r="H4428" s="29"/>
      <c r="I4428" s="28">
        <v>1770.0</v>
      </c>
      <c r="J4428" s="29"/>
      <c r="K4428" s="25" t="s">
        <v>25</v>
      </c>
      <c r="L4428" s="26">
        <v>5.0</v>
      </c>
      <c r="M4428" s="26">
        <v>2.0</v>
      </c>
      <c r="N4428" s="26">
        <v>0.0</v>
      </c>
      <c r="O4428" s="26">
        <v>0.0</v>
      </c>
      <c r="P4428" s="30"/>
      <c r="Q4428" s="35">
        <v>0.0</v>
      </c>
      <c r="R4428" s="32">
        <v>44581.0</v>
      </c>
      <c r="S4428" s="32">
        <v>41513.0</v>
      </c>
      <c r="T4428" s="29"/>
      <c r="U4428" s="33"/>
      <c r="V4428" s="1"/>
    </row>
    <row r="4429" ht="24.0" customHeight="1">
      <c r="A4429" s="1"/>
      <c r="B4429" s="24" t="str">
        <f>HYPERLINK("https://www.compass.com/listing/436-east-11th-street-unit-4-manhattan-ny-10009/136943513727202961/view?agent_id=610d3f3370540700019b0833","436 E 11th St, Unit 4")</f>
        <v>436 E 11th St, Unit 4</v>
      </c>
      <c r="C4429" s="25" t="s">
        <v>364</v>
      </c>
      <c r="D4429" s="26" t="s">
        <v>23</v>
      </c>
      <c r="E4429" s="27" t="str">
        <f>HYPERLINK("https://www.compass.com/building/436-e-11th-st-manhattan-ny-10009/281900277030731061/","436 E 11th St")</f>
        <v>436 E 11th St</v>
      </c>
      <c r="F4429" s="25" t="s">
        <v>24</v>
      </c>
      <c r="G4429" s="28">
        <v>1395000.0</v>
      </c>
      <c r="H4429" s="28">
        <v>754.0</v>
      </c>
      <c r="I4429" s="28">
        <v>2597.0</v>
      </c>
      <c r="J4429" s="28">
        <v>21936.0</v>
      </c>
      <c r="K4429" s="25" t="s">
        <v>28</v>
      </c>
      <c r="L4429" s="26">
        <v>3.0</v>
      </c>
      <c r="M4429" s="26">
        <v>2.0</v>
      </c>
      <c r="N4429" s="26">
        <v>0.0</v>
      </c>
      <c r="O4429" s="26">
        <v>0.0</v>
      </c>
      <c r="P4429" s="34">
        <v>1850.0</v>
      </c>
      <c r="Q4429" s="35">
        <v>274.0</v>
      </c>
      <c r="R4429" s="32">
        <v>44581.0</v>
      </c>
      <c r="S4429" s="32">
        <v>41185.0</v>
      </c>
      <c r="T4429" s="29"/>
      <c r="U4429" s="33"/>
      <c r="V4429" s="1"/>
    </row>
    <row r="4430" ht="24.0" customHeight="1">
      <c r="A4430" s="1"/>
      <c r="B4430" s="24" t="str">
        <f>HYPERLINK("https://www.compass.com/listing/145-east-15th-street-unit-11kl-manhattan-ny-10003/24965233793667841/view?agent_id=610d3f3370540700019b0833","145 E 15th St, Unit 11KL")</f>
        <v>145 E 15th St, Unit 11KL</v>
      </c>
      <c r="C4430" s="25" t="s">
        <v>370</v>
      </c>
      <c r="D4430" s="26" t="s">
        <v>23</v>
      </c>
      <c r="E4430" s="27" t="str">
        <f>HYPERLINK("https://www.compass.com/building/gramercy-arms-manhattan-ny/281889782529790293/","Gramercy Arms")</f>
        <v>Gramercy Arms</v>
      </c>
      <c r="F4430" s="25" t="s">
        <v>48</v>
      </c>
      <c r="G4430" s="28">
        <v>1750000.0</v>
      </c>
      <c r="H4430" s="28">
        <v>1400.0</v>
      </c>
      <c r="I4430" s="28">
        <v>2167.0</v>
      </c>
      <c r="J4430" s="29"/>
      <c r="K4430" s="25" t="s">
        <v>25</v>
      </c>
      <c r="L4430" s="26">
        <v>5.0</v>
      </c>
      <c r="M4430" s="26">
        <v>2.0</v>
      </c>
      <c r="N4430" s="26">
        <v>0.0</v>
      </c>
      <c r="O4430" s="26">
        <v>0.0</v>
      </c>
      <c r="P4430" s="34">
        <v>1250.0</v>
      </c>
      <c r="Q4430" s="35">
        <v>1.0</v>
      </c>
      <c r="R4430" s="32">
        <v>45636.0</v>
      </c>
      <c r="S4430" s="32">
        <v>43239.0</v>
      </c>
      <c r="T4430" s="29"/>
      <c r="U4430" s="33"/>
      <c r="V4430" s="1"/>
    </row>
    <row r="4431" ht="24.0" customHeight="1">
      <c r="A4431" s="1"/>
      <c r="B4431" s="24" t="str">
        <f>HYPERLINK("https://www.compass.com/listing/422-west-20th-street-unit-5h-manhattan-ny-10011/1408199189644044289/view?agent_id=610d3f3370540700019b0833","422 W 20th St, Unit 5H")</f>
        <v>422 W 20th St, Unit 5H</v>
      </c>
      <c r="C4431" s="25" t="s">
        <v>364</v>
      </c>
      <c r="D4431" s="26" t="s">
        <v>23</v>
      </c>
      <c r="E4431" s="27" t="str">
        <f>HYPERLINK("https://www.compass.com/building/422-w-20th-st-manhattan-ny-10011/281910243049367013/","422 W 20th St")</f>
        <v>422 W 20th St</v>
      </c>
      <c r="F4431" s="25" t="s">
        <v>27</v>
      </c>
      <c r="G4431" s="28">
        <v>1599000.0</v>
      </c>
      <c r="H4431" s="28">
        <v>1765.0</v>
      </c>
      <c r="I4431" s="28">
        <v>2960.0</v>
      </c>
      <c r="J4431" s="28">
        <v>15576.0</v>
      </c>
      <c r="K4431" s="25" t="s">
        <v>28</v>
      </c>
      <c r="L4431" s="26">
        <v>4.0</v>
      </c>
      <c r="M4431" s="26">
        <v>2.0</v>
      </c>
      <c r="N4431" s="26">
        <v>1.0</v>
      </c>
      <c r="O4431" s="26">
        <v>0.0</v>
      </c>
      <c r="P4431" s="26">
        <v>906.0</v>
      </c>
      <c r="Q4431" s="35">
        <v>27.0</v>
      </c>
      <c r="R4431" s="32">
        <v>45636.0</v>
      </c>
      <c r="S4431" s="32">
        <v>45194.0</v>
      </c>
      <c r="T4431" s="29"/>
      <c r="U4431" s="33"/>
      <c r="V4431" s="1"/>
    </row>
    <row r="4432" ht="24.0" customHeight="1">
      <c r="A4432" s="1"/>
      <c r="B4432" s="24" t="str">
        <f>HYPERLINK("https://www.compass.com/listing/13-west-13th-street-unit-2cs-manhattan-ny-10011/29366177503466929/view?agent_id=610d3f3370540700019b0833","13 W 13th St, Unit 2CS")</f>
        <v>13 W 13th St, Unit 2CS</v>
      </c>
      <c r="C4432" s="25" t="s">
        <v>364</v>
      </c>
      <c r="D4432" s="26" t="s">
        <v>23</v>
      </c>
      <c r="E4432" s="27" t="str">
        <f>HYPERLINK("https://www.compass.com/building/the-norville-house-manhattan-ny/292801098475923429/","The Norville House")</f>
        <v>The Norville House</v>
      </c>
      <c r="F4432" s="25" t="s">
        <v>43</v>
      </c>
      <c r="G4432" s="28">
        <v>769000.0</v>
      </c>
      <c r="H4432" s="28">
        <v>879.0</v>
      </c>
      <c r="I4432" s="28">
        <v>1427.0</v>
      </c>
      <c r="J4432" s="29"/>
      <c r="K4432" s="25" t="s">
        <v>25</v>
      </c>
      <c r="L4432" s="26">
        <v>4.0</v>
      </c>
      <c r="M4432" s="26">
        <v>2.0</v>
      </c>
      <c r="N4432" s="30"/>
      <c r="O4432" s="30"/>
      <c r="P4432" s="26">
        <v>875.0</v>
      </c>
      <c r="Q4432" s="35">
        <v>127.0</v>
      </c>
      <c r="R4432" s="32">
        <v>42476.0</v>
      </c>
      <c r="S4432" s="32">
        <v>39817.0</v>
      </c>
      <c r="T4432" s="29"/>
      <c r="U4432" s="33"/>
      <c r="V4432" s="1"/>
    </row>
    <row r="4433" ht="24.0" customHeight="1">
      <c r="A4433" s="1"/>
      <c r="B4433" s="24" t="str">
        <f>HYPERLINK("https://www.compass.com/listing/250-west-24th-street-unit-6ge-manhattan-ny-10011/1509190492214862521/view?agent_id=610d3f3370540700019b0833","250 W 24th St, Unit 6GE")</f>
        <v>250 W 24th St, Unit 6GE</v>
      </c>
      <c r="C4433" s="25" t="s">
        <v>364</v>
      </c>
      <c r="D4433" s="26" t="s">
        <v>23</v>
      </c>
      <c r="E4433" s="27" t="str">
        <f>HYPERLINK("https://www.compass.com/building/250-w-24th-st-manhattan-ny-10011/282059763049596805/","250 W 24th St")</f>
        <v>250 W 24th St</v>
      </c>
      <c r="F4433" s="25" t="s">
        <v>27</v>
      </c>
      <c r="G4433" s="28">
        <v>1750000.0</v>
      </c>
      <c r="H4433" s="28">
        <v>1061.0</v>
      </c>
      <c r="I4433" s="28">
        <v>1944.0</v>
      </c>
      <c r="J4433" s="28">
        <v>0.0</v>
      </c>
      <c r="K4433" s="25" t="s">
        <v>25</v>
      </c>
      <c r="L4433" s="26">
        <v>4.0</v>
      </c>
      <c r="M4433" s="26">
        <v>2.0</v>
      </c>
      <c r="N4433" s="26">
        <v>1.0</v>
      </c>
      <c r="O4433" s="26">
        <v>0.0</v>
      </c>
      <c r="P4433" s="34">
        <v>1650.0</v>
      </c>
      <c r="Q4433" s="35">
        <v>201.0</v>
      </c>
      <c r="R4433" s="32">
        <v>45636.0</v>
      </c>
      <c r="S4433" s="32">
        <v>45335.0</v>
      </c>
      <c r="T4433" s="29"/>
      <c r="U4433" s="33"/>
      <c r="V4433" s="1"/>
    </row>
    <row r="4434" ht="24.0" customHeight="1">
      <c r="A4434" s="1"/>
      <c r="B4434" s="24" t="str">
        <f>HYPERLINK("https://www.compass.com/listing/156-bank-street-unit-a-manhattan-ny-10014/1298495196892864521/view?agent_id=610d3f3370540700019b0833","156 Bank St, Unit A")</f>
        <v>156 Bank St, Unit A</v>
      </c>
      <c r="C4434" s="25" t="s">
        <v>370</v>
      </c>
      <c r="D4434" s="26" t="s">
        <v>23</v>
      </c>
      <c r="E4434" s="27" t="str">
        <f>HYPERLINK("https://www.compass.com/building/west-village-houses-manhattan-ny/282062615914516501/","West Village Houses")</f>
        <v>West Village Houses</v>
      </c>
      <c r="F4434" s="25" t="s">
        <v>26</v>
      </c>
      <c r="G4434" s="28">
        <v>1425000.0</v>
      </c>
      <c r="H4434" s="29"/>
      <c r="I4434" s="28">
        <v>1363.0</v>
      </c>
      <c r="J4434" s="29"/>
      <c r="K4434" s="25" t="s">
        <v>25</v>
      </c>
      <c r="L4434" s="26">
        <v>4.0</v>
      </c>
      <c r="M4434" s="26">
        <v>2.0</v>
      </c>
      <c r="N4434" s="26">
        <v>1.0</v>
      </c>
      <c r="O4434" s="26">
        <v>0.0</v>
      </c>
      <c r="P4434" s="30"/>
      <c r="Q4434" s="35">
        <v>175.0</v>
      </c>
      <c r="R4434" s="32">
        <v>45636.0</v>
      </c>
      <c r="S4434" s="32">
        <v>45043.0</v>
      </c>
      <c r="T4434" s="29"/>
      <c r="U4434" s="33"/>
      <c r="V4434" s="1"/>
    </row>
    <row r="4435" ht="24.0" customHeight="1">
      <c r="A4435" s="1"/>
      <c r="B4435" s="24" t="str">
        <f>HYPERLINK("https://www.compass.com/listing/7-east-9th-street-unit-1-manhattan-ny-10003/1809612965901145417/view?agent_id=610d3f3370540700019b0833","7 E 9th St, Unit 1")</f>
        <v>7 E 9th St, Unit 1</v>
      </c>
      <c r="C4435" s="25" t="s">
        <v>364</v>
      </c>
      <c r="D4435" s="26" t="s">
        <v>23</v>
      </c>
      <c r="E4435" s="27" t="str">
        <f t="shared" ref="E4435:E4436" si="190">HYPERLINK("https://www.compass.com/building/7-e-9th-st-manhattan-ny-10003/281894590703738949/","7 E 9th St")</f>
        <v>7 E 9th St</v>
      </c>
      <c r="F4435" s="25" t="s">
        <v>43</v>
      </c>
      <c r="G4435" s="28">
        <v>1750000.0</v>
      </c>
      <c r="H4435" s="28">
        <v>814.0</v>
      </c>
      <c r="I4435" s="28">
        <v>3110.0</v>
      </c>
      <c r="J4435" s="29"/>
      <c r="K4435" s="25" t="s">
        <v>25</v>
      </c>
      <c r="L4435" s="26">
        <v>5.0</v>
      </c>
      <c r="M4435" s="26">
        <v>2.0</v>
      </c>
      <c r="N4435" s="26">
        <v>0.0</v>
      </c>
      <c r="O4435" s="26">
        <v>0.0</v>
      </c>
      <c r="P4435" s="34">
        <v>2150.0</v>
      </c>
      <c r="Q4435" s="31"/>
      <c r="R4435" s="32">
        <v>44581.0</v>
      </c>
      <c r="S4435" s="33"/>
      <c r="T4435" s="29"/>
      <c r="U4435" s="33"/>
      <c r="V4435" s="1"/>
    </row>
    <row r="4436" ht="24.0" customHeight="1">
      <c r="A4436" s="1"/>
      <c r="B4436" s="24" t="str">
        <f>HYPERLINK("https://www.compass.com/listing/7-east-9th-street-unit-1-manhattan-ny-10003/29365465344139953/view?agent_id=610d3f3370540700019b0833","7 E 9th St, Unit 1")</f>
        <v>7 E 9th St, Unit 1</v>
      </c>
      <c r="C4436" s="25" t="s">
        <v>370</v>
      </c>
      <c r="D4436" s="26" t="s">
        <v>23</v>
      </c>
      <c r="E4436" s="27" t="str">
        <f t="shared" si="190"/>
        <v>7 E 9th St</v>
      </c>
      <c r="F4436" s="25" t="s">
        <v>43</v>
      </c>
      <c r="G4436" s="28">
        <v>1750000.0</v>
      </c>
      <c r="H4436" s="28">
        <v>814.0</v>
      </c>
      <c r="I4436" s="28">
        <v>3110.0</v>
      </c>
      <c r="J4436" s="29"/>
      <c r="K4436" s="25" t="s">
        <v>25</v>
      </c>
      <c r="L4436" s="26">
        <v>5.0</v>
      </c>
      <c r="M4436" s="26">
        <v>2.0</v>
      </c>
      <c r="N4436" s="26">
        <v>0.0</v>
      </c>
      <c r="O4436" s="26">
        <v>0.0</v>
      </c>
      <c r="P4436" s="34">
        <v>2150.0</v>
      </c>
      <c r="Q4436" s="35">
        <v>0.0</v>
      </c>
      <c r="R4436" s="32">
        <v>44581.0</v>
      </c>
      <c r="S4436" s="32">
        <v>41538.0</v>
      </c>
      <c r="T4436" s="29"/>
      <c r="U4436" s="33"/>
      <c r="V4436" s="1"/>
    </row>
    <row r="4437" ht="24.0" customHeight="1">
      <c r="A4437" s="1"/>
      <c r="B4437" s="24" t="str">
        <f>HYPERLINK("https://www.compass.com/listing/126-east-16th-street-unit-2a-manhattan-ny-10003/29377685960537809/view?agent_id=610d3f3370540700019b0833","126 E 16th St, Unit 2A")</f>
        <v>126 E 16th St, Unit 2A</v>
      </c>
      <c r="C4437" s="25" t="s">
        <v>370</v>
      </c>
      <c r="D4437" s="26" t="s">
        <v>23</v>
      </c>
      <c r="E4437" s="27" t="str">
        <f>HYPERLINK("https://www.compass.com/building/126-e-16th-st-manhattan-ny-10003/292780279494353541/","126 E 16th St")</f>
        <v>126 E 16th St</v>
      </c>
      <c r="F4437" s="25" t="s">
        <v>48</v>
      </c>
      <c r="G4437" s="28">
        <v>1950000.0</v>
      </c>
      <c r="H4437" s="28">
        <v>1219.0</v>
      </c>
      <c r="I4437" s="28">
        <v>2832.0</v>
      </c>
      <c r="J4437" s="29"/>
      <c r="K4437" s="25" t="s">
        <v>25</v>
      </c>
      <c r="L4437" s="26">
        <v>5.0</v>
      </c>
      <c r="M4437" s="26">
        <v>2.0</v>
      </c>
      <c r="N4437" s="26">
        <v>0.0</v>
      </c>
      <c r="O4437" s="26">
        <v>0.0</v>
      </c>
      <c r="P4437" s="34">
        <v>1600.0</v>
      </c>
      <c r="Q4437" s="35">
        <v>177.0</v>
      </c>
      <c r="R4437" s="32">
        <v>45636.0</v>
      </c>
      <c r="S4437" s="32">
        <v>42128.0</v>
      </c>
      <c r="T4437" s="29"/>
      <c r="U4437" s="33"/>
      <c r="V4437" s="1"/>
    </row>
    <row r="4438" ht="24.0" customHeight="1">
      <c r="A4438" s="1"/>
      <c r="B4438" s="24" t="str">
        <f>HYPERLINK("https://www.compass.com/listing/504-east-6th-street-unit-2-manhattan-ny-10009/29361239012523793/view?agent_id=610d3f3370540700019b0833","504 East 6th Street, Unit 2")</f>
        <v>504 East 6th Street, Unit 2</v>
      </c>
      <c r="C4438" s="25" t="s">
        <v>364</v>
      </c>
      <c r="D4438" s="26" t="s">
        <v>23</v>
      </c>
      <c r="E4438" s="27" t="str">
        <f>HYPERLINK("https://www.compass.com/building/504-e-6th-st-manhattan-ny-10009/281900419830003093/","504 E 6th St")</f>
        <v>504 E 6th St</v>
      </c>
      <c r="F4438" s="25" t="s">
        <v>24</v>
      </c>
      <c r="G4438" s="28">
        <v>760000.0</v>
      </c>
      <c r="H4438" s="29"/>
      <c r="I4438" s="28">
        <v>955.0</v>
      </c>
      <c r="J4438" s="29"/>
      <c r="K4438" s="25" t="s">
        <v>110</v>
      </c>
      <c r="L4438" s="26">
        <v>4.0</v>
      </c>
      <c r="M4438" s="26">
        <v>2.0</v>
      </c>
      <c r="N4438" s="26">
        <v>1.0</v>
      </c>
      <c r="O4438" s="26">
        <v>0.0</v>
      </c>
      <c r="P4438" s="30"/>
      <c r="Q4438" s="35">
        <v>127.0</v>
      </c>
      <c r="R4438" s="32">
        <v>45636.0</v>
      </c>
      <c r="S4438" s="32">
        <v>43391.0</v>
      </c>
      <c r="T4438" s="29"/>
      <c r="U4438" s="33"/>
      <c r="V4438" s="1"/>
    </row>
    <row r="4439" ht="24.0" customHeight="1">
      <c r="A4439" s="1"/>
      <c r="B4439" s="24" t="str">
        <f>HYPERLINK("https://www.compass.com/listing/546-east-11th-street-unit-2a-manhattan-ny-10009/772356921506504089/view?agent_id=610d3f3370540700019b0833","546 East 11th Street, Unit 2A")</f>
        <v>546 East 11th Street, Unit 2A</v>
      </c>
      <c r="C4439" s="25" t="s">
        <v>364</v>
      </c>
      <c r="D4439" s="26" t="s">
        <v>23</v>
      </c>
      <c r="E4439" s="27" t="str">
        <f>HYPERLINK("https://www.compass.com/building/546-e-11th-st-manhattan-ny-10009/281901031544078581/","546 E 11th St")</f>
        <v>546 E 11th St</v>
      </c>
      <c r="F4439" s="25" t="s">
        <v>24</v>
      </c>
      <c r="G4439" s="28">
        <v>775000.0</v>
      </c>
      <c r="H4439" s="28">
        <v>1123.0</v>
      </c>
      <c r="I4439" s="28">
        <v>637.0</v>
      </c>
      <c r="J4439" s="29"/>
      <c r="K4439" s="25" t="s">
        <v>25</v>
      </c>
      <c r="L4439" s="26">
        <v>3.0</v>
      </c>
      <c r="M4439" s="26">
        <v>2.0</v>
      </c>
      <c r="N4439" s="26">
        <v>1.0</v>
      </c>
      <c r="O4439" s="26">
        <v>0.0</v>
      </c>
      <c r="P4439" s="26">
        <v>690.0</v>
      </c>
      <c r="Q4439" s="35">
        <v>120.0</v>
      </c>
      <c r="R4439" s="32">
        <v>45636.0</v>
      </c>
      <c r="S4439" s="32">
        <v>44317.0</v>
      </c>
      <c r="T4439" s="29"/>
      <c r="U4439" s="33"/>
      <c r="V4439" s="1"/>
    </row>
    <row r="4440" ht="24.0" customHeight="1">
      <c r="A4440" s="1"/>
      <c r="B4440" s="24" t="str">
        <f>HYPERLINK("https://www.compass.com/listing/265-east-7th-street-unit-2-manhattan-ny-10009/4703678737479127121/view?agent_id=610d3f3370540700019b0833","265 E 7th St, Unit 2")</f>
        <v>265 E 7th St, Unit 2</v>
      </c>
      <c r="C4440" s="25" t="s">
        <v>364</v>
      </c>
      <c r="D4440" s="26" t="s">
        <v>23</v>
      </c>
      <c r="E4440" s="27" t="str">
        <f>HYPERLINK("https://www.compass.com/building/265-e-7th-st-manhattan-ny-10009/281899164156047221/","265 E 7th St")</f>
        <v>265 E 7th St</v>
      </c>
      <c r="F4440" s="25" t="s">
        <v>24</v>
      </c>
      <c r="G4440" s="28">
        <v>895000.0</v>
      </c>
      <c r="H4440" s="28">
        <v>746.0</v>
      </c>
      <c r="I4440" s="28">
        <v>1389.0</v>
      </c>
      <c r="J4440" s="29"/>
      <c r="K4440" s="25" t="s">
        <v>25</v>
      </c>
      <c r="L4440" s="26">
        <v>6.0</v>
      </c>
      <c r="M4440" s="26">
        <v>2.0</v>
      </c>
      <c r="N4440" s="30"/>
      <c r="O4440" s="30"/>
      <c r="P4440" s="34">
        <v>1200.0</v>
      </c>
      <c r="Q4440" s="35">
        <v>239.0</v>
      </c>
      <c r="R4440" s="32">
        <v>42478.0</v>
      </c>
      <c r="S4440" s="32">
        <v>40282.0</v>
      </c>
      <c r="T4440" s="29"/>
      <c r="U4440" s="33"/>
      <c r="V4440" s="1"/>
    </row>
    <row r="4441" ht="24.0" customHeight="1">
      <c r="A4441" s="1"/>
      <c r="B4441" s="24" t="str">
        <f>HYPERLINK("https://www.compass.com/listing/832-broadway-unit-2-manhattan-ny-10003/920594838633478537/view?agent_id=610d3f3370540700019b0833","832 Broadway, Unit 2")</f>
        <v>832 Broadway, Unit 2</v>
      </c>
      <c r="C4441" s="25" t="s">
        <v>364</v>
      </c>
      <c r="D4441" s="26" t="s">
        <v>23</v>
      </c>
      <c r="E4441" s="27" t="str">
        <f>HYPERLINK("https://www.compass.com/building/832-broadway-manhattan-ny-10003/281895010822004821/","832 Broadway")</f>
        <v>832 Broadway</v>
      </c>
      <c r="F4441" s="25" t="s">
        <v>43</v>
      </c>
      <c r="G4441" s="28">
        <v>6875000.0</v>
      </c>
      <c r="H4441" s="28">
        <v>1719.0</v>
      </c>
      <c r="I4441" s="28">
        <v>5105.0</v>
      </c>
      <c r="J4441" s="29"/>
      <c r="K4441" s="25" t="s">
        <v>25</v>
      </c>
      <c r="L4441" s="26">
        <v>6.0</v>
      </c>
      <c r="M4441" s="26">
        <v>2.0</v>
      </c>
      <c r="N4441" s="26">
        <v>0.0</v>
      </c>
      <c r="O4441" s="26">
        <v>0.0</v>
      </c>
      <c r="P4441" s="34">
        <v>4000.0</v>
      </c>
      <c r="Q4441" s="35">
        <v>86.0</v>
      </c>
      <c r="R4441" s="32">
        <v>45636.0</v>
      </c>
      <c r="S4441" s="32">
        <v>42485.0</v>
      </c>
      <c r="T4441" s="29"/>
      <c r="U4441" s="33"/>
      <c r="V4441" s="1"/>
    </row>
    <row r="4442" ht="24.0" customHeight="1">
      <c r="A4442" s="1"/>
      <c r="B4442" s="24" t="str">
        <f>HYPERLINK("https://www.compass.com/listing/34-gramercy-park-east-unit-9af-manhattan-ny-10003/1597976253035734017/view?agent_id=610d3f3370540700019b0833","34 Gramercy Park East, Unit 9AF")</f>
        <v>34 Gramercy Park East, Unit 9AF</v>
      </c>
      <c r="C4442" s="25" t="s">
        <v>370</v>
      </c>
      <c r="D4442" s="26" t="s">
        <v>23</v>
      </c>
      <c r="E4442" s="27" t="str">
        <f>HYPERLINK("https://www.compass.com/building/the-gramercy-manhattan-ny/281893035917186949/","The Gramercy")</f>
        <v>The Gramercy</v>
      </c>
      <c r="F4442" s="25" t="s">
        <v>48</v>
      </c>
      <c r="G4442" s="28">
        <v>1995000.0</v>
      </c>
      <c r="H4442" s="29"/>
      <c r="I4442" s="28">
        <v>4460.0</v>
      </c>
      <c r="J4442" s="28">
        <v>0.0</v>
      </c>
      <c r="K4442" s="25" t="s">
        <v>25</v>
      </c>
      <c r="L4442" s="26">
        <v>6.0</v>
      </c>
      <c r="M4442" s="26">
        <v>2.0</v>
      </c>
      <c r="N4442" s="26">
        <v>1.0</v>
      </c>
      <c r="O4442" s="26">
        <v>0.0</v>
      </c>
      <c r="P4442" s="30"/>
      <c r="Q4442" s="35">
        <v>322.0</v>
      </c>
      <c r="R4442" s="32">
        <v>45860.0</v>
      </c>
      <c r="S4442" s="32">
        <v>45456.0</v>
      </c>
      <c r="T4442" s="29"/>
      <c r="U4442" s="33"/>
      <c r="V4442" s="1"/>
    </row>
    <row r="4443" ht="24.0" customHeight="1">
      <c r="A4443" s="1"/>
      <c r="B4443" s="24" t="str">
        <f>HYPERLINK("https://www.compass.com/listing/275-east-7th-street-unit-1-manhattan-ny-10009/78840724824539089/view?agent_id=610d3f3370540700019b0833","275 E 7th St, Unit 1")</f>
        <v>275 E 7th St, Unit 1</v>
      </c>
      <c r="C4443" s="25" t="s">
        <v>364</v>
      </c>
      <c r="D4443" s="26" t="s">
        <v>23</v>
      </c>
      <c r="E4443" s="27" t="str">
        <f>HYPERLINK("https://www.compass.com/building/275-e-7th-st-manhattan-ny-10009/281899251355629637/","275 E 7th St")</f>
        <v>275 E 7th St</v>
      </c>
      <c r="F4443" s="25" t="s">
        <v>24</v>
      </c>
      <c r="G4443" s="28">
        <v>895000.0</v>
      </c>
      <c r="H4443" s="29"/>
      <c r="I4443" s="28">
        <v>495.0</v>
      </c>
      <c r="J4443" s="28">
        <v>0.0</v>
      </c>
      <c r="K4443" s="25" t="s">
        <v>25</v>
      </c>
      <c r="L4443" s="26">
        <v>4.0</v>
      </c>
      <c r="M4443" s="26">
        <v>2.0</v>
      </c>
      <c r="N4443" s="30"/>
      <c r="O4443" s="30"/>
      <c r="P4443" s="30"/>
      <c r="Q4443" s="35">
        <v>90.0</v>
      </c>
      <c r="R4443" s="32">
        <v>43694.0</v>
      </c>
      <c r="S4443" s="32">
        <v>41367.0</v>
      </c>
      <c r="T4443" s="29"/>
      <c r="U4443" s="33"/>
      <c r="V4443" s="1"/>
    </row>
    <row r="4444" ht="24.0" customHeight="1">
      <c r="A4444" s="1"/>
      <c r="B4444" s="24" t="str">
        <f>HYPERLINK("https://www.compass.com/listing/60-east-8th-street-unit-22n-manhattan-ny-10003/29492423965017265/view?agent_id=610d3f3370540700019b0833","60 East 8th Street, Unit 22N")</f>
        <v>60 East 8th Street, Unit 22N</v>
      </c>
      <c r="C4444" s="25" t="s">
        <v>364</v>
      </c>
      <c r="D4444" s="26" t="s">
        <v>23</v>
      </c>
      <c r="E4444" s="27" t="str">
        <f>HYPERLINK("https://www.compass.com/building/georgetown-plaza-manhattan-ny/281894210716574965/","Georgetown Plaza")</f>
        <v>Georgetown Plaza</v>
      </c>
      <c r="F4444" s="25" t="s">
        <v>43</v>
      </c>
      <c r="G4444" s="28">
        <v>1570000.0</v>
      </c>
      <c r="H4444" s="28">
        <v>1614.0</v>
      </c>
      <c r="I4444" s="28">
        <v>2039.0</v>
      </c>
      <c r="J4444" s="29"/>
      <c r="K4444" s="25" t="s">
        <v>49</v>
      </c>
      <c r="L4444" s="26">
        <v>4.0</v>
      </c>
      <c r="M4444" s="26">
        <v>2.0</v>
      </c>
      <c r="N4444" s="26">
        <v>1.0</v>
      </c>
      <c r="O4444" s="26">
        <v>0.0</v>
      </c>
      <c r="P4444" s="26">
        <v>973.0</v>
      </c>
      <c r="Q4444" s="35">
        <v>144.0</v>
      </c>
      <c r="R4444" s="32">
        <v>45636.0</v>
      </c>
      <c r="S4444" s="32">
        <v>42909.0</v>
      </c>
      <c r="T4444" s="29"/>
      <c r="U4444" s="33"/>
      <c r="V4444" s="1"/>
    </row>
    <row r="4445" ht="24.0" customHeight="1">
      <c r="A4445" s="1"/>
      <c r="B4445" s="24" t="str">
        <f>HYPERLINK("https://www.compass.com/listing/126-east-12th-street-unit-6d-manhattan-ny-10003/1838978065263627425/view?agent_id=610d3f3370540700019b0833","126 East 12th Street, Unit 6D")</f>
        <v>126 East 12th Street, Unit 6D</v>
      </c>
      <c r="C4445" s="25" t="s">
        <v>364</v>
      </c>
      <c r="D4445" s="26" t="s">
        <v>23</v>
      </c>
      <c r="E4445" s="27" t="str">
        <f>HYPERLINK("https://www.compass.com/building/126-e-12th-st-manhattan-ny-10003/281889319461848853/","126 E 12th St")</f>
        <v>126 E 12th St</v>
      </c>
      <c r="F4445" s="25" t="s">
        <v>43</v>
      </c>
      <c r="G4445" s="28">
        <v>899000.0</v>
      </c>
      <c r="H4445" s="29"/>
      <c r="I4445" s="28">
        <v>1512.0</v>
      </c>
      <c r="J4445" s="29"/>
      <c r="K4445" s="25" t="s">
        <v>25</v>
      </c>
      <c r="L4445" s="26">
        <v>5.0</v>
      </c>
      <c r="M4445" s="26">
        <v>2.0</v>
      </c>
      <c r="N4445" s="26">
        <v>1.0</v>
      </c>
      <c r="O4445" s="26">
        <v>0.0</v>
      </c>
      <c r="P4445" s="30"/>
      <c r="Q4445" s="35">
        <v>67.0</v>
      </c>
      <c r="R4445" s="32">
        <v>45636.0</v>
      </c>
      <c r="S4445" s="32">
        <v>43398.0</v>
      </c>
      <c r="T4445" s="29"/>
      <c r="U4445" s="33"/>
      <c r="V4445" s="1"/>
    </row>
    <row r="4446" ht="24.0" customHeight="1">
      <c r="A4446" s="1"/>
      <c r="B4446" s="24" t="str">
        <f>HYPERLINK("https://www.compass.com/listing/525-east-11th-street-unit-7a-manhattan-ny-10009/1838900027058539441/view?agent_id=610d3f3370540700019b0833","525 East 11th Street, Unit 7A")</f>
        <v>525 East 11th Street, Unit 7A</v>
      </c>
      <c r="C4446" s="25" t="s">
        <v>364</v>
      </c>
      <c r="D4446" s="26" t="s">
        <v>23</v>
      </c>
      <c r="E4446" s="27" t="str">
        <f t="shared" ref="E4446:E4447" si="191">HYPERLINK("https://www.compass.com/building/the-fillmore-manhattan-ny/281900732909633429/","The Fillmore ")</f>
        <v>The Fillmore </v>
      </c>
      <c r="F4446" s="25" t="s">
        <v>24</v>
      </c>
      <c r="G4446" s="28">
        <v>1500000.0</v>
      </c>
      <c r="H4446" s="28">
        <v>1444.0</v>
      </c>
      <c r="I4446" s="28">
        <v>1621.0</v>
      </c>
      <c r="J4446" s="28">
        <v>8532.0</v>
      </c>
      <c r="K4446" s="25" t="s">
        <v>28</v>
      </c>
      <c r="L4446" s="26">
        <v>5.0</v>
      </c>
      <c r="M4446" s="26">
        <v>2.0</v>
      </c>
      <c r="N4446" s="26">
        <v>0.0</v>
      </c>
      <c r="O4446" s="26">
        <v>0.0</v>
      </c>
      <c r="P4446" s="34">
        <v>1039.0</v>
      </c>
      <c r="Q4446" s="35">
        <v>49.0</v>
      </c>
      <c r="R4446" s="32">
        <v>45636.0</v>
      </c>
      <c r="S4446" s="32">
        <v>41506.0</v>
      </c>
      <c r="T4446" s="29"/>
      <c r="U4446" s="33"/>
      <c r="V4446" s="1"/>
    </row>
    <row r="4447" ht="24.0" customHeight="1">
      <c r="A4447" s="1"/>
      <c r="B4447" s="24" t="str">
        <f>HYPERLINK("https://www.compass.com/listing/525-east-11th-street-unit-pha-manhattan-ny-10009/4852276646750720817/view?agent_id=610d3f3370540700019b0833","525 East 11th Street, Unit PHA")</f>
        <v>525 East 11th Street, Unit PHA</v>
      </c>
      <c r="C4447" s="25" t="s">
        <v>364</v>
      </c>
      <c r="D4447" s="26" t="s">
        <v>23</v>
      </c>
      <c r="E4447" s="27" t="str">
        <f t="shared" si="191"/>
        <v>The Fillmore </v>
      </c>
      <c r="F4447" s="25" t="s">
        <v>24</v>
      </c>
      <c r="G4447" s="28">
        <v>1800000.0</v>
      </c>
      <c r="H4447" s="28">
        <v>1731.0</v>
      </c>
      <c r="I4447" s="28">
        <v>1833.0</v>
      </c>
      <c r="J4447" s="28">
        <v>7380.0</v>
      </c>
      <c r="K4447" s="25" t="s">
        <v>28</v>
      </c>
      <c r="L4447" s="26">
        <v>4.0</v>
      </c>
      <c r="M4447" s="26">
        <v>2.0</v>
      </c>
      <c r="N4447" s="26">
        <v>0.0</v>
      </c>
      <c r="O4447" s="26">
        <v>0.0</v>
      </c>
      <c r="P4447" s="34">
        <v>1040.0</v>
      </c>
      <c r="Q4447" s="35">
        <v>1598.0</v>
      </c>
      <c r="R4447" s="32">
        <v>44581.0</v>
      </c>
      <c r="S4447" s="32">
        <v>41337.0</v>
      </c>
      <c r="T4447" s="29"/>
      <c r="U4447" s="33"/>
      <c r="V4447" s="1"/>
    </row>
    <row r="4448" ht="24.0" customHeight="1">
      <c r="A4448" s="1"/>
      <c r="B4448" s="24" t="str">
        <f>HYPERLINK("https://www.compass.com/listing/546-east-11th-street-unit-2a-manhattan-ny-10009/1085565514619659785/view?agent_id=610d3f3370540700019b0833","546 East 11th Street, Unit 2A")</f>
        <v>546 East 11th Street, Unit 2A</v>
      </c>
      <c r="C4448" s="25" t="s">
        <v>364</v>
      </c>
      <c r="D4448" s="26" t="s">
        <v>23</v>
      </c>
      <c r="E4448" s="27" t="str">
        <f>HYPERLINK("https://www.compass.com/building/546-e-11th-st-manhattan-ny-10009/281901031544078581/","546 E 11th St")</f>
        <v>546 E 11th St</v>
      </c>
      <c r="F4448" s="25" t="s">
        <v>24</v>
      </c>
      <c r="G4448" s="28">
        <v>725000.0</v>
      </c>
      <c r="H4448" s="28">
        <v>1051.0</v>
      </c>
      <c r="I4448" s="28">
        <v>637.0</v>
      </c>
      <c r="J4448" s="29"/>
      <c r="K4448" s="25" t="s">
        <v>25</v>
      </c>
      <c r="L4448" s="26">
        <v>3.0</v>
      </c>
      <c r="M4448" s="26">
        <v>2.0</v>
      </c>
      <c r="N4448" s="26">
        <v>1.0</v>
      </c>
      <c r="O4448" s="26">
        <v>0.0</v>
      </c>
      <c r="P4448" s="26">
        <v>690.0</v>
      </c>
      <c r="Q4448" s="35">
        <v>148.0</v>
      </c>
      <c r="R4448" s="32">
        <v>45636.0</v>
      </c>
      <c r="S4448" s="32">
        <v>44749.0</v>
      </c>
      <c r="T4448" s="29"/>
      <c r="U4448" s="33"/>
      <c r="V4448" s="1"/>
    </row>
    <row r="4449" ht="24.0" customHeight="1">
      <c r="A4449" s="1"/>
      <c r="B4449" s="24" t="str">
        <f>HYPERLINK("https://www.compass.com/listing/65-west-13th-street-unit-3h-manhattan-ny-10011/192565886966564705/view?agent_id=610d3f3370540700019b0833","65 West 13th Street, Unit 3H")</f>
        <v>65 West 13th Street, Unit 3H</v>
      </c>
      <c r="C4449" s="25" t="s">
        <v>364</v>
      </c>
      <c r="D4449" s="26" t="s">
        <v>23</v>
      </c>
      <c r="E4449" s="27" t="str">
        <f>HYPERLINK("https://www.compass.com/building/the-greenwich-manhattan-ny/281911996687869397/","The Greenwich")</f>
        <v>The Greenwich</v>
      </c>
      <c r="F4449" s="25" t="s">
        <v>43</v>
      </c>
      <c r="G4449" s="28">
        <v>3950000.0</v>
      </c>
      <c r="H4449" s="29"/>
      <c r="I4449" s="28">
        <v>3172.0</v>
      </c>
      <c r="J4449" s="28">
        <v>17796.0</v>
      </c>
      <c r="K4449" s="25" t="s">
        <v>28</v>
      </c>
      <c r="L4449" s="26">
        <v>6.0</v>
      </c>
      <c r="M4449" s="26">
        <v>2.0</v>
      </c>
      <c r="N4449" s="26">
        <v>0.0</v>
      </c>
      <c r="O4449" s="26">
        <v>0.0</v>
      </c>
      <c r="P4449" s="30"/>
      <c r="Q4449" s="35">
        <v>0.0</v>
      </c>
      <c r="R4449" s="32">
        <v>44581.0</v>
      </c>
      <c r="S4449" s="32">
        <v>41344.0</v>
      </c>
      <c r="T4449" s="29"/>
      <c r="U4449" s="33"/>
      <c r="V4449" s="1"/>
    </row>
    <row r="4450" ht="24.0" customHeight="1">
      <c r="A4450" s="1"/>
      <c r="B4450" s="24" t="str">
        <f>HYPERLINK("https://www.compass.com/listing/211-west-10th-street-unit-5b-manhattan-ny-10014/244664320749762337/view?agent_id=610d3f3370540700019b0833","211 West 10th Street, Unit 5B")</f>
        <v>211 West 10th Street, Unit 5B</v>
      </c>
      <c r="C4450" s="25" t="s">
        <v>364</v>
      </c>
      <c r="D4450" s="26" t="s">
        <v>23</v>
      </c>
      <c r="E4450" s="27" t="str">
        <f>HYPERLINK("https://www.compass.com/building/211-w-10th-st-manhattan-ny-10014/281930974923635653/","211 W 10th St")</f>
        <v>211 W 10th St</v>
      </c>
      <c r="F4450" s="25" t="s">
        <v>26</v>
      </c>
      <c r="G4450" s="28">
        <v>1095000.0</v>
      </c>
      <c r="H4450" s="29"/>
      <c r="I4450" s="28">
        <v>1283.0</v>
      </c>
      <c r="J4450" s="29"/>
      <c r="K4450" s="25" t="s">
        <v>25</v>
      </c>
      <c r="L4450" s="26">
        <v>4.0</v>
      </c>
      <c r="M4450" s="26">
        <v>2.0</v>
      </c>
      <c r="N4450" s="26">
        <v>1.0</v>
      </c>
      <c r="O4450" s="26">
        <v>0.0</v>
      </c>
      <c r="P4450" s="30"/>
      <c r="Q4450" s="35">
        <v>116.0</v>
      </c>
      <c r="R4450" s="32">
        <v>45636.0</v>
      </c>
      <c r="S4450" s="32">
        <v>43589.0</v>
      </c>
      <c r="T4450" s="29"/>
      <c r="U4450" s="33"/>
      <c r="V4450" s="1"/>
    </row>
    <row r="4451" ht="24.0" customHeight="1">
      <c r="A4451" s="1"/>
      <c r="B4451" s="24" t="str">
        <f>HYPERLINK("https://www.compass.com/listing/126-west-11th-street-unit-31-manhattan-ny-10011/70916317334518145/view?agent_id=610d3f3370540700019b0833","126 West 11th Street, Unit 31")</f>
        <v>126 West 11th Street, Unit 31</v>
      </c>
      <c r="C4451" s="25" t="s">
        <v>370</v>
      </c>
      <c r="D4451" s="26" t="s">
        <v>23</v>
      </c>
      <c r="E4451" s="27" t="str">
        <f>HYPERLINK("https://www.compass.com/building/the-unadilla-manhattan-ny/281904887636182549/","The Unadilla")</f>
        <v>The Unadilla</v>
      </c>
      <c r="F4451" s="25" t="s">
        <v>26</v>
      </c>
      <c r="G4451" s="28">
        <v>1325000.0</v>
      </c>
      <c r="H4451" s="29"/>
      <c r="I4451" s="28">
        <v>1565.0</v>
      </c>
      <c r="J4451" s="29"/>
      <c r="K4451" s="25" t="s">
        <v>25</v>
      </c>
      <c r="L4451" s="26">
        <v>4.0</v>
      </c>
      <c r="M4451" s="26">
        <v>2.0</v>
      </c>
      <c r="N4451" s="26">
        <v>0.0</v>
      </c>
      <c r="O4451" s="26">
        <v>0.0</v>
      </c>
      <c r="P4451" s="30"/>
      <c r="Q4451" s="35">
        <v>43.0</v>
      </c>
      <c r="R4451" s="32">
        <v>45636.0</v>
      </c>
      <c r="S4451" s="32">
        <v>42900.0</v>
      </c>
      <c r="T4451" s="29"/>
      <c r="U4451" s="33"/>
      <c r="V4451" s="1"/>
    </row>
    <row r="4452" ht="24.0" customHeight="1">
      <c r="A4452" s="1"/>
      <c r="B4452" s="24" t="str">
        <f>HYPERLINK("https://www.compass.com/listing/2-grove-street-unit-2ef-manhattan-ny-10014/29366368235252737/view?agent_id=610d3f3370540700019b0833","2 Grove Street, Unit 2EF")</f>
        <v>2 Grove Street, Unit 2EF</v>
      </c>
      <c r="C4452" s="25" t="s">
        <v>364</v>
      </c>
      <c r="D4452" s="26" t="s">
        <v>23</v>
      </c>
      <c r="E4452" s="27" t="str">
        <f>HYPERLINK("https://www.compass.com/building/2-grove-st-manhattan-ny-10014/281922265300375813/","2 Grove St")</f>
        <v>2 Grove St</v>
      </c>
      <c r="F4452" s="25" t="s">
        <v>26</v>
      </c>
      <c r="G4452" s="28">
        <v>2300000.0</v>
      </c>
      <c r="H4452" s="28">
        <v>2091.0</v>
      </c>
      <c r="I4452" s="28">
        <v>1882.0</v>
      </c>
      <c r="J4452" s="29"/>
      <c r="K4452" s="25" t="s">
        <v>25</v>
      </c>
      <c r="L4452" s="26">
        <v>5.0</v>
      </c>
      <c r="M4452" s="26">
        <v>2.0</v>
      </c>
      <c r="N4452" s="26">
        <v>0.0</v>
      </c>
      <c r="O4452" s="26">
        <v>0.0</v>
      </c>
      <c r="P4452" s="34">
        <v>1100.0</v>
      </c>
      <c r="Q4452" s="35">
        <v>244.0</v>
      </c>
      <c r="R4452" s="32">
        <v>45636.0</v>
      </c>
      <c r="S4452" s="32">
        <v>42478.0</v>
      </c>
      <c r="T4452" s="29"/>
      <c r="U4452" s="33"/>
      <c r="V4452" s="1"/>
    </row>
    <row r="4453" ht="24.0" customHeight="1">
      <c r="A4453" s="1"/>
      <c r="B4453" s="24" t="str">
        <f>HYPERLINK("https://www.compass.com/listing/180-west-houston-street-unit-lf-manhattan-ny-10014/638442427405085601/view?agent_id=610d3f3370540700019b0833","180 West Houston Street, Unit LF")</f>
        <v>180 West Houston Street, Unit LF</v>
      </c>
      <c r="C4453" s="25" t="s">
        <v>364</v>
      </c>
      <c r="D4453" s="26" t="s">
        <v>23</v>
      </c>
      <c r="E4453" s="27" t="str">
        <f>HYPERLINK("https://www.compass.com/building/180-w-houston-st-manhattan-ny-10014/292829602160626757/","180 W Houston St")</f>
        <v>180 W Houston St</v>
      </c>
      <c r="F4453" s="25" t="s">
        <v>26</v>
      </c>
      <c r="G4453" s="28">
        <v>1500000.0</v>
      </c>
      <c r="H4453" s="28">
        <v>1364.0</v>
      </c>
      <c r="I4453" s="28">
        <v>1190.0</v>
      </c>
      <c r="J4453" s="29"/>
      <c r="K4453" s="25" t="s">
        <v>25</v>
      </c>
      <c r="L4453" s="26">
        <v>4.0</v>
      </c>
      <c r="M4453" s="26">
        <v>2.0</v>
      </c>
      <c r="N4453" s="26">
        <v>1.0</v>
      </c>
      <c r="O4453" s="26">
        <v>0.0</v>
      </c>
      <c r="P4453" s="34">
        <v>1100.0</v>
      </c>
      <c r="Q4453" s="35">
        <v>76.0</v>
      </c>
      <c r="R4453" s="32">
        <v>44581.0</v>
      </c>
      <c r="S4453" s="32">
        <v>44221.0</v>
      </c>
      <c r="T4453" s="29"/>
      <c r="U4453" s="33"/>
      <c r="V4453" s="1"/>
    </row>
    <row r="4454" ht="24.0" customHeight="1">
      <c r="A4454" s="1"/>
      <c r="B4454" s="24" t="str">
        <f>HYPERLINK("https://www.compass.com/listing/205-3rd-avenue-unit-11t-manhattan-ny-10003/1750970183214984249/view?agent_id=610d3f3370540700019b0833","205 3rd Avenue, Unit 11T")</f>
        <v>205 3rd Avenue, Unit 11T</v>
      </c>
      <c r="C4454" s="25" t="s">
        <v>370</v>
      </c>
      <c r="D4454" s="26" t="s">
        <v>23</v>
      </c>
      <c r="E4454" s="27" t="str">
        <f>HYPERLINK("https://www.compass.com/building/gramercy-park-towers-manhattan-ny/281890486954759109/","Gramercy Park Towers")</f>
        <v>Gramercy Park Towers</v>
      </c>
      <c r="F4454" s="25" t="s">
        <v>48</v>
      </c>
      <c r="G4454" s="28">
        <v>1100000.0</v>
      </c>
      <c r="H4454" s="28">
        <v>1222.0</v>
      </c>
      <c r="I4454" s="28">
        <v>1982.0</v>
      </c>
      <c r="J4454" s="28">
        <v>0.0</v>
      </c>
      <c r="K4454" s="25" t="s">
        <v>25</v>
      </c>
      <c r="L4454" s="26">
        <v>4.0</v>
      </c>
      <c r="M4454" s="26">
        <v>2.0</v>
      </c>
      <c r="N4454" s="26">
        <v>1.0</v>
      </c>
      <c r="O4454" s="26">
        <v>0.0</v>
      </c>
      <c r="P4454" s="26">
        <v>900.0</v>
      </c>
      <c r="Q4454" s="35">
        <v>178.0</v>
      </c>
      <c r="R4454" s="32">
        <v>45843.0</v>
      </c>
      <c r="S4454" s="32">
        <v>45663.0</v>
      </c>
      <c r="T4454" s="29"/>
      <c r="U4454" s="33"/>
      <c r="V4454" s="1"/>
    </row>
    <row r="4455" ht="24.0" customHeight="1">
      <c r="A4455" s="1"/>
      <c r="B4455" s="24" t="str">
        <f>HYPERLINK("https://www.compass.com/listing/283-east-4th-street-unit-c41-manhattan-ny-10009/155719537260552769/view?agent_id=610d3f3370540700019b0833","283 East 4th Street, Unit C41")</f>
        <v>283 East 4th Street, Unit C41</v>
      </c>
      <c r="C4455" s="25" t="s">
        <v>364</v>
      </c>
      <c r="D4455" s="26" t="s">
        <v>23</v>
      </c>
      <c r="E4455" s="27" t="str">
        <f t="shared" ref="E4455:E4456" si="192">HYPERLINK("https://www.compass.com/building/283-e-4th-st-manhattan-ny-10009/281899311376117829/","283 E 4th St")</f>
        <v>283 E 4th St</v>
      </c>
      <c r="F4455" s="25" t="s">
        <v>24</v>
      </c>
      <c r="G4455" s="28">
        <v>775000.0</v>
      </c>
      <c r="H4455" s="29"/>
      <c r="I4455" s="28">
        <v>711.0</v>
      </c>
      <c r="J4455" s="28">
        <v>0.0</v>
      </c>
      <c r="K4455" s="25" t="s">
        <v>25</v>
      </c>
      <c r="L4455" s="26">
        <v>4.0</v>
      </c>
      <c r="M4455" s="26">
        <v>2.0</v>
      </c>
      <c r="N4455" s="30"/>
      <c r="O4455" s="30"/>
      <c r="P4455" s="30"/>
      <c r="Q4455" s="35">
        <v>3.0</v>
      </c>
      <c r="R4455" s="32">
        <v>43470.0</v>
      </c>
      <c r="S4455" s="32">
        <v>43466.0</v>
      </c>
      <c r="T4455" s="29"/>
      <c r="U4455" s="33"/>
      <c r="V4455" s="1"/>
    </row>
    <row r="4456" ht="24.0" customHeight="1">
      <c r="A4456" s="1"/>
      <c r="B4456" s="24" t="str">
        <f>HYPERLINK("https://www.compass.com/listing/283-east-4th-street-unit-4c-manhattan-ny-10009/156504544480627073/view?agent_id=610d3f3370540700019b0833","283 East 4th Street, Unit 4C")</f>
        <v>283 East 4th Street, Unit 4C</v>
      </c>
      <c r="C4456" s="25" t="s">
        <v>364</v>
      </c>
      <c r="D4456" s="26" t="s">
        <v>23</v>
      </c>
      <c r="E4456" s="27" t="str">
        <f t="shared" si="192"/>
        <v>283 E 4th St</v>
      </c>
      <c r="F4456" s="25" t="s">
        <v>24</v>
      </c>
      <c r="G4456" s="28">
        <v>760000.0</v>
      </c>
      <c r="H4456" s="29"/>
      <c r="I4456" s="28">
        <v>711.0</v>
      </c>
      <c r="J4456" s="28">
        <v>0.0</v>
      </c>
      <c r="K4456" s="25" t="s">
        <v>25</v>
      </c>
      <c r="L4456" s="26">
        <v>4.0</v>
      </c>
      <c r="M4456" s="26">
        <v>2.0</v>
      </c>
      <c r="N4456" s="30"/>
      <c r="O4456" s="30"/>
      <c r="P4456" s="30"/>
      <c r="Q4456" s="35">
        <v>35.0</v>
      </c>
      <c r="R4456" s="32">
        <v>43505.0</v>
      </c>
      <c r="S4456" s="32">
        <v>43467.0</v>
      </c>
      <c r="T4456" s="29"/>
      <c r="U4456" s="33"/>
      <c r="V4456" s="1"/>
    </row>
    <row r="4457" ht="24.0" customHeight="1">
      <c r="A4457" s="1"/>
      <c r="B4457" s="24" t="str">
        <f>HYPERLINK("https://www.compass.com/listing/271-east-7th-street-unit-1b-manhattan-ny-10009/278792833756934097/view?agent_id=610d3f3370540700019b0833","271 East 7th Street, Unit 1B")</f>
        <v>271 East 7th Street, Unit 1B</v>
      </c>
      <c r="C4457" s="25" t="s">
        <v>364</v>
      </c>
      <c r="D4457" s="26" t="s">
        <v>23</v>
      </c>
      <c r="E4457" s="27" t="str">
        <f>HYPERLINK("https://www.compass.com/building/271-e-7th-st-manhattan-ny-10009/281899213548171797/","271 E 7th St")</f>
        <v>271 E 7th St</v>
      </c>
      <c r="F4457" s="25" t="s">
        <v>24</v>
      </c>
      <c r="G4457" s="28">
        <v>1285000.0</v>
      </c>
      <c r="H4457" s="28">
        <v>1071.0</v>
      </c>
      <c r="I4457" s="28">
        <v>390.0</v>
      </c>
      <c r="J4457" s="29"/>
      <c r="K4457" s="25" t="s">
        <v>25</v>
      </c>
      <c r="L4457" s="26">
        <v>4.0</v>
      </c>
      <c r="M4457" s="26">
        <v>2.0</v>
      </c>
      <c r="N4457" s="30"/>
      <c r="O4457" s="30"/>
      <c r="P4457" s="34">
        <v>1200.0</v>
      </c>
      <c r="Q4457" s="35">
        <v>24.0</v>
      </c>
      <c r="R4457" s="32">
        <v>41640.0</v>
      </c>
      <c r="S4457" s="32">
        <v>41814.0</v>
      </c>
      <c r="T4457" s="29"/>
      <c r="U4457" s="33"/>
      <c r="V4457" s="1"/>
    </row>
    <row r="4458" ht="24.0" customHeight="1">
      <c r="A4458" s="1"/>
      <c r="B4458" s="24" t="str">
        <f>HYPERLINK("https://www.compass.com/listing/106-waverly-place-unit-3-manhattan-ny-10011/919049505198602521/view?agent_id=610d3f3370540700019b0833","106 Waverly Place, Unit 3")</f>
        <v>106 Waverly Place, Unit 3</v>
      </c>
      <c r="C4458" s="25" t="s">
        <v>364</v>
      </c>
      <c r="D4458" s="26" t="s">
        <v>23</v>
      </c>
      <c r="E4458" s="27" t="str">
        <f>HYPERLINK("https://www.compass.com/building/106-waverly-pl-manhattan-ny-10011/281904152223696341/","106 Waverly Pl")</f>
        <v>106 Waverly Pl</v>
      </c>
      <c r="F4458" s="25" t="s">
        <v>43</v>
      </c>
      <c r="G4458" s="28">
        <v>2800000.0</v>
      </c>
      <c r="H4458" s="28">
        <v>2074.0</v>
      </c>
      <c r="I4458" s="28">
        <v>2259.0</v>
      </c>
      <c r="J4458" s="28">
        <v>14412.0</v>
      </c>
      <c r="K4458" s="25" t="s">
        <v>28</v>
      </c>
      <c r="L4458" s="26">
        <v>5.0</v>
      </c>
      <c r="M4458" s="26">
        <v>2.0</v>
      </c>
      <c r="N4458" s="26">
        <v>0.0</v>
      </c>
      <c r="O4458" s="26">
        <v>0.0</v>
      </c>
      <c r="P4458" s="34">
        <v>1350.0</v>
      </c>
      <c r="Q4458" s="35">
        <v>156.0</v>
      </c>
      <c r="R4458" s="32">
        <v>45636.0</v>
      </c>
      <c r="S4458" s="32">
        <v>41954.0</v>
      </c>
      <c r="T4458" s="29"/>
      <c r="U4458" s="33"/>
      <c r="V4458" s="1"/>
    </row>
    <row r="4459" ht="24.0" customHeight="1">
      <c r="A4459" s="1"/>
      <c r="B4459" s="24" t="str">
        <f>HYPERLINK("https://www.compass.com/listing/175-west-12th-street-unit-15e-manhattan-ny-10011/50869933491456609/view?agent_id=610d3f3370540700019b0833","175 West 12th Street, Unit 15E")</f>
        <v>175 West 12th Street, Unit 15E</v>
      </c>
      <c r="C4459" s="25" t="s">
        <v>364</v>
      </c>
      <c r="D4459" s="26" t="s">
        <v>23</v>
      </c>
      <c r="E4459" s="27" t="str">
        <f>HYPERLINK("https://www.compass.com/building/century-towers-manhattan-ny/281906200671441957/","Century Towers")</f>
        <v>Century Towers</v>
      </c>
      <c r="F4459" s="25" t="s">
        <v>26</v>
      </c>
      <c r="G4459" s="28">
        <v>1825000.0</v>
      </c>
      <c r="H4459" s="28">
        <v>2081.0</v>
      </c>
      <c r="I4459" s="28">
        <v>1441.0</v>
      </c>
      <c r="J4459" s="28">
        <v>8904.0</v>
      </c>
      <c r="K4459" s="25" t="s">
        <v>28</v>
      </c>
      <c r="L4459" s="26">
        <v>5.0</v>
      </c>
      <c r="M4459" s="26">
        <v>2.0</v>
      </c>
      <c r="N4459" s="26">
        <v>1.0</v>
      </c>
      <c r="O4459" s="26">
        <v>0.0</v>
      </c>
      <c r="P4459" s="26">
        <v>877.0</v>
      </c>
      <c r="Q4459" s="35">
        <v>175.0</v>
      </c>
      <c r="R4459" s="32">
        <v>45636.0</v>
      </c>
      <c r="S4459" s="32">
        <v>42584.0</v>
      </c>
      <c r="T4459" s="29"/>
      <c r="U4459" s="33"/>
      <c r="V4459" s="1"/>
    </row>
    <row r="4460" ht="24.0" customHeight="1">
      <c r="A4460" s="1"/>
      <c r="B4460" s="24" t="str">
        <f>HYPERLINK("https://www.compass.com/listing/223-225-east-3rd-street-unit-6a-manhattan-ny-10009/502235854753003001/view?agent_id=610d3f3370540700019b0833","223-225 East 3rd Street, Unit 6A")</f>
        <v>223-225 East 3rd Street, Unit 6A</v>
      </c>
      <c r="C4460" s="25" t="s">
        <v>364</v>
      </c>
      <c r="D4460" s="26" t="s">
        <v>23</v>
      </c>
      <c r="E4460" s="27" t="str">
        <f>HYPERLINK("https://www.compass.com/building/223-225-e-3rd-st-manhattan-ny-10009/436388890916996349/","223-225 E 3rd St")</f>
        <v>223-225 E 3rd St</v>
      </c>
      <c r="F4460" s="25" t="s">
        <v>24</v>
      </c>
      <c r="G4460" s="28">
        <v>737000.0</v>
      </c>
      <c r="H4460" s="29"/>
      <c r="I4460" s="28">
        <v>654.0</v>
      </c>
      <c r="J4460" s="29"/>
      <c r="K4460" s="25" t="s">
        <v>25</v>
      </c>
      <c r="L4460" s="26">
        <v>4.0</v>
      </c>
      <c r="M4460" s="26">
        <v>2.0</v>
      </c>
      <c r="N4460" s="30"/>
      <c r="O4460" s="30"/>
      <c r="P4460" s="30"/>
      <c r="Q4460" s="35">
        <v>20.0</v>
      </c>
      <c r="R4460" s="32">
        <v>41640.0</v>
      </c>
      <c r="S4460" s="32">
        <v>42418.0</v>
      </c>
      <c r="T4460" s="29"/>
      <c r="U4460" s="33"/>
      <c r="V4460" s="1"/>
    </row>
    <row r="4461" ht="24.0" customHeight="1">
      <c r="A4461" s="1"/>
      <c r="B4461" s="24" t="str">
        <f>HYPERLINK("https://www.compass.com/listing/271-east-7th-street-unit-4-manhattan-ny-10009/923611507505578225/view?agent_id=610d3f3370540700019b0833","271 East 7th Street, Unit 4")</f>
        <v>271 East 7th Street, Unit 4</v>
      </c>
      <c r="C4461" s="25" t="s">
        <v>364</v>
      </c>
      <c r="D4461" s="26" t="s">
        <v>23</v>
      </c>
      <c r="E4461" s="27" t="str">
        <f>HYPERLINK("https://www.compass.com/building/271-e-7th-st-manhattan-ny-10009/281899213548171797/","271 E 7th St")</f>
        <v>271 E 7th St</v>
      </c>
      <c r="F4461" s="25" t="s">
        <v>24</v>
      </c>
      <c r="G4461" s="28">
        <v>890000.0</v>
      </c>
      <c r="H4461" s="28">
        <v>1047.0</v>
      </c>
      <c r="I4461" s="28">
        <v>217.0</v>
      </c>
      <c r="J4461" s="28">
        <v>204.0</v>
      </c>
      <c r="K4461" s="25" t="s">
        <v>110</v>
      </c>
      <c r="L4461" s="26">
        <v>4.0</v>
      </c>
      <c r="M4461" s="26">
        <v>2.0</v>
      </c>
      <c r="N4461" s="26">
        <v>1.0</v>
      </c>
      <c r="O4461" s="26">
        <v>0.0</v>
      </c>
      <c r="P4461" s="26">
        <v>850.0</v>
      </c>
      <c r="Q4461" s="35">
        <v>69.0</v>
      </c>
      <c r="R4461" s="32">
        <v>44581.0</v>
      </c>
      <c r="S4461" s="32">
        <v>43986.0</v>
      </c>
      <c r="T4461" s="29"/>
      <c r="U4461" s="33"/>
      <c r="V4461" s="1"/>
    </row>
    <row r="4462" ht="24.0" customHeight="1">
      <c r="A4462" s="1"/>
      <c r="B4462" s="24" t="str">
        <f>HYPERLINK("https://www.compass.com/listing/101-west-24th-street-unit-12b-manhattan-ny-10011/922858463793047945/view?agent_id=610d3f3370540700019b0833","101 West 24th Street, Unit 12B")</f>
        <v>101 West 24th Street, Unit 12B</v>
      </c>
      <c r="C4462" s="25" t="s">
        <v>364</v>
      </c>
      <c r="D4462" s="26" t="s">
        <v>23</v>
      </c>
      <c r="E4462" s="27" t="str">
        <f>HYPERLINK("https://www.compass.com/building/chelsea-stratus-manhattan-ny/294845224777812053/","Chelsea Stratus")</f>
        <v>Chelsea Stratus</v>
      </c>
      <c r="F4462" s="25" t="s">
        <v>27</v>
      </c>
      <c r="G4462" s="28">
        <v>2149000.0</v>
      </c>
      <c r="H4462" s="28">
        <v>1730.0</v>
      </c>
      <c r="I4462" s="28">
        <v>2946.0</v>
      </c>
      <c r="J4462" s="28">
        <v>22039.0</v>
      </c>
      <c r="K4462" s="25" t="s">
        <v>28</v>
      </c>
      <c r="L4462" s="26">
        <v>4.0</v>
      </c>
      <c r="M4462" s="26">
        <v>2.0</v>
      </c>
      <c r="N4462" s="26">
        <v>0.0</v>
      </c>
      <c r="O4462" s="26">
        <v>0.0</v>
      </c>
      <c r="P4462" s="34">
        <v>1242.0</v>
      </c>
      <c r="Q4462" s="35">
        <v>2.0</v>
      </c>
      <c r="R4462" s="32">
        <v>45636.0</v>
      </c>
      <c r="S4462" s="32">
        <v>43421.0</v>
      </c>
      <c r="T4462" s="29"/>
      <c r="U4462" s="33"/>
      <c r="V4462" s="1"/>
    </row>
    <row r="4463" ht="24.0" customHeight="1">
      <c r="A4463" s="1"/>
      <c r="B4463" s="24" t="str">
        <f>HYPERLINK("https://www.compass.com/listing/32-gramercy-park-south-unit-15g-manhattan-ny-10003/1592215629722940329/view?agent_id=610d3f3370540700019b0833","32 Gramercy Park South, Unit 15G")</f>
        <v>32 Gramercy Park South, Unit 15G</v>
      </c>
      <c r="C4463" s="25" t="s">
        <v>364</v>
      </c>
      <c r="D4463" s="26" t="s">
        <v>23</v>
      </c>
      <c r="E4463" s="27" t="str">
        <f>HYPERLINK("https://www.compass.com/building/32-gramercy-park-owners-corp-manhattan-ny/292782857296817285/","32 Gramercy Park Owners Corp")</f>
        <v>32 Gramercy Park Owners Corp</v>
      </c>
      <c r="F4463" s="25" t="s">
        <v>48</v>
      </c>
      <c r="G4463" s="28">
        <v>1295000.0</v>
      </c>
      <c r="H4463" s="29"/>
      <c r="I4463" s="28">
        <v>2306.0</v>
      </c>
      <c r="J4463" s="28">
        <v>0.0</v>
      </c>
      <c r="K4463" s="25" t="s">
        <v>25</v>
      </c>
      <c r="L4463" s="26">
        <v>4.0</v>
      </c>
      <c r="M4463" s="26">
        <v>2.0</v>
      </c>
      <c r="N4463" s="26">
        <v>1.0</v>
      </c>
      <c r="O4463" s="26">
        <v>0.0</v>
      </c>
      <c r="P4463" s="30"/>
      <c r="Q4463" s="35">
        <v>201.0</v>
      </c>
      <c r="R4463" s="32">
        <v>45649.0</v>
      </c>
      <c r="S4463" s="32">
        <v>45448.0</v>
      </c>
      <c r="T4463" s="29"/>
      <c r="U4463" s="33"/>
      <c r="V4463" s="1"/>
    </row>
    <row r="4464" ht="24.0" customHeight="1">
      <c r="A4464" s="1"/>
      <c r="B4464" s="24" t="str">
        <f>HYPERLINK("https://www.compass.com/listing/53-west-11th-street-unit-4-5r2-manhattan-ny-10011/4852308185559603681/view?agent_id=610d3f3370540700019b0833","53 West 11th Street, Unit 4/5R2")</f>
        <v>53 West 11th Street, Unit 4/5R2</v>
      </c>
      <c r="C4464" s="25" t="s">
        <v>364</v>
      </c>
      <c r="D4464" s="26" t="s">
        <v>23</v>
      </c>
      <c r="E4464" s="27" t="str">
        <f>HYPERLINK("https://www.compass.com/building/53-w-11th-st-manhattan-ny-10011/281911607011861029/","53 W 11th St")</f>
        <v>53 W 11th St</v>
      </c>
      <c r="F4464" s="25" t="s">
        <v>43</v>
      </c>
      <c r="G4464" s="28">
        <v>2195000.0</v>
      </c>
      <c r="H4464" s="29"/>
      <c r="I4464" s="28">
        <v>2226.0</v>
      </c>
      <c r="J4464" s="29"/>
      <c r="K4464" s="25" t="s">
        <v>25</v>
      </c>
      <c r="L4464" s="26">
        <v>4.0</v>
      </c>
      <c r="M4464" s="26">
        <v>2.0</v>
      </c>
      <c r="N4464" s="26">
        <v>0.0</v>
      </c>
      <c r="O4464" s="26">
        <v>0.0</v>
      </c>
      <c r="P4464" s="30"/>
      <c r="Q4464" s="35">
        <v>94.0</v>
      </c>
      <c r="R4464" s="32">
        <v>45636.0</v>
      </c>
      <c r="S4464" s="32">
        <v>42639.0</v>
      </c>
      <c r="T4464" s="29"/>
      <c r="U4464" s="33"/>
      <c r="V4464" s="1"/>
    </row>
    <row r="4465" ht="24.0" customHeight="1">
      <c r="A4465" s="1"/>
      <c r="B4465" s="24" t="str">
        <f>HYPERLINK("https://www.compass.com/listing/383-east-10th-street-unit-a1-manhattan-ny-10009/274558821391793137/view?agent_id=610d3f3370540700019b0833","383 East 10th Street, Unit A1")</f>
        <v>383 East 10th Street, Unit A1</v>
      </c>
      <c r="C4465" s="25" t="s">
        <v>364</v>
      </c>
      <c r="D4465" s="26" t="s">
        <v>23</v>
      </c>
      <c r="E4465" s="27" t="str">
        <f>HYPERLINK("https://www.compass.com/building/383-e-10th-st-manhattan-ny-10009/281899798519364341/","383 E 10th St")</f>
        <v>383 E 10th St</v>
      </c>
      <c r="F4465" s="25" t="s">
        <v>24</v>
      </c>
      <c r="G4465" s="28">
        <v>1449000.0</v>
      </c>
      <c r="H4465" s="29"/>
      <c r="I4465" s="28">
        <v>1155.0</v>
      </c>
      <c r="J4465" s="28">
        <v>7380.0</v>
      </c>
      <c r="K4465" s="25" t="s">
        <v>28</v>
      </c>
      <c r="L4465" s="26">
        <v>4.0</v>
      </c>
      <c r="M4465" s="26">
        <v>2.0</v>
      </c>
      <c r="N4465" s="26">
        <v>1.0</v>
      </c>
      <c r="O4465" s="26">
        <v>0.0</v>
      </c>
      <c r="P4465" s="30"/>
      <c r="Q4465" s="35">
        <v>226.0</v>
      </c>
      <c r="R4465" s="32">
        <v>45636.0</v>
      </c>
      <c r="S4465" s="32">
        <v>43585.0</v>
      </c>
      <c r="T4465" s="29"/>
      <c r="U4465" s="33"/>
      <c r="V4465" s="1"/>
    </row>
    <row r="4466" ht="24.0" customHeight="1">
      <c r="A4466" s="1"/>
      <c r="B4466" s="24" t="str">
        <f>HYPERLINK("https://www.compass.com/listing/50-avenue-a-unit-ph6a-manhattan-ny-10009/364886285013310177/view?agent_id=610d3f3370540700019b0833","50 Avenue A, Unit PH6A")</f>
        <v>50 Avenue A, Unit PH6A</v>
      </c>
      <c r="C4466" s="25" t="s">
        <v>364</v>
      </c>
      <c r="D4466" s="26" t="s">
        <v>23</v>
      </c>
      <c r="E4466" s="27" t="str">
        <f>HYPERLINK("https://www.compass.com/building/50-avenue-a-manhattan-ny-10009/389265472626463893/","50 Avenue A")</f>
        <v>50 Avenue A</v>
      </c>
      <c r="F4466" s="25" t="s">
        <v>24</v>
      </c>
      <c r="G4466" s="28">
        <v>2200000.0</v>
      </c>
      <c r="H4466" s="29"/>
      <c r="I4466" s="28">
        <v>3031.0</v>
      </c>
      <c r="J4466" s="28">
        <v>0.0</v>
      </c>
      <c r="K4466" s="25" t="s">
        <v>25</v>
      </c>
      <c r="L4466" s="26">
        <v>4.0</v>
      </c>
      <c r="M4466" s="26">
        <v>2.0</v>
      </c>
      <c r="N4466" s="30"/>
      <c r="O4466" s="30"/>
      <c r="P4466" s="30"/>
      <c r="Q4466" s="35">
        <v>51.0</v>
      </c>
      <c r="R4466" s="32">
        <v>43809.0</v>
      </c>
      <c r="S4466" s="32">
        <v>43755.0</v>
      </c>
      <c r="T4466" s="29"/>
      <c r="U4466" s="33"/>
      <c r="V4466" s="1"/>
    </row>
    <row r="4467" ht="24.0" customHeight="1">
      <c r="A4467" s="1"/>
      <c r="B4467" s="24" t="str">
        <f>HYPERLINK("https://www.compass.com/listing/303-west-122nd-street-unit-35-manhattan-ny-10027/1865338139224154409/view?agent_id=610d3f3370540700019b0833","303 West 122nd Street, Unit 35")</f>
        <v>303 West 122nd Street, Unit 35</v>
      </c>
      <c r="C4467" s="25" t="s">
        <v>365</v>
      </c>
      <c r="D4467" s="26" t="s">
        <v>23</v>
      </c>
      <c r="E4467" s="27" t="str">
        <f>HYPERLINK("https://www.compass.com/building/303-w-122nd-st-manhattan-ny-10027/281981477179197669/","303 W 122nd St")</f>
        <v>303 W 122nd St</v>
      </c>
      <c r="F4467" s="25" t="s">
        <v>45</v>
      </c>
      <c r="G4467" s="28">
        <v>445000.0</v>
      </c>
      <c r="H4467" s="29"/>
      <c r="I4467" s="28">
        <v>1083.0</v>
      </c>
      <c r="J4467" s="28">
        <v>0.0</v>
      </c>
      <c r="K4467" s="25" t="s">
        <v>25</v>
      </c>
      <c r="L4467" s="26">
        <v>5.0</v>
      </c>
      <c r="M4467" s="26">
        <v>2.0</v>
      </c>
      <c r="N4467" s="26">
        <v>1.0</v>
      </c>
      <c r="O4467" s="26">
        <v>0.0</v>
      </c>
      <c r="P4467" s="30"/>
      <c r="Q4467" s="35">
        <v>7.0</v>
      </c>
      <c r="R4467" s="32">
        <v>45832.0</v>
      </c>
      <c r="S4467" s="32">
        <v>45825.0</v>
      </c>
      <c r="T4467" s="29"/>
      <c r="U4467" s="33"/>
      <c r="V4467" s="1"/>
    </row>
    <row r="4468" ht="24.0" customHeight="1">
      <c r="A4468" s="1"/>
      <c r="B4468" s="24" t="str">
        <f>HYPERLINK("https://www.compass.com/listing/59-west-12th-street-unit-6e-manhattan-ny-10011/192566617262117105/view?agent_id=610d3f3370540700019b0833","59 West 12th Street, Unit 6E")</f>
        <v>59 West 12th Street, Unit 6E</v>
      </c>
      <c r="C4468" s="25" t="s">
        <v>364</v>
      </c>
      <c r="D4468" s="26" t="s">
        <v>23</v>
      </c>
      <c r="E4468" s="27" t="str">
        <f>HYPERLINK("https://www.compass.com/building/59-w-12th-st-manhattan-ny-10011/281911850977747717/","59 W 12th St")</f>
        <v>59 W 12th St</v>
      </c>
      <c r="F4468" s="25" t="s">
        <v>43</v>
      </c>
      <c r="G4468" s="28">
        <v>3500000.0</v>
      </c>
      <c r="H4468" s="29"/>
      <c r="I4468" s="28">
        <v>1354.0</v>
      </c>
      <c r="J4468" s="29"/>
      <c r="K4468" s="25" t="s">
        <v>28</v>
      </c>
      <c r="L4468" s="26">
        <v>5.0</v>
      </c>
      <c r="M4468" s="26">
        <v>2.0</v>
      </c>
      <c r="N4468" s="26">
        <v>0.0</v>
      </c>
      <c r="O4468" s="26">
        <v>0.0</v>
      </c>
      <c r="P4468" s="30"/>
      <c r="Q4468" s="35">
        <v>163.0</v>
      </c>
      <c r="R4468" s="32">
        <v>44581.0</v>
      </c>
      <c r="S4468" s="32">
        <v>41328.0</v>
      </c>
      <c r="T4468" s="29"/>
      <c r="U4468" s="33"/>
      <c r="V4468" s="1"/>
    </row>
    <row r="4469" ht="24.0" customHeight="1">
      <c r="A4469" s="1"/>
      <c r="B4469" s="24" t="str">
        <f>HYPERLINK("https://www.compass.com/listing/226-east-2nd-street-unit-2c-manhattan-ny-10009/4703726426522668481/view?agent_id=610d3f3370540700019b0833","226 E 2nd St, Unit 2C")</f>
        <v>226 E 2nd St, Unit 2C</v>
      </c>
      <c r="C4469" s="25" t="s">
        <v>364</v>
      </c>
      <c r="D4469" s="26" t="s">
        <v>23</v>
      </c>
      <c r="E4469" s="27" t="str">
        <f>HYPERLINK("https://www.compass.com/building/226-e-2nd-st-manhattan-ny-10009/292791996853013269/","226 E 2nd St")</f>
        <v>226 E 2nd St</v>
      </c>
      <c r="F4469" s="25" t="s">
        <v>24</v>
      </c>
      <c r="G4469" s="28">
        <v>699000.0</v>
      </c>
      <c r="H4469" s="28">
        <v>958.0</v>
      </c>
      <c r="I4469" s="28">
        <v>965.0</v>
      </c>
      <c r="J4469" s="29"/>
      <c r="K4469" s="25" t="s">
        <v>25</v>
      </c>
      <c r="L4469" s="26">
        <v>4.0</v>
      </c>
      <c r="M4469" s="26">
        <v>2.0</v>
      </c>
      <c r="N4469" s="30"/>
      <c r="O4469" s="30"/>
      <c r="P4469" s="26">
        <v>730.0</v>
      </c>
      <c r="Q4469" s="35">
        <v>23.0</v>
      </c>
      <c r="R4469" s="32">
        <v>42478.0</v>
      </c>
      <c r="S4469" s="32">
        <v>40134.0</v>
      </c>
      <c r="T4469" s="29"/>
      <c r="U4469" s="33"/>
      <c r="V4469" s="1"/>
    </row>
    <row r="4470" ht="24.0" customHeight="1">
      <c r="A4470" s="1"/>
      <c r="B4470" s="24" t="str">
        <f>HYPERLINK("https://www.compass.com/listing/509-east-13th-street-unit-c1-manhattan-ny-10009/4703680215509913025/view?agent_id=610d3f3370540700019b0833","509 E 13th St, Unit C1")</f>
        <v>509 E 13th St, Unit C1</v>
      </c>
      <c r="C4470" s="25" t="s">
        <v>364</v>
      </c>
      <c r="D4470" s="26" t="s">
        <v>23</v>
      </c>
      <c r="E4470" s="27" t="str">
        <f>HYPERLINK("https://www.compass.com/building/509-e-13th-st-manhattan-ny-10009/292793982277144901/","509 E 13th St")</f>
        <v>509 E 13th St</v>
      </c>
      <c r="F4470" s="25" t="s">
        <v>24</v>
      </c>
      <c r="G4470" s="28">
        <v>1350000.0</v>
      </c>
      <c r="H4470" s="29"/>
      <c r="I4470" s="28">
        <v>271.0</v>
      </c>
      <c r="J4470" s="28">
        <v>12.0</v>
      </c>
      <c r="K4470" s="25" t="s">
        <v>28</v>
      </c>
      <c r="L4470" s="26">
        <v>4.0</v>
      </c>
      <c r="M4470" s="26">
        <v>2.0</v>
      </c>
      <c r="N4470" s="30"/>
      <c r="O4470" s="30"/>
      <c r="P4470" s="30"/>
      <c r="Q4470" s="35">
        <v>41.0</v>
      </c>
      <c r="R4470" s="32">
        <v>42476.0</v>
      </c>
      <c r="S4470" s="32">
        <v>38372.0</v>
      </c>
      <c r="T4470" s="29"/>
      <c r="U4470" s="33"/>
      <c r="V4470" s="1"/>
    </row>
    <row r="4471" ht="24.0" customHeight="1">
      <c r="A4471" s="1"/>
      <c r="B4471" s="24" t="str">
        <f>HYPERLINK("https://www.compass.com/listing/631-east-9th-street-unit-3b-manhattan-ny-10009/803302965167451849/view?agent_id=610d3f3370540700019b0833","631 East 9th Street, Unit 3B")</f>
        <v>631 East 9th Street, Unit 3B</v>
      </c>
      <c r="C4471" s="25" t="s">
        <v>364</v>
      </c>
      <c r="D4471" s="26" t="s">
        <v>23</v>
      </c>
      <c r="E4471" s="27" t="str">
        <f>HYPERLINK("https://www.compass.com/building/tompkins-east-condominium-manhattan-ny/281901277565172757/","Tompkins East Condominium")</f>
        <v>Tompkins East Condominium</v>
      </c>
      <c r="F4471" s="25" t="s">
        <v>24</v>
      </c>
      <c r="G4471" s="28">
        <v>1400000.0</v>
      </c>
      <c r="H4471" s="28">
        <v>1472.0</v>
      </c>
      <c r="I4471" s="28">
        <v>649.0</v>
      </c>
      <c r="J4471" s="28">
        <v>7788.0</v>
      </c>
      <c r="K4471" s="25" t="s">
        <v>28</v>
      </c>
      <c r="L4471" s="26">
        <v>4.0</v>
      </c>
      <c r="M4471" s="26">
        <v>2.0</v>
      </c>
      <c r="N4471" s="26">
        <v>0.0</v>
      </c>
      <c r="O4471" s="26">
        <v>0.0</v>
      </c>
      <c r="P4471" s="26">
        <v>951.0</v>
      </c>
      <c r="Q4471" s="35">
        <v>225.0</v>
      </c>
      <c r="R4471" s="32">
        <v>45636.0</v>
      </c>
      <c r="S4471" s="32">
        <v>42927.0</v>
      </c>
      <c r="T4471" s="29"/>
      <c r="U4471" s="33"/>
      <c r="V4471" s="1"/>
    </row>
    <row r="4472" ht="24.0" customHeight="1">
      <c r="A4472" s="1"/>
      <c r="B4472" s="24" t="str">
        <f>HYPERLINK("https://www.compass.com/listing/45-west-11th-street-unit-8c-manhattan-ny-10011/1571789242176323569/view?agent_id=610d3f3370540700019b0833","45 West 11th Street, Unit 8C")</f>
        <v>45 West 11th Street, Unit 8C</v>
      </c>
      <c r="C4472" s="25" t="s">
        <v>364</v>
      </c>
      <c r="D4472" s="26" t="s">
        <v>23</v>
      </c>
      <c r="E4472" s="27" t="str">
        <f>HYPERLINK("https://www.compass.com/building/45-w-11th-st-manhattan-ny-10011/281910646893733813/","45 W 11th St")</f>
        <v>45 W 11th St</v>
      </c>
      <c r="F4472" s="25" t="s">
        <v>43</v>
      </c>
      <c r="G4472" s="28">
        <v>1295000.0</v>
      </c>
      <c r="H4472" s="29"/>
      <c r="I4472" s="28">
        <v>2161.0</v>
      </c>
      <c r="J4472" s="28">
        <v>0.0</v>
      </c>
      <c r="K4472" s="25" t="s">
        <v>25</v>
      </c>
      <c r="L4472" s="26">
        <v>4.0</v>
      </c>
      <c r="M4472" s="26">
        <v>2.0</v>
      </c>
      <c r="N4472" s="26">
        <v>1.0</v>
      </c>
      <c r="O4472" s="26">
        <v>0.0</v>
      </c>
      <c r="P4472" s="30"/>
      <c r="Q4472" s="35">
        <v>33.0</v>
      </c>
      <c r="R4472" s="32">
        <v>45453.0</v>
      </c>
      <c r="S4472" s="32">
        <v>45420.0</v>
      </c>
      <c r="T4472" s="29"/>
      <c r="U4472" s="33"/>
      <c r="V4472" s="1"/>
    </row>
    <row r="4473" ht="24.0" customHeight="1">
      <c r="A4473" s="1"/>
      <c r="B4473" s="24" t="str">
        <f>HYPERLINK("https://www.compass.com/listing/141-east-3rd-street-unit-1c-manhattan-ny-10009/784052156473629593/view?agent_id=610d3f3370540700019b0833","141 East 3rd Street, Unit 1C")</f>
        <v>141 East 3rd Street, Unit 1C</v>
      </c>
      <c r="C4473" s="25" t="s">
        <v>364</v>
      </c>
      <c r="D4473" s="26" t="s">
        <v>23</v>
      </c>
      <c r="E4473" s="27" t="str">
        <f>HYPERLINK("https://www.compass.com/building/ageloff-towers-manhattan-ny/282060731438891781/","Ageloff Towers")</f>
        <v>Ageloff Towers</v>
      </c>
      <c r="F4473" s="25" t="s">
        <v>24</v>
      </c>
      <c r="G4473" s="28">
        <v>1145000.0</v>
      </c>
      <c r="H4473" s="28">
        <v>1145.0</v>
      </c>
      <c r="I4473" s="28">
        <v>1513.0</v>
      </c>
      <c r="J4473" s="29"/>
      <c r="K4473" s="25" t="s">
        <v>25</v>
      </c>
      <c r="L4473" s="26">
        <v>4.0</v>
      </c>
      <c r="M4473" s="26">
        <v>2.0</v>
      </c>
      <c r="N4473" s="26">
        <v>1.0</v>
      </c>
      <c r="O4473" s="26">
        <v>0.0</v>
      </c>
      <c r="P4473" s="34">
        <v>1000.0</v>
      </c>
      <c r="Q4473" s="35">
        <v>175.0</v>
      </c>
      <c r="R4473" s="32">
        <v>45636.0</v>
      </c>
      <c r="S4473" s="32">
        <v>42618.0</v>
      </c>
      <c r="T4473" s="29"/>
      <c r="U4473" s="33"/>
      <c r="V4473" s="1"/>
    </row>
    <row r="4474" ht="24.0" customHeight="1">
      <c r="A4474" s="1"/>
      <c r="B4474" s="24" t="str">
        <f>HYPERLINK("https://www.compass.com/listing/241-east-7th-street-unit-3-manhattan-ny-10009/919017239365291889/view?agent_id=610d3f3370540700019b0833","241 East 7th Street, Unit 3")</f>
        <v>241 East 7th Street, Unit 3</v>
      </c>
      <c r="C4474" s="25" t="s">
        <v>364</v>
      </c>
      <c r="D4474" s="26" t="s">
        <v>23</v>
      </c>
      <c r="E4474" s="27" t="str">
        <f>HYPERLINK("https://www.compass.com/building/241-e-7th-st-manhattan-ny-10009/281898986770542213/","241 E 7th St")</f>
        <v>241 E 7th St</v>
      </c>
      <c r="F4474" s="25" t="s">
        <v>24</v>
      </c>
      <c r="G4474" s="28">
        <v>799000.0</v>
      </c>
      <c r="H4474" s="29"/>
      <c r="I4474" s="28">
        <v>1000.0</v>
      </c>
      <c r="J4474" s="29"/>
      <c r="K4474" s="25" t="s">
        <v>25</v>
      </c>
      <c r="L4474" s="26">
        <v>4.0</v>
      </c>
      <c r="M4474" s="26">
        <v>2.0</v>
      </c>
      <c r="N4474" s="26">
        <v>0.0</v>
      </c>
      <c r="O4474" s="26">
        <v>0.0</v>
      </c>
      <c r="P4474" s="30"/>
      <c r="Q4474" s="35">
        <v>67.0</v>
      </c>
      <c r="R4474" s="32">
        <v>45636.0</v>
      </c>
      <c r="S4474" s="32">
        <v>42057.0</v>
      </c>
      <c r="T4474" s="29"/>
      <c r="U4474" s="33"/>
      <c r="V4474" s="1"/>
    </row>
    <row r="4475" ht="24.0" customHeight="1">
      <c r="A4475" s="1"/>
      <c r="B4475" s="24" t="str">
        <f>HYPERLINK("https://www.compass.com/listing/126-west-22nd-street-unit-12s-manhattan-ny-10011/70920173267193937/view?agent_id=610d3f3370540700019b0833","126 West 22nd Street, Unit 12S")</f>
        <v>126 West 22nd Street, Unit 12S</v>
      </c>
      <c r="C4475" s="25" t="s">
        <v>370</v>
      </c>
      <c r="D4475" s="26" t="s">
        <v>23</v>
      </c>
      <c r="E4475" s="27" t="str">
        <f>HYPERLINK("https://www.compass.com/building/126-w-22nd-st-manhattan-ny-10011/281904910209926693/","126 W 22nd St")</f>
        <v>126 W 22nd St</v>
      </c>
      <c r="F4475" s="25" t="s">
        <v>27</v>
      </c>
      <c r="G4475" s="28">
        <v>9095000.0</v>
      </c>
      <c r="H4475" s="28">
        <v>3237.0</v>
      </c>
      <c r="I4475" s="28">
        <v>7158.0</v>
      </c>
      <c r="J4475" s="28">
        <v>62580.0</v>
      </c>
      <c r="K4475" s="25" t="s">
        <v>28</v>
      </c>
      <c r="L4475" s="26">
        <v>5.0</v>
      </c>
      <c r="M4475" s="26">
        <v>2.0</v>
      </c>
      <c r="N4475" s="26">
        <v>0.0</v>
      </c>
      <c r="O4475" s="26">
        <v>0.0</v>
      </c>
      <c r="P4475" s="34">
        <v>2810.0</v>
      </c>
      <c r="Q4475" s="35">
        <v>287.0</v>
      </c>
      <c r="R4475" s="32">
        <v>45636.0</v>
      </c>
      <c r="S4475" s="32">
        <v>42314.0</v>
      </c>
      <c r="T4475" s="29"/>
      <c r="U4475" s="33"/>
      <c r="V4475" s="1"/>
    </row>
    <row r="4476" ht="24.0" customHeight="1">
      <c r="A4476" s="1"/>
      <c r="B4476" s="24" t="str">
        <f>HYPERLINK("https://www.compass.com/listing/735-east-9th-street-unit-3fw-manhattan-ny-10009/226766043241022945/view?agent_id=610d3f3370540700019b0833","735 East 9th Street, Unit 3FW")</f>
        <v>735 East 9th Street, Unit 3FW</v>
      </c>
      <c r="C4476" s="25" t="s">
        <v>364</v>
      </c>
      <c r="D4476" s="26" t="s">
        <v>23</v>
      </c>
      <c r="E4476" s="27" t="str">
        <f>HYPERLINK("https://www.compass.com/building/735-e-9th-st-manhattan-ny-10009/281901448424340741/","735 E 9th St")</f>
        <v>735 E 9th St</v>
      </c>
      <c r="F4476" s="25" t="s">
        <v>24</v>
      </c>
      <c r="G4476" s="28">
        <v>2195000.0</v>
      </c>
      <c r="H4476" s="28">
        <v>784.0</v>
      </c>
      <c r="I4476" s="28">
        <v>1092.0</v>
      </c>
      <c r="J4476" s="29"/>
      <c r="K4476" s="25" t="s">
        <v>25</v>
      </c>
      <c r="L4476" s="26">
        <v>4.0</v>
      </c>
      <c r="M4476" s="26">
        <v>2.0</v>
      </c>
      <c r="N4476" s="26">
        <v>0.0</v>
      </c>
      <c r="O4476" s="26">
        <v>0.0</v>
      </c>
      <c r="P4476" s="34">
        <v>2800.0</v>
      </c>
      <c r="Q4476" s="35">
        <v>19.0</v>
      </c>
      <c r="R4476" s="32">
        <v>44581.0</v>
      </c>
      <c r="S4476" s="32">
        <v>41537.0</v>
      </c>
      <c r="T4476" s="29"/>
      <c r="U4476" s="33"/>
      <c r="V4476" s="1"/>
    </row>
    <row r="4477" ht="24.0" customHeight="1">
      <c r="A4477" s="1"/>
      <c r="B4477" s="24" t="str">
        <f>HYPERLINK("https://www.compass.com/listing/527-east-12th-street-unit-b1-b3-manhattan-ny-10009/4852267098560273393/view?agent_id=610d3f3370540700019b0833","527 East 12th Street, Unit B1/B3")</f>
        <v>527 East 12th Street, Unit B1/B3</v>
      </c>
      <c r="C4477" s="25" t="s">
        <v>364</v>
      </c>
      <c r="D4477" s="26" t="s">
        <v>23</v>
      </c>
      <c r="E4477" s="27" t="str">
        <f>HYPERLINK("https://www.compass.com/building/527-e-12th-st-manhattan-ny-10009/281900816938318245/","527 E 12th St")</f>
        <v>527 E 12th St</v>
      </c>
      <c r="F4477" s="25" t="s">
        <v>24</v>
      </c>
      <c r="G4477" s="28">
        <v>749000.0</v>
      </c>
      <c r="H4477" s="28">
        <v>936.0</v>
      </c>
      <c r="I4477" s="28">
        <v>707.0</v>
      </c>
      <c r="J4477" s="29"/>
      <c r="K4477" s="25" t="s">
        <v>25</v>
      </c>
      <c r="L4477" s="26">
        <v>4.0</v>
      </c>
      <c r="M4477" s="26">
        <v>2.0</v>
      </c>
      <c r="N4477" s="26">
        <v>0.0</v>
      </c>
      <c r="O4477" s="26">
        <v>0.0</v>
      </c>
      <c r="P4477" s="26">
        <v>800.0</v>
      </c>
      <c r="Q4477" s="35">
        <v>154.0</v>
      </c>
      <c r="R4477" s="32">
        <v>45636.0</v>
      </c>
      <c r="S4477" s="32">
        <v>42172.0</v>
      </c>
      <c r="T4477" s="29"/>
      <c r="U4477" s="33"/>
      <c r="V4477" s="1"/>
    </row>
    <row r="4478" ht="24.0" customHeight="1">
      <c r="A4478" s="1"/>
      <c r="B4478" s="24" t="str">
        <f>HYPERLINK("https://www.compass.com/listing/126-east-12th-street-unit-6c-manhattan-ny-10003/4848429338644722513/view?agent_id=610d3f3370540700019b0833","126 E 12th St, Unit 6C")</f>
        <v>126 E 12th St, Unit 6C</v>
      </c>
      <c r="C4478" s="25" t="s">
        <v>364</v>
      </c>
      <c r="D4478" s="26" t="s">
        <v>23</v>
      </c>
      <c r="E4478" s="27" t="str">
        <f>HYPERLINK("https://www.compass.com/building/126-e-12th-st-manhattan-ny-10003/281889319461848853/","126 E 12th St")</f>
        <v>126 E 12th St</v>
      </c>
      <c r="F4478" s="25" t="s">
        <v>43</v>
      </c>
      <c r="G4478" s="28">
        <v>619000.0</v>
      </c>
      <c r="H4478" s="28">
        <v>854.0</v>
      </c>
      <c r="I4478" s="28">
        <v>1150.0</v>
      </c>
      <c r="J4478" s="29"/>
      <c r="K4478" s="25" t="s">
        <v>25</v>
      </c>
      <c r="L4478" s="26">
        <v>5.0</v>
      </c>
      <c r="M4478" s="26">
        <v>2.0</v>
      </c>
      <c r="N4478" s="30"/>
      <c r="O4478" s="30"/>
      <c r="P4478" s="26">
        <v>725.0</v>
      </c>
      <c r="Q4478" s="31"/>
      <c r="R4478" s="32">
        <v>43698.0</v>
      </c>
      <c r="S4478" s="33"/>
      <c r="T4478" s="29"/>
      <c r="U4478" s="33"/>
      <c r="V4478" s="1"/>
    </row>
    <row r="4479" ht="24.0" customHeight="1">
      <c r="A4479" s="1"/>
      <c r="B4479" s="24" t="str">
        <f>HYPERLINK("https://www.compass.com/listing/318-2nd-avenue-unit-4-manhattan-ny-10003/29381897142528833/view?agent_id=610d3f3370540700019b0833","318 2nd Avenue, Unit 4")</f>
        <v>318 2nd Avenue, Unit 4</v>
      </c>
      <c r="C4479" s="25" t="s">
        <v>364</v>
      </c>
      <c r="D4479" s="26" t="s">
        <v>23</v>
      </c>
      <c r="E4479" s="27" t="str">
        <f>HYPERLINK("https://www.compass.com/building/318-2nd-ave-manhattan-ny-10003/281892356616100997/","318 2nd Ave")</f>
        <v>318 2nd Ave</v>
      </c>
      <c r="F4479" s="25" t="s">
        <v>48</v>
      </c>
      <c r="G4479" s="28">
        <v>1075000.0</v>
      </c>
      <c r="H4479" s="28">
        <v>977.0</v>
      </c>
      <c r="I4479" s="28">
        <v>1800.0</v>
      </c>
      <c r="J4479" s="29"/>
      <c r="K4479" s="25" t="s">
        <v>25</v>
      </c>
      <c r="L4479" s="26">
        <v>4.0</v>
      </c>
      <c r="M4479" s="26">
        <v>2.0</v>
      </c>
      <c r="N4479" s="26">
        <v>1.0</v>
      </c>
      <c r="O4479" s="26">
        <v>0.0</v>
      </c>
      <c r="P4479" s="34">
        <v>1100.0</v>
      </c>
      <c r="Q4479" s="35">
        <v>34.0</v>
      </c>
      <c r="R4479" s="32">
        <v>45636.0</v>
      </c>
      <c r="S4479" s="32">
        <v>43712.0</v>
      </c>
      <c r="T4479" s="29"/>
      <c r="U4479" s="33"/>
      <c r="V4479" s="1"/>
    </row>
    <row r="4480" ht="24.0" customHeight="1">
      <c r="A4480" s="1"/>
      <c r="B4480" s="24" t="str">
        <f>HYPERLINK("https://www.compass.com/listing/126-east-12th-street-unit-6d-manhattan-ny-10003/4848429343367499553/view?agent_id=610d3f3370540700019b0833","126 E 12th St, Unit 6D")</f>
        <v>126 E 12th St, Unit 6D</v>
      </c>
      <c r="C4480" s="25" t="s">
        <v>364</v>
      </c>
      <c r="D4480" s="26" t="s">
        <v>23</v>
      </c>
      <c r="E4480" s="27" t="str">
        <f>HYPERLINK("https://www.compass.com/building/126-e-12th-st-manhattan-ny-10003/281889319461848853/","126 E 12th St")</f>
        <v>126 E 12th St</v>
      </c>
      <c r="F4480" s="25" t="s">
        <v>43</v>
      </c>
      <c r="G4480" s="28">
        <v>630000.0</v>
      </c>
      <c r="H4480" s="28">
        <v>869.0</v>
      </c>
      <c r="I4480" s="28">
        <v>1374.0</v>
      </c>
      <c r="J4480" s="29"/>
      <c r="K4480" s="25" t="s">
        <v>25</v>
      </c>
      <c r="L4480" s="26">
        <v>5.0</v>
      </c>
      <c r="M4480" s="26">
        <v>2.0</v>
      </c>
      <c r="N4480" s="30"/>
      <c r="O4480" s="30"/>
      <c r="P4480" s="26">
        <v>725.0</v>
      </c>
      <c r="Q4480" s="35">
        <v>94.0</v>
      </c>
      <c r="R4480" s="32">
        <v>42477.0</v>
      </c>
      <c r="S4480" s="32">
        <v>40735.0</v>
      </c>
      <c r="T4480" s="29"/>
      <c r="U4480" s="33"/>
      <c r="V4480" s="1"/>
    </row>
    <row r="4481" ht="24.0" customHeight="1">
      <c r="A4481" s="1"/>
      <c r="B4481" s="24" t="str">
        <f>HYPERLINK("https://www.compass.com/listing/224-east-7th-street-unit-17-18-manhattan-ny-10009/4852314558519326001/view?agent_id=610d3f3370540700019b0833","224 East 7th Street, Unit 17/18")</f>
        <v>224 East 7th Street, Unit 17/18</v>
      </c>
      <c r="C4481" s="25" t="s">
        <v>364</v>
      </c>
      <c r="D4481" s="26" t="s">
        <v>23</v>
      </c>
      <c r="E4481" s="27" t="str">
        <f>HYPERLINK("https://www.compass.com/building/224-e-7th-st-manhattan-ny-10009/281898822546765317/","224 E 7th St")</f>
        <v>224 E 7th St</v>
      </c>
      <c r="F4481" s="25" t="s">
        <v>24</v>
      </c>
      <c r="G4481" s="28">
        <v>878000.0</v>
      </c>
      <c r="H4481" s="29"/>
      <c r="I4481" s="28">
        <v>950.0</v>
      </c>
      <c r="J4481" s="29"/>
      <c r="K4481" s="25" t="s">
        <v>25</v>
      </c>
      <c r="L4481" s="26">
        <v>4.0</v>
      </c>
      <c r="M4481" s="26">
        <v>2.0</v>
      </c>
      <c r="N4481" s="26">
        <v>0.0</v>
      </c>
      <c r="O4481" s="26">
        <v>0.0</v>
      </c>
      <c r="P4481" s="30"/>
      <c r="Q4481" s="35">
        <v>46.0</v>
      </c>
      <c r="R4481" s="32">
        <v>45636.0</v>
      </c>
      <c r="S4481" s="32">
        <v>41795.0</v>
      </c>
      <c r="T4481" s="29"/>
      <c r="U4481" s="33"/>
      <c r="V4481" s="1"/>
    </row>
    <row r="4482" ht="24.0" customHeight="1">
      <c r="A4482" s="1"/>
      <c r="B4482" s="24" t="str">
        <f>HYPERLINK("https://www.compass.com/listing/143-avenue-b-unit-10g-manhattan-ny-10009/4852305726455940257/view?agent_id=610d3f3370540700019b0833","143 Avenue B, Unit 10G")</f>
        <v>143 Avenue B, Unit 10G</v>
      </c>
      <c r="C4482" s="25" t="s">
        <v>370</v>
      </c>
      <c r="D4482" s="26" t="s">
        <v>23</v>
      </c>
      <c r="E4482" s="27" t="str">
        <f>HYPERLINK("https://www.compass.com/building/143-avenue-b-manhattan-ny-10009/389279058562493109/","143 Avenue B")</f>
        <v>143 Avenue B</v>
      </c>
      <c r="F4482" s="25" t="s">
        <v>24</v>
      </c>
      <c r="G4482" s="28">
        <v>1700000.0</v>
      </c>
      <c r="H4482" s="29"/>
      <c r="I4482" s="28">
        <v>1616.0</v>
      </c>
      <c r="J4482" s="28">
        <v>6756.0</v>
      </c>
      <c r="K4482" s="25" t="s">
        <v>28</v>
      </c>
      <c r="L4482" s="26">
        <v>4.0</v>
      </c>
      <c r="M4482" s="26">
        <v>2.0</v>
      </c>
      <c r="N4482" s="26">
        <v>0.0</v>
      </c>
      <c r="O4482" s="26">
        <v>0.0</v>
      </c>
      <c r="P4482" s="30"/>
      <c r="Q4482" s="35">
        <v>0.0</v>
      </c>
      <c r="R4482" s="32">
        <v>44581.0</v>
      </c>
      <c r="S4482" s="32">
        <v>41552.0</v>
      </c>
      <c r="T4482" s="29"/>
      <c r="U4482" s="33"/>
      <c r="V4482" s="1"/>
    </row>
    <row r="4483" ht="24.0" customHeight="1">
      <c r="A4483" s="1"/>
      <c r="B4483" s="24" t="str">
        <f>HYPERLINK("https://www.compass.com/listing/350-bleecker-street-unit-5g-manhattan-ny-10014/273938158293353073/view?agent_id=610d3f3370540700019b0833","350 Bleecker Street, Unit 5G")</f>
        <v>350 Bleecker Street, Unit 5G</v>
      </c>
      <c r="C4483" s="25" t="s">
        <v>364</v>
      </c>
      <c r="D4483" s="26" t="s">
        <v>23</v>
      </c>
      <c r="E4483" s="27" t="str">
        <f>HYPERLINK("https://www.compass.com/building/350-bleecker-st-manhattan-ny-10014/281933070641183925/","350 Bleecker St")</f>
        <v>350 Bleecker St</v>
      </c>
      <c r="F4483" s="25" t="s">
        <v>26</v>
      </c>
      <c r="G4483" s="28">
        <v>1595000.0</v>
      </c>
      <c r="H4483" s="29"/>
      <c r="I4483" s="28">
        <v>2114.0</v>
      </c>
      <c r="J4483" s="29"/>
      <c r="K4483" s="25" t="s">
        <v>110</v>
      </c>
      <c r="L4483" s="26">
        <v>4.0</v>
      </c>
      <c r="M4483" s="26">
        <v>2.0</v>
      </c>
      <c r="N4483" s="26">
        <v>1.0</v>
      </c>
      <c r="O4483" s="26">
        <v>0.0</v>
      </c>
      <c r="P4483" s="30"/>
      <c r="Q4483" s="35">
        <v>337.0</v>
      </c>
      <c r="R4483" s="32">
        <v>45636.0</v>
      </c>
      <c r="S4483" s="32">
        <v>43628.0</v>
      </c>
      <c r="T4483" s="29"/>
      <c r="U4483" s="33"/>
      <c r="V4483" s="1"/>
    </row>
    <row r="4484" ht="24.0" customHeight="1">
      <c r="A4484" s="1"/>
      <c r="B4484" s="24" t="str">
        <f>HYPERLINK("https://www.compass.com/listing/32-west-9th-street-unit-1a-2a-manhattan-ny-10011/1838941761960052985/view?agent_id=610d3f3370540700019b0833","32 West 9th Street, Unit 1A/2A")</f>
        <v>32 West 9th Street, Unit 1A/2A</v>
      </c>
      <c r="C4484" s="25" t="s">
        <v>364</v>
      </c>
      <c r="D4484" s="26" t="s">
        <v>23</v>
      </c>
      <c r="E4484" s="27" t="str">
        <f>HYPERLINK("https://www.compass.com/building/32-w-9th-st-manhattan-ny-10011/294840079893713349/","32 W 9th St")</f>
        <v>32 W 9th St</v>
      </c>
      <c r="F4484" s="25" t="s">
        <v>43</v>
      </c>
      <c r="G4484" s="28">
        <v>2600000.0</v>
      </c>
      <c r="H4484" s="28">
        <v>1499.0</v>
      </c>
      <c r="I4484" s="28">
        <v>2313.0</v>
      </c>
      <c r="J4484" s="28">
        <v>13704.0</v>
      </c>
      <c r="K4484" s="25" t="s">
        <v>28</v>
      </c>
      <c r="L4484" s="26">
        <v>5.0</v>
      </c>
      <c r="M4484" s="26">
        <v>2.0</v>
      </c>
      <c r="N4484" s="26">
        <v>0.0</v>
      </c>
      <c r="O4484" s="26">
        <v>0.0</v>
      </c>
      <c r="P4484" s="34">
        <v>1734.0</v>
      </c>
      <c r="Q4484" s="35">
        <v>3396.0</v>
      </c>
      <c r="R4484" s="32">
        <v>44581.0</v>
      </c>
      <c r="S4484" s="32">
        <v>41184.0</v>
      </c>
      <c r="T4484" s="29"/>
      <c r="U4484" s="33"/>
      <c r="V4484" s="1"/>
    </row>
    <row r="4485" ht="24.0" customHeight="1">
      <c r="A4485" s="1"/>
      <c r="B4485" s="24" t="str">
        <f>HYPERLINK("https://www.compass.com/listing/96-perry-street-unit-b24-manhattan-ny-10014/1307834997384496513/view?agent_id=610d3f3370540700019b0833","96 Perry Street, Unit B24")</f>
        <v>96 Perry Street, Unit B24</v>
      </c>
      <c r="C4485" s="25" t="s">
        <v>364</v>
      </c>
      <c r="D4485" s="26" t="s">
        <v>23</v>
      </c>
      <c r="E4485" s="27" t="str">
        <f>HYPERLINK("https://www.compass.com/building/96-perry-st-manhattan-ny-10014/281936413367260229/","96 Perry St")</f>
        <v>96 Perry St</v>
      </c>
      <c r="F4485" s="25" t="s">
        <v>26</v>
      </c>
      <c r="G4485" s="28">
        <v>1150000.0</v>
      </c>
      <c r="H4485" s="29"/>
      <c r="I4485" s="28">
        <v>1399.0</v>
      </c>
      <c r="J4485" s="29"/>
      <c r="K4485" s="25" t="s">
        <v>25</v>
      </c>
      <c r="L4485" s="26">
        <v>4.0</v>
      </c>
      <c r="M4485" s="26">
        <v>2.0</v>
      </c>
      <c r="N4485" s="26">
        <v>1.0</v>
      </c>
      <c r="O4485" s="26">
        <v>0.0</v>
      </c>
      <c r="P4485" s="30"/>
      <c r="Q4485" s="35">
        <v>88.0</v>
      </c>
      <c r="R4485" s="32">
        <v>45145.0</v>
      </c>
      <c r="S4485" s="32">
        <v>45056.0</v>
      </c>
      <c r="T4485" s="29"/>
      <c r="U4485" s="33"/>
      <c r="V4485" s="1"/>
    </row>
    <row r="4486" ht="24.0" customHeight="1">
      <c r="A4486" s="1"/>
      <c r="B4486" s="24" t="str">
        <f>HYPERLINK("https://www.compass.com/listing/55-avenue-c-unit-3-manhattan-ny-10009/4848425843413755393/view?agent_id=610d3f3370540700019b0833","55 Avenue C, Unit 3")</f>
        <v>55 Avenue C, Unit 3</v>
      </c>
      <c r="C4486" s="25" t="s">
        <v>364</v>
      </c>
      <c r="D4486" s="26" t="s">
        <v>23</v>
      </c>
      <c r="E4486" s="27" t="str">
        <f>HYPERLINK("https://www.compass.com/building/55-avenue-c-manhattan-ny-10009/389270682556089877/","55 Avenue C")</f>
        <v>55 Avenue C</v>
      </c>
      <c r="F4486" s="25" t="s">
        <v>24</v>
      </c>
      <c r="G4486" s="28">
        <v>649000.0</v>
      </c>
      <c r="H4486" s="29"/>
      <c r="I4486" s="28">
        <v>300.0</v>
      </c>
      <c r="J4486" s="29"/>
      <c r="K4486" s="25" t="s">
        <v>25</v>
      </c>
      <c r="L4486" s="26">
        <v>3.0</v>
      </c>
      <c r="M4486" s="26">
        <v>2.0</v>
      </c>
      <c r="N4486" s="30"/>
      <c r="O4486" s="30"/>
      <c r="P4486" s="30"/>
      <c r="Q4486" s="31"/>
      <c r="R4486" s="32">
        <v>42477.0</v>
      </c>
      <c r="S4486" s="33"/>
      <c r="T4486" s="29"/>
      <c r="U4486" s="33"/>
      <c r="V4486" s="1"/>
    </row>
    <row r="4487" ht="24.0" customHeight="1">
      <c r="A4487" s="1"/>
      <c r="B4487" s="24" t="str">
        <f>HYPERLINK("https://www.compass.com/listing/754-east-6th-street-unit-3c-manhattan-ny-10009/70911047359387121/view?agent_id=610d3f3370540700019b0833","754 East 6th Street, Unit 3C")</f>
        <v>754 East 6th Street, Unit 3C</v>
      </c>
      <c r="C4487" s="25" t="s">
        <v>370</v>
      </c>
      <c r="D4487" s="26" t="s">
        <v>23</v>
      </c>
      <c r="E4487" s="27" t="str">
        <f>HYPERLINK("https://www.compass.com/building/754-e-6th-st-manhattan-ny-10009/281901472206043893/","754 E 6th St")</f>
        <v>754 E 6th St</v>
      </c>
      <c r="F4487" s="25" t="s">
        <v>24</v>
      </c>
      <c r="G4487" s="28">
        <v>710000.0</v>
      </c>
      <c r="H4487" s="29"/>
      <c r="I4487" s="28">
        <v>354.0</v>
      </c>
      <c r="J4487" s="28">
        <v>1080.0</v>
      </c>
      <c r="K4487" s="25" t="s">
        <v>28</v>
      </c>
      <c r="L4487" s="26">
        <v>4.0</v>
      </c>
      <c r="M4487" s="26">
        <v>2.0</v>
      </c>
      <c r="N4487" s="26">
        <v>0.0</v>
      </c>
      <c r="O4487" s="26">
        <v>0.0</v>
      </c>
      <c r="P4487" s="30"/>
      <c r="Q4487" s="35">
        <v>0.0</v>
      </c>
      <c r="R4487" s="32">
        <v>44581.0</v>
      </c>
      <c r="S4487" s="32">
        <v>41513.0</v>
      </c>
      <c r="T4487" s="29"/>
      <c r="U4487" s="33"/>
      <c r="V4487" s="1"/>
    </row>
    <row r="4488" ht="24.0" customHeight="1">
      <c r="A4488" s="1"/>
      <c r="B4488" s="24" t="str">
        <f>HYPERLINK("https://www.compass.com/listing/102-1st-avenue-unit-3-manhattan-ny-10009/1274679359623937193/view?agent_id=610d3f3370540700019b0833","102 1st Avenue, Unit 3")</f>
        <v>102 1st Avenue, Unit 3</v>
      </c>
      <c r="C4488" s="25" t="s">
        <v>364</v>
      </c>
      <c r="D4488" s="26" t="s">
        <v>23</v>
      </c>
      <c r="E4488" s="27" t="str">
        <f>HYPERLINK("https://www.compass.com/building/102-1st-ave-manhattan-ny-10009/281897301381752405/","102 1st Ave")</f>
        <v>102 1st Ave</v>
      </c>
      <c r="F4488" s="25" t="s">
        <v>24</v>
      </c>
      <c r="G4488" s="28">
        <v>950000.0</v>
      </c>
      <c r="H4488" s="28">
        <v>1267.0</v>
      </c>
      <c r="I4488" s="28">
        <v>638.0</v>
      </c>
      <c r="J4488" s="28">
        <v>3264.0</v>
      </c>
      <c r="K4488" s="25" t="s">
        <v>28</v>
      </c>
      <c r="L4488" s="26">
        <v>4.0</v>
      </c>
      <c r="M4488" s="26">
        <v>2.0</v>
      </c>
      <c r="N4488" s="26">
        <v>1.0</v>
      </c>
      <c r="O4488" s="30"/>
      <c r="P4488" s="26">
        <v>750.0</v>
      </c>
      <c r="Q4488" s="35">
        <v>399.0</v>
      </c>
      <c r="R4488" s="32">
        <v>45411.0</v>
      </c>
      <c r="S4488" s="32">
        <v>45010.0</v>
      </c>
      <c r="T4488" s="29"/>
      <c r="U4488" s="33"/>
      <c r="V4488" s="1"/>
    </row>
    <row r="4489" ht="24.0" customHeight="1">
      <c r="A4489" s="1"/>
      <c r="B4489" s="24" t="str">
        <f>HYPERLINK("https://www.compass.com/listing/136-west-16th-street-unit-3e-manhattan-ny-10011/1316614490182638857/view?agent_id=610d3f3370540700019b0833","136 West 16th Street, Unit 3E")</f>
        <v>136 West 16th Street, Unit 3E</v>
      </c>
      <c r="C4489" s="25" t="s">
        <v>364</v>
      </c>
      <c r="D4489" s="26" t="s">
        <v>23</v>
      </c>
      <c r="E4489" s="27" t="str">
        <f>HYPERLINK("https://www.compass.com/building/136-w-16th-st-manhattan-ny-10011/281905201244293573/","136 W 16th St")</f>
        <v>136 W 16th St</v>
      </c>
      <c r="F4489" s="25" t="s">
        <v>27</v>
      </c>
      <c r="G4489" s="28">
        <v>1849000.0</v>
      </c>
      <c r="H4489" s="29"/>
      <c r="I4489" s="28">
        <v>2305.0</v>
      </c>
      <c r="J4489" s="29"/>
      <c r="K4489" s="25" t="s">
        <v>25</v>
      </c>
      <c r="L4489" s="26">
        <v>5.0</v>
      </c>
      <c r="M4489" s="26">
        <v>2.0</v>
      </c>
      <c r="N4489" s="26">
        <v>1.0</v>
      </c>
      <c r="O4489" s="26">
        <v>0.0</v>
      </c>
      <c r="P4489" s="30"/>
      <c r="Q4489" s="35">
        <v>83.0</v>
      </c>
      <c r="R4489" s="32">
        <v>45152.0</v>
      </c>
      <c r="S4489" s="32">
        <v>45068.0</v>
      </c>
      <c r="T4489" s="29"/>
      <c r="U4489" s="33"/>
      <c r="V4489" s="1"/>
    </row>
    <row r="4490" ht="24.0" customHeight="1">
      <c r="A4490" s="1"/>
      <c r="B4490" s="24" t="str">
        <f>HYPERLINK("https://www.compass.com/listing/137-east-15th-street-unit-ph-manhattan-ny-10003/50870096666685425/view?agent_id=610d3f3370540700019b0833","137 East 15th Street, Unit PH")</f>
        <v>137 East 15th Street, Unit PH</v>
      </c>
      <c r="C4490" s="25" t="s">
        <v>370</v>
      </c>
      <c r="D4490" s="26" t="s">
        <v>23</v>
      </c>
      <c r="E4490" s="27" t="str">
        <f>HYPERLINK("https://www.compass.com/building/137-e-15th-st-manhattan-ny-10003/281889659980614341/","137 E 15th St")</f>
        <v>137 E 15th St</v>
      </c>
      <c r="F4490" s="25" t="s">
        <v>48</v>
      </c>
      <c r="G4490" s="28">
        <v>2000000.0</v>
      </c>
      <c r="H4490" s="29"/>
      <c r="I4490" s="28">
        <v>2145.0</v>
      </c>
      <c r="J4490" s="29"/>
      <c r="K4490" s="25" t="s">
        <v>25</v>
      </c>
      <c r="L4490" s="26">
        <v>5.0</v>
      </c>
      <c r="M4490" s="26">
        <v>2.0</v>
      </c>
      <c r="N4490" s="26">
        <v>0.0</v>
      </c>
      <c r="O4490" s="26">
        <v>0.0</v>
      </c>
      <c r="P4490" s="30"/>
      <c r="Q4490" s="35">
        <v>292.0</v>
      </c>
      <c r="R4490" s="32">
        <v>45636.0</v>
      </c>
      <c r="S4490" s="32">
        <v>42586.0</v>
      </c>
      <c r="T4490" s="29"/>
      <c r="U4490" s="33"/>
      <c r="V4490" s="1"/>
    </row>
    <row r="4491" ht="24.0" customHeight="1">
      <c r="A4491" s="1"/>
      <c r="B4491" s="24" t="str">
        <f>HYPERLINK("https://www.compass.com/listing/60-west-13th-street-unit-7a-manhattan-ny-10011/29366108574273137/view?agent_id=610d3f3370540700019b0833","60 West 13th Street, Unit 7A")</f>
        <v>60 West 13th Street, Unit 7A</v>
      </c>
      <c r="C4491" s="25" t="s">
        <v>364</v>
      </c>
      <c r="D4491" s="26" t="s">
        <v>23</v>
      </c>
      <c r="E4491" s="27" t="str">
        <f>HYPERLINK("https://www.compass.com/building/village-house-condominium-manhattan-ny/281911923413378437/","Village House Condominium")</f>
        <v>Village House Condominium</v>
      </c>
      <c r="F4491" s="25" t="s">
        <v>43</v>
      </c>
      <c r="G4491" s="28">
        <v>2395000.0</v>
      </c>
      <c r="H4491" s="28">
        <v>1996.0</v>
      </c>
      <c r="I4491" s="28">
        <v>2125.0</v>
      </c>
      <c r="J4491" s="28">
        <v>12000.0</v>
      </c>
      <c r="K4491" s="25" t="s">
        <v>28</v>
      </c>
      <c r="L4491" s="26">
        <v>5.0</v>
      </c>
      <c r="M4491" s="26">
        <v>2.0</v>
      </c>
      <c r="N4491" s="26">
        <v>0.0</v>
      </c>
      <c r="O4491" s="26">
        <v>0.0</v>
      </c>
      <c r="P4491" s="34">
        <v>1200.0</v>
      </c>
      <c r="Q4491" s="35">
        <v>177.0</v>
      </c>
      <c r="R4491" s="32">
        <v>45636.0</v>
      </c>
      <c r="S4491" s="32">
        <v>42433.0</v>
      </c>
      <c r="T4491" s="29"/>
      <c r="U4491" s="33"/>
      <c r="V4491" s="1"/>
    </row>
    <row r="4492" ht="24.0" customHeight="1">
      <c r="A4492" s="1"/>
      <c r="B4492" s="24" t="str">
        <f>HYPERLINK("https://www.compass.com/listing/415-east-6th-street-unit-2nd-manhattan-ny-10009/13810593505030145/view?agent_id=610d3f3370540700019b0833","415 East 6th Street, Unit 2ND/")</f>
        <v>415 East 6th Street, Unit 2ND/</v>
      </c>
      <c r="C4492" s="25" t="s">
        <v>364</v>
      </c>
      <c r="D4492" s="26" t="s">
        <v>23</v>
      </c>
      <c r="E4492" s="27" t="str">
        <f t="shared" ref="E4492:E4493" si="193">HYPERLINK("https://www.compass.com/building/415-e-6th-st-manhattan-ny-10009/281899972155161557/","415 E 6th St")</f>
        <v>415 E 6th St</v>
      </c>
      <c r="F4492" s="25" t="s">
        <v>24</v>
      </c>
      <c r="G4492" s="28">
        <v>2950000.0</v>
      </c>
      <c r="H4492" s="28">
        <v>1544.0</v>
      </c>
      <c r="I4492" s="28">
        <v>3269.0</v>
      </c>
      <c r="J4492" s="28">
        <v>19800.0</v>
      </c>
      <c r="K4492" s="25" t="s">
        <v>28</v>
      </c>
      <c r="L4492" s="26">
        <v>6.0</v>
      </c>
      <c r="M4492" s="26">
        <v>2.0</v>
      </c>
      <c r="N4492" s="26">
        <v>0.0</v>
      </c>
      <c r="O4492" s="26">
        <v>0.0</v>
      </c>
      <c r="P4492" s="34">
        <v>1911.0</v>
      </c>
      <c r="Q4492" s="35">
        <v>104.0</v>
      </c>
      <c r="R4492" s="32">
        <v>44581.0</v>
      </c>
      <c r="S4492" s="32">
        <v>42341.0</v>
      </c>
      <c r="T4492" s="29"/>
      <c r="U4492" s="33"/>
      <c r="V4492" s="1"/>
    </row>
    <row r="4493" ht="24.0" customHeight="1">
      <c r="A4493" s="1"/>
      <c r="B4493" s="24" t="str">
        <f>HYPERLINK("https://www.compass.com/listing/415-east-6th-street-unit-2-manhattan-ny-10009/803304543475278801/view?agent_id=610d3f3370540700019b0833","415 East 6th Street, Unit 2")</f>
        <v>415 East 6th Street, Unit 2</v>
      </c>
      <c r="C4493" s="25" t="s">
        <v>364</v>
      </c>
      <c r="D4493" s="26" t="s">
        <v>23</v>
      </c>
      <c r="E4493" s="27" t="str">
        <f t="shared" si="193"/>
        <v>415 E 6th St</v>
      </c>
      <c r="F4493" s="25" t="s">
        <v>24</v>
      </c>
      <c r="G4493" s="28">
        <v>2950000.0</v>
      </c>
      <c r="H4493" s="28">
        <v>1544.0</v>
      </c>
      <c r="I4493" s="28">
        <v>3269.0</v>
      </c>
      <c r="J4493" s="28">
        <v>19800.0</v>
      </c>
      <c r="K4493" s="25" t="s">
        <v>28</v>
      </c>
      <c r="L4493" s="26">
        <v>6.0</v>
      </c>
      <c r="M4493" s="26">
        <v>2.0</v>
      </c>
      <c r="N4493" s="26">
        <v>0.0</v>
      </c>
      <c r="O4493" s="26">
        <v>0.0</v>
      </c>
      <c r="P4493" s="34">
        <v>1911.0</v>
      </c>
      <c r="Q4493" s="35">
        <v>47.0</v>
      </c>
      <c r="R4493" s="32">
        <v>45636.0</v>
      </c>
      <c r="S4493" s="32">
        <v>42627.0</v>
      </c>
      <c r="T4493" s="29"/>
      <c r="U4493" s="33"/>
      <c r="V4493" s="1"/>
    </row>
    <row r="4494" ht="24.0" customHeight="1">
      <c r="A4494" s="1"/>
      <c r="B4494" s="24" t="str">
        <f>HYPERLINK("https://www.compass.com/listing/425-east-13th-street-unit-pha-manhattan-ny-10009/1047444781890155225/view?agent_id=610d3f3370540700019b0833","425 East 13th Street, Unit PHA")</f>
        <v>425 East 13th Street, Unit PHA</v>
      </c>
      <c r="C4494" s="25" t="s">
        <v>364</v>
      </c>
      <c r="D4494" s="26" t="s">
        <v>23</v>
      </c>
      <c r="E4494" s="27" t="str">
        <f>HYPERLINK("https://www.compass.com/building/the-a-building-manhattan-ny/292793565463989989/","The A Building")</f>
        <v>The A Building</v>
      </c>
      <c r="F4494" s="25" t="s">
        <v>24</v>
      </c>
      <c r="G4494" s="28">
        <v>2725000.0</v>
      </c>
      <c r="H4494" s="28">
        <v>2214.0</v>
      </c>
      <c r="I4494" s="28">
        <v>3450.0</v>
      </c>
      <c r="J4494" s="28">
        <v>8292.0</v>
      </c>
      <c r="K4494" s="25" t="s">
        <v>28</v>
      </c>
      <c r="L4494" s="26">
        <v>5.0</v>
      </c>
      <c r="M4494" s="26">
        <v>2.0</v>
      </c>
      <c r="N4494" s="30"/>
      <c r="O4494" s="30"/>
      <c r="P4494" s="34">
        <v>1231.0</v>
      </c>
      <c r="Q4494" s="35">
        <v>124.0</v>
      </c>
      <c r="R4494" s="32">
        <v>44818.0</v>
      </c>
      <c r="S4494" s="32">
        <v>44693.0</v>
      </c>
      <c r="T4494" s="29"/>
      <c r="U4494" s="33"/>
      <c r="V4494" s="1"/>
    </row>
    <row r="4495" ht="24.0" customHeight="1">
      <c r="A4495" s="1"/>
      <c r="B4495" s="24" t="str">
        <f>HYPERLINK("https://www.compass.com/listing/37-east-12th-street-unit-4-manhattan-ny-10003/29365304853287457/view?agent_id=610d3f3370540700019b0833","37 East 12th Street, Unit 4")</f>
        <v>37 East 12th Street, Unit 4</v>
      </c>
      <c r="C4495" s="25" t="s">
        <v>364</v>
      </c>
      <c r="D4495" s="26" t="s">
        <v>23</v>
      </c>
      <c r="E4495" s="27" t="str">
        <f>HYPERLINK("https://www.compass.com/building/37-e-12th-st-manhattan-ny-10003/281893347050658069/","37 E 12th St")</f>
        <v>37 E 12th St</v>
      </c>
      <c r="F4495" s="25" t="s">
        <v>43</v>
      </c>
      <c r="G4495" s="28">
        <v>9350000.0</v>
      </c>
      <c r="H4495" s="28">
        <v>3088.0</v>
      </c>
      <c r="I4495" s="28">
        <v>7999.0</v>
      </c>
      <c r="J4495" s="28">
        <v>30624.0</v>
      </c>
      <c r="K4495" s="25" t="s">
        <v>28</v>
      </c>
      <c r="L4495" s="26">
        <v>4.0</v>
      </c>
      <c r="M4495" s="26">
        <v>2.0</v>
      </c>
      <c r="N4495" s="26">
        <v>0.0</v>
      </c>
      <c r="O4495" s="26">
        <v>0.0</v>
      </c>
      <c r="P4495" s="34">
        <v>3028.0</v>
      </c>
      <c r="Q4495" s="35">
        <v>309.0</v>
      </c>
      <c r="R4495" s="32">
        <v>45695.0</v>
      </c>
      <c r="S4495" s="32">
        <v>41955.0</v>
      </c>
      <c r="T4495" s="29"/>
      <c r="U4495" s="33"/>
      <c r="V4495" s="1"/>
    </row>
    <row r="4496" ht="24.0" customHeight="1">
      <c r="A4496" s="1"/>
      <c r="B4496" s="24" t="str">
        <f>HYPERLINK("https://www.compass.com/listing/525-east-11th-street-unit-3a-manhattan-ny-10009/785269391557578521/view?agent_id=610d3f3370540700019b0833","525 East 11th Street, Unit 3A")</f>
        <v>525 East 11th Street, Unit 3A</v>
      </c>
      <c r="C4496" s="25" t="s">
        <v>364</v>
      </c>
      <c r="D4496" s="26" t="s">
        <v>23</v>
      </c>
      <c r="E4496" s="27" t="str">
        <f>HYPERLINK("https://www.compass.com/building/the-fillmore-manhattan-ny/281900732909633429/","The Fillmore ")</f>
        <v>The Fillmore </v>
      </c>
      <c r="F4496" s="25" t="s">
        <v>24</v>
      </c>
      <c r="G4496" s="28">
        <v>1475000.0</v>
      </c>
      <c r="H4496" s="28">
        <v>1420.0</v>
      </c>
      <c r="I4496" s="28">
        <v>1864.0</v>
      </c>
      <c r="J4496" s="28">
        <v>9972.0</v>
      </c>
      <c r="K4496" s="25" t="s">
        <v>28</v>
      </c>
      <c r="L4496" s="26">
        <v>5.0</v>
      </c>
      <c r="M4496" s="26">
        <v>2.0</v>
      </c>
      <c r="N4496" s="26">
        <v>0.0</v>
      </c>
      <c r="O4496" s="26">
        <v>0.0</v>
      </c>
      <c r="P4496" s="34">
        <v>1039.0</v>
      </c>
      <c r="Q4496" s="35">
        <v>15.0</v>
      </c>
      <c r="R4496" s="32">
        <v>44581.0</v>
      </c>
      <c r="S4496" s="32">
        <v>41170.0</v>
      </c>
      <c r="T4496" s="29"/>
      <c r="U4496" s="33"/>
      <c r="V4496" s="1"/>
    </row>
    <row r="4497" ht="24.0" customHeight="1">
      <c r="A4497" s="1"/>
      <c r="B4497" s="24" t="str">
        <f>HYPERLINK("https://www.compass.com/listing/3-sheridan-square-unit-5h-manhattan-ny-10014/29366557809410817/view?agent_id=610d3f3370540700019b0833","3 Sheridan Square, Unit 5H")</f>
        <v>3 Sheridan Square, Unit 5H</v>
      </c>
      <c r="C4497" s="25" t="s">
        <v>364</v>
      </c>
      <c r="D4497" s="26" t="s">
        <v>23</v>
      </c>
      <c r="E4497" s="27" t="str">
        <f>HYPERLINK("https://www.compass.com/building/3-sheridan-square-manhattan-ny-10014/294838762379017749/","3 Sheridan Square")</f>
        <v>3 Sheridan Square</v>
      </c>
      <c r="F4497" s="25" t="s">
        <v>26</v>
      </c>
      <c r="G4497" s="28">
        <v>2450000.0</v>
      </c>
      <c r="H4497" s="29"/>
      <c r="I4497" s="28">
        <v>2504.0</v>
      </c>
      <c r="J4497" s="29"/>
      <c r="K4497" s="25" t="s">
        <v>25</v>
      </c>
      <c r="L4497" s="26">
        <v>5.0</v>
      </c>
      <c r="M4497" s="26">
        <v>2.0</v>
      </c>
      <c r="N4497" s="26">
        <v>0.0</v>
      </c>
      <c r="O4497" s="26">
        <v>0.0</v>
      </c>
      <c r="P4497" s="30"/>
      <c r="Q4497" s="35">
        <v>8.0</v>
      </c>
      <c r="R4497" s="32">
        <v>45636.0</v>
      </c>
      <c r="S4497" s="32">
        <v>43194.0</v>
      </c>
      <c r="T4497" s="29"/>
      <c r="U4497" s="33"/>
      <c r="V4497" s="1"/>
    </row>
    <row r="4498" ht="24.0" customHeight="1">
      <c r="A4498" s="1"/>
      <c r="B4498" s="24" t="str">
        <f>HYPERLINK("https://www.compass.com/listing/271-east-7th-street-unit-4-manhattan-ny-10009/976828861654448777/view?agent_id=610d3f3370540700019b0833","271 East 7th Street, Unit 4")</f>
        <v>271 East 7th Street, Unit 4</v>
      </c>
      <c r="C4498" s="25" t="s">
        <v>365</v>
      </c>
      <c r="D4498" s="26" t="s">
        <v>23</v>
      </c>
      <c r="E4498" s="27" t="str">
        <f>HYPERLINK("https://www.compass.com/building/271-e-7th-st-manhattan-ny-10009/281899213548171797/","271 E 7th St")</f>
        <v>271 E 7th St</v>
      </c>
      <c r="F4498" s="25" t="s">
        <v>24</v>
      </c>
      <c r="G4498" s="28">
        <v>975000.0</v>
      </c>
      <c r="H4498" s="28">
        <v>1147.0</v>
      </c>
      <c r="I4498" s="28">
        <v>480.0</v>
      </c>
      <c r="J4498" s="28">
        <v>0.0</v>
      </c>
      <c r="K4498" s="25" t="s">
        <v>49</v>
      </c>
      <c r="L4498" s="26">
        <v>4.0</v>
      </c>
      <c r="M4498" s="26">
        <v>2.0</v>
      </c>
      <c r="N4498" s="26">
        <v>1.0</v>
      </c>
      <c r="O4498" s="30"/>
      <c r="P4498" s="26">
        <v>850.0</v>
      </c>
      <c r="Q4498" s="35">
        <v>76.0</v>
      </c>
      <c r="R4498" s="32">
        <v>44905.0</v>
      </c>
      <c r="S4498" s="32">
        <v>44594.0</v>
      </c>
      <c r="T4498" s="29"/>
      <c r="U4498" s="33"/>
      <c r="V4498" s="1"/>
    </row>
    <row r="4499" ht="24.0" customHeight="1">
      <c r="A4499" s="1"/>
      <c r="B4499" s="24" t="str">
        <f>HYPERLINK("https://www.compass.com/listing/3-sheridan-square-unit-3d-manhattan-ny-10014/29366561726849985/view?agent_id=610d3f3370540700019b0833","3 Sheridan Square, Unit 3D")</f>
        <v>3 Sheridan Square, Unit 3D</v>
      </c>
      <c r="C4499" s="25" t="s">
        <v>364</v>
      </c>
      <c r="D4499" s="26" t="s">
        <v>23</v>
      </c>
      <c r="E4499" s="27" t="str">
        <f>HYPERLINK("https://www.compass.com/building/3-sheridan-square-manhattan-ny-10014/294838762379017749/","3 Sheridan Square")</f>
        <v>3 Sheridan Square</v>
      </c>
      <c r="F4499" s="25" t="s">
        <v>26</v>
      </c>
      <c r="G4499" s="28">
        <v>1779000.0</v>
      </c>
      <c r="H4499" s="28">
        <v>1744.0</v>
      </c>
      <c r="I4499" s="28">
        <v>1630.0</v>
      </c>
      <c r="J4499" s="28">
        <v>0.0</v>
      </c>
      <c r="K4499" s="25" t="s">
        <v>25</v>
      </c>
      <c r="L4499" s="26">
        <v>4.0</v>
      </c>
      <c r="M4499" s="26">
        <v>2.0</v>
      </c>
      <c r="N4499" s="26">
        <v>1.0</v>
      </c>
      <c r="O4499" s="30"/>
      <c r="P4499" s="34">
        <v>1020.0</v>
      </c>
      <c r="Q4499" s="35">
        <v>69.0</v>
      </c>
      <c r="R4499" s="32">
        <v>42870.0</v>
      </c>
      <c r="S4499" s="32">
        <v>42633.0</v>
      </c>
      <c r="T4499" s="29"/>
      <c r="U4499" s="33"/>
      <c r="V4499" s="1"/>
    </row>
    <row r="4500" ht="24.0" customHeight="1">
      <c r="A4500" s="1"/>
      <c r="B4500" s="24" t="str">
        <f>HYPERLINK("https://www.compass.com/listing/69-west-9th-street-unit-6f-manhattan-ny-10011/29365872678221153/view?agent_id=610d3f3370540700019b0833","69 West 9th Street, Unit 6F")</f>
        <v>69 West 9th Street, Unit 6F</v>
      </c>
      <c r="C4500" s="25" t="s">
        <v>370</v>
      </c>
      <c r="D4500" s="26" t="s">
        <v>23</v>
      </c>
      <c r="E4500" s="27" t="str">
        <f>HYPERLINK("https://www.compass.com/building/69-w-9th-st-manhattan-ny-10011/282061360903261253/","69 W 9th St")</f>
        <v>69 W 9th St</v>
      </c>
      <c r="F4500" s="25" t="s">
        <v>43</v>
      </c>
      <c r="G4500" s="28">
        <v>950000.0</v>
      </c>
      <c r="H4500" s="29"/>
      <c r="I4500" s="28">
        <v>1410.0</v>
      </c>
      <c r="J4500" s="29"/>
      <c r="K4500" s="25" t="s">
        <v>25</v>
      </c>
      <c r="L4500" s="26">
        <v>4.0</v>
      </c>
      <c r="M4500" s="26">
        <v>2.0</v>
      </c>
      <c r="N4500" s="26">
        <v>0.0</v>
      </c>
      <c r="O4500" s="26">
        <v>0.0</v>
      </c>
      <c r="P4500" s="30"/>
      <c r="Q4500" s="35">
        <v>0.0</v>
      </c>
      <c r="R4500" s="32">
        <v>44581.0</v>
      </c>
      <c r="S4500" s="32">
        <v>41538.0</v>
      </c>
      <c r="T4500" s="29"/>
      <c r="U4500" s="33"/>
      <c r="V4500" s="1"/>
    </row>
    <row r="4501" ht="24.0" customHeight="1">
      <c r="A4501" s="1"/>
      <c r="B4501" s="24" t="str">
        <f>HYPERLINK("https://www.compass.com/listing/40-5th-avenue-unit-10e-manhattan-ny-10011/29365921290212849/view?agent_id=610d3f3370540700019b0833","40 5th Ave, Unit 10E")</f>
        <v>40 5th Ave, Unit 10E</v>
      </c>
      <c r="C4501" s="25" t="s">
        <v>364</v>
      </c>
      <c r="D4501" s="26" t="s">
        <v>23</v>
      </c>
      <c r="E4501" s="27" t="str">
        <f>HYPERLINK("https://www.compass.com/building/40-5th-ave-manhattan-ny-10011/281909939155264645/","40 5th Ave")</f>
        <v>40 5th Ave</v>
      </c>
      <c r="F4501" s="25" t="s">
        <v>43</v>
      </c>
      <c r="G4501" s="28">
        <v>3795000.0</v>
      </c>
      <c r="H4501" s="28">
        <v>1946.0</v>
      </c>
      <c r="I4501" s="28">
        <v>3080.0</v>
      </c>
      <c r="J4501" s="29"/>
      <c r="K4501" s="25" t="s">
        <v>25</v>
      </c>
      <c r="L4501" s="26">
        <v>6.0</v>
      </c>
      <c r="M4501" s="26">
        <v>2.0</v>
      </c>
      <c r="N4501" s="30"/>
      <c r="O4501" s="30"/>
      <c r="P4501" s="34">
        <v>1950.0</v>
      </c>
      <c r="Q4501" s="35">
        <v>3.0</v>
      </c>
      <c r="R4501" s="32">
        <v>42476.0</v>
      </c>
      <c r="S4501" s="32">
        <v>40154.0</v>
      </c>
      <c r="T4501" s="29"/>
      <c r="U4501" s="33"/>
      <c r="V4501" s="1"/>
    </row>
    <row r="4502" ht="24.0" customHeight="1">
      <c r="A4502" s="1"/>
      <c r="B4502" s="24" t="str">
        <f>HYPERLINK("https://www.compass.com/listing/112-east-19th-street-unit-10f-manhattan-ny-10003/50866902855160529/view?agent_id=610d3f3370540700019b0833","112 East 19th Street, Unit 10F")</f>
        <v>112 East 19th Street, Unit 10F</v>
      </c>
      <c r="C4502" s="25" t="s">
        <v>370</v>
      </c>
      <c r="D4502" s="26" t="s">
        <v>23</v>
      </c>
      <c r="E4502" s="27" t="str">
        <f>HYPERLINK("https://www.compass.com/building/112-e-19th-st-manhattan-ny-10003/281888983825254421/","112 E 19th St")</f>
        <v>112 E 19th St</v>
      </c>
      <c r="F4502" s="25" t="s">
        <v>48</v>
      </c>
      <c r="G4502" s="28">
        <v>3200000.0</v>
      </c>
      <c r="H4502" s="28">
        <v>1674.0</v>
      </c>
      <c r="I4502" s="28">
        <v>3760.0</v>
      </c>
      <c r="J4502" s="29"/>
      <c r="K4502" s="25" t="s">
        <v>25</v>
      </c>
      <c r="L4502" s="26">
        <v>4.0</v>
      </c>
      <c r="M4502" s="26">
        <v>2.0</v>
      </c>
      <c r="N4502" s="26">
        <v>0.0</v>
      </c>
      <c r="O4502" s="26">
        <v>0.0</v>
      </c>
      <c r="P4502" s="34">
        <v>1912.0</v>
      </c>
      <c r="Q4502" s="35">
        <v>250.0</v>
      </c>
      <c r="R4502" s="32">
        <v>45636.0</v>
      </c>
      <c r="S4502" s="32">
        <v>42476.0</v>
      </c>
      <c r="T4502" s="29"/>
      <c r="U4502" s="33"/>
      <c r="V4502" s="1"/>
    </row>
    <row r="4503" ht="24.0" customHeight="1">
      <c r="A4503" s="1"/>
      <c r="B4503" s="24" t="str">
        <f>HYPERLINK("https://www.compass.com/listing/8-east-12th-street-unit-2-manhattan-ny-10003/70926376684783009/view?agent_id=610d3f3370540700019b0833","8 East 12th Street, Unit 2")</f>
        <v>8 East 12th Street, Unit 2</v>
      </c>
      <c r="C4503" s="25" t="s">
        <v>364</v>
      </c>
      <c r="D4503" s="26" t="s">
        <v>23</v>
      </c>
      <c r="E4503" s="27" t="str">
        <f>HYPERLINK("https://www.compass.com/building/8-e-12th-st-manhattan-ny-10003/281894871034240933/","8 E 12th St")</f>
        <v>8 E 12th St</v>
      </c>
      <c r="F4503" s="25" t="s">
        <v>43</v>
      </c>
      <c r="G4503" s="28">
        <v>1800000.0</v>
      </c>
      <c r="H4503" s="28">
        <v>783.0</v>
      </c>
      <c r="I4503" s="28">
        <v>3376.0</v>
      </c>
      <c r="J4503" s="28">
        <v>16512.0</v>
      </c>
      <c r="K4503" s="25" t="s">
        <v>28</v>
      </c>
      <c r="L4503" s="26">
        <v>4.0</v>
      </c>
      <c r="M4503" s="26">
        <v>2.0</v>
      </c>
      <c r="N4503" s="26">
        <v>0.0</v>
      </c>
      <c r="O4503" s="26">
        <v>0.0</v>
      </c>
      <c r="P4503" s="34">
        <v>2300.0</v>
      </c>
      <c r="Q4503" s="35">
        <v>722.0</v>
      </c>
      <c r="R4503" s="32">
        <v>44581.0</v>
      </c>
      <c r="S4503" s="32">
        <v>41205.0</v>
      </c>
      <c r="T4503" s="29"/>
      <c r="U4503" s="33"/>
      <c r="V4503" s="1"/>
    </row>
    <row r="4504" ht="24.0" customHeight="1">
      <c r="A4504" s="1"/>
      <c r="B4504" s="24" t="str">
        <f>HYPERLINK("https://www.compass.com/listing/121-west-20th-street-unit-ph5d-manhattan-ny-10011/4857486221116456881/view?agent_id=610d3f3370540700019b0833","121 West 20th Street, Unit PH5D")</f>
        <v>121 West 20th Street, Unit PH5D</v>
      </c>
      <c r="C4504" s="25" t="s">
        <v>370</v>
      </c>
      <c r="D4504" s="26" t="s">
        <v>23</v>
      </c>
      <c r="E4504" s="27" t="str">
        <f>HYPERLINK("https://www.compass.com/building/121-w-20th-st-manhattan-ny-10011/281904745642215397/","121 W 20th St")</f>
        <v>121 W 20th St</v>
      </c>
      <c r="F4504" s="25" t="s">
        <v>27</v>
      </c>
      <c r="G4504" s="28">
        <v>3150000.0</v>
      </c>
      <c r="H4504" s="28">
        <v>1684.0</v>
      </c>
      <c r="I4504" s="28">
        <v>3020.0</v>
      </c>
      <c r="J4504" s="28">
        <v>17292.0</v>
      </c>
      <c r="K4504" s="25" t="s">
        <v>28</v>
      </c>
      <c r="L4504" s="26">
        <v>3.0</v>
      </c>
      <c r="M4504" s="26">
        <v>2.0</v>
      </c>
      <c r="N4504" s="26">
        <v>0.0</v>
      </c>
      <c r="O4504" s="26">
        <v>0.0</v>
      </c>
      <c r="P4504" s="34">
        <v>1870.0</v>
      </c>
      <c r="Q4504" s="35">
        <v>178.0</v>
      </c>
      <c r="R4504" s="32">
        <v>45636.0</v>
      </c>
      <c r="S4504" s="32">
        <v>42098.0</v>
      </c>
      <c r="T4504" s="29"/>
      <c r="U4504" s="33"/>
      <c r="V4504" s="1"/>
    </row>
    <row r="4505" ht="24.0" customHeight="1">
      <c r="A4505" s="1"/>
      <c r="B4505" s="24" t="str">
        <f>HYPERLINK("https://www.compass.com/listing/121-west-17th-street-unit-6d-manhattan-ny-10011/1147074977469283433/view?agent_id=610d3f3370540700019b0833","121 West 17th Street, Unit 6D")</f>
        <v>121 West 17th Street, Unit 6D</v>
      </c>
      <c r="C4505" s="25" t="s">
        <v>364</v>
      </c>
      <c r="D4505" s="26" t="s">
        <v>23</v>
      </c>
      <c r="E4505" s="27" t="str">
        <f>HYPERLINK("https://www.compass.com/building/121-w-17th-st-manhattan-ny-10011/281904716223368741/","121 W 17th St")</f>
        <v>121 W 17th St</v>
      </c>
      <c r="F4505" s="25" t="s">
        <v>27</v>
      </c>
      <c r="G4505" s="28">
        <v>1775000.0</v>
      </c>
      <c r="H4505" s="28">
        <v>1543.0</v>
      </c>
      <c r="I4505" s="28">
        <v>1693.0</v>
      </c>
      <c r="J4505" s="29"/>
      <c r="K4505" s="25" t="s">
        <v>25</v>
      </c>
      <c r="L4505" s="26">
        <v>4.0</v>
      </c>
      <c r="M4505" s="26">
        <v>2.0</v>
      </c>
      <c r="N4505" s="26">
        <v>1.0</v>
      </c>
      <c r="O4505" s="26">
        <v>0.0</v>
      </c>
      <c r="P4505" s="34">
        <v>1150.0</v>
      </c>
      <c r="Q4505" s="35">
        <v>129.0</v>
      </c>
      <c r="R4505" s="32">
        <v>45636.0</v>
      </c>
      <c r="S4505" s="32">
        <v>44834.0</v>
      </c>
      <c r="T4505" s="29"/>
      <c r="U4505" s="33"/>
      <c r="V4505" s="1"/>
    </row>
    <row r="4506" ht="24.0" customHeight="1">
      <c r="A4506" s="1"/>
      <c r="B4506" s="24" t="str">
        <f>HYPERLINK("https://www.compass.com/listing/32-gramercy-park-south-unit-14a-manhattan-ny-10003/29377881675233217/view?agent_id=610d3f3370540700019b0833","32 Gramercy Park South, Unit 14A")</f>
        <v>32 Gramercy Park South, Unit 14A</v>
      </c>
      <c r="C4506" s="25" t="s">
        <v>370</v>
      </c>
      <c r="D4506" s="26" t="s">
        <v>23</v>
      </c>
      <c r="E4506" s="27" t="str">
        <f>HYPERLINK("https://www.compass.com/building/32-gramercy-park-owners-corp-manhattan-ny/292782857296817285/","32 Gramercy Park Owners Corp")</f>
        <v>32 Gramercy Park Owners Corp</v>
      </c>
      <c r="F4506" s="25" t="s">
        <v>48</v>
      </c>
      <c r="G4506" s="28">
        <v>2000000.0</v>
      </c>
      <c r="H4506" s="29"/>
      <c r="I4506" s="28">
        <v>2628.0</v>
      </c>
      <c r="J4506" s="29"/>
      <c r="K4506" s="25" t="s">
        <v>25</v>
      </c>
      <c r="L4506" s="26">
        <v>5.0</v>
      </c>
      <c r="M4506" s="26">
        <v>2.0</v>
      </c>
      <c r="N4506" s="26">
        <v>0.0</v>
      </c>
      <c r="O4506" s="26">
        <v>0.0</v>
      </c>
      <c r="P4506" s="30"/>
      <c r="Q4506" s="35">
        <v>18.0</v>
      </c>
      <c r="R4506" s="32">
        <v>45636.0</v>
      </c>
      <c r="S4506" s="32">
        <v>42692.0</v>
      </c>
      <c r="T4506" s="29"/>
      <c r="U4506" s="33"/>
      <c r="V4506" s="1"/>
    </row>
    <row r="4507" ht="24.0" customHeight="1">
      <c r="A4507" s="1"/>
      <c r="B4507" s="24" t="str">
        <f>HYPERLINK("https://www.compass.com/listing/250-west-75th-street-unit-7c-manhattan-ny-10023/1311591434617361017/view?agent_id=610d3f3370540700019b0833","250 West 75th Street, Unit 7C")</f>
        <v>250 West 75th Street, Unit 7C</v>
      </c>
      <c r="C4507" s="25" t="s">
        <v>364</v>
      </c>
      <c r="D4507" s="26" t="s">
        <v>23</v>
      </c>
      <c r="E4507" s="27" t="str">
        <f>HYPERLINK("https://www.compass.com/building/250-w-75th-st-manhattan-ny-10023/281959053876337813/","250 W 75th St")</f>
        <v>250 W 75th St</v>
      </c>
      <c r="F4507" s="25" t="s">
        <v>29</v>
      </c>
      <c r="G4507" s="28">
        <v>1179000.0</v>
      </c>
      <c r="H4507" s="29"/>
      <c r="I4507" s="28">
        <v>2087.0</v>
      </c>
      <c r="J4507" s="29"/>
      <c r="K4507" s="25" t="s">
        <v>25</v>
      </c>
      <c r="L4507" s="26">
        <v>5.0</v>
      </c>
      <c r="M4507" s="26">
        <v>2.0</v>
      </c>
      <c r="N4507" s="26">
        <v>1.0</v>
      </c>
      <c r="O4507" s="26">
        <v>0.0</v>
      </c>
      <c r="P4507" s="30"/>
      <c r="Q4507" s="35">
        <v>23.0</v>
      </c>
      <c r="R4507" s="32">
        <v>45636.0</v>
      </c>
      <c r="S4507" s="32">
        <v>45061.0</v>
      </c>
      <c r="T4507" s="29"/>
      <c r="U4507" s="33"/>
      <c r="V4507" s="1"/>
    </row>
    <row r="4508" ht="24.0" customHeight="1">
      <c r="A4508" s="1"/>
      <c r="B4508" s="24" t="str">
        <f>HYPERLINK("https://www.compass.com/listing/310-west-end-avenue-unit-1a-manhattan-ny-10023/1838973101078131145/view?agent_id=610d3f3370540700019b0833","310 West End Avenue, Unit 1A")</f>
        <v>310 West End Avenue, Unit 1A</v>
      </c>
      <c r="C4508" s="25" t="s">
        <v>364</v>
      </c>
      <c r="D4508" s="26" t="s">
        <v>23</v>
      </c>
      <c r="E4508" s="27" t="str">
        <f>HYPERLINK("https://www.compass.com/building/310-west-end-ave-manhattan-ny-10023/281924357897361365/","310 West End Ave")</f>
        <v>310 West End Ave</v>
      </c>
      <c r="F4508" s="25" t="s">
        <v>29</v>
      </c>
      <c r="G4508" s="28">
        <v>1925000.0</v>
      </c>
      <c r="H4508" s="29"/>
      <c r="I4508" s="28">
        <v>2548.0</v>
      </c>
      <c r="J4508" s="29"/>
      <c r="K4508" s="25" t="s">
        <v>25</v>
      </c>
      <c r="L4508" s="26">
        <v>5.0</v>
      </c>
      <c r="M4508" s="26">
        <v>2.0</v>
      </c>
      <c r="N4508" s="26">
        <v>0.0</v>
      </c>
      <c r="O4508" s="26">
        <v>0.0</v>
      </c>
      <c r="P4508" s="30"/>
      <c r="Q4508" s="35">
        <v>5.0</v>
      </c>
      <c r="R4508" s="32">
        <v>45636.0</v>
      </c>
      <c r="S4508" s="32">
        <v>43130.0</v>
      </c>
      <c r="T4508" s="29"/>
      <c r="U4508" s="33"/>
      <c r="V4508" s="1"/>
    </row>
    <row r="4509" ht="24.0" customHeight="1">
      <c r="A4509" s="1"/>
      <c r="B4509" s="24" t="str">
        <f>HYPERLINK("https://www.compass.com/listing/57-reade-street-unit-9a-manhattan-ny-10007/1838984895796378849/view?agent_id=610d3f3370540700019b0833","57 Reade Street, Unit 9A")</f>
        <v>57 Reade Street, Unit 9A</v>
      </c>
      <c r="C4509" s="25" t="s">
        <v>364</v>
      </c>
      <c r="D4509" s="26" t="s">
        <v>23</v>
      </c>
      <c r="E4509" s="27" t="str">
        <f>HYPERLINK("https://www.compass.com/building/reade57-manhattan-ny/281897080081884485/","Reade57")</f>
        <v>Reade57</v>
      </c>
      <c r="F4509" s="25" t="s">
        <v>60</v>
      </c>
      <c r="G4509" s="28">
        <v>2095000.0</v>
      </c>
      <c r="H4509" s="28">
        <v>1700.0</v>
      </c>
      <c r="I4509" s="28">
        <v>2223.0</v>
      </c>
      <c r="J4509" s="28">
        <v>11064.0</v>
      </c>
      <c r="K4509" s="25" t="s">
        <v>28</v>
      </c>
      <c r="L4509" s="26">
        <v>4.0</v>
      </c>
      <c r="M4509" s="26">
        <v>2.0</v>
      </c>
      <c r="N4509" s="26">
        <v>0.0</v>
      </c>
      <c r="O4509" s="26">
        <v>0.0</v>
      </c>
      <c r="P4509" s="34">
        <v>1232.0</v>
      </c>
      <c r="Q4509" s="35">
        <v>22.0</v>
      </c>
      <c r="R4509" s="32">
        <v>45636.0</v>
      </c>
      <c r="S4509" s="32">
        <v>43130.0</v>
      </c>
      <c r="T4509" s="29"/>
      <c r="U4509" s="33"/>
      <c r="V4509" s="1"/>
    </row>
    <row r="4510" ht="24.0" customHeight="1">
      <c r="A4510" s="1"/>
      <c r="B4510" s="24" t="str">
        <f>HYPERLINK("https://www.compass.com/listing/59-4th-avenue-unit-7a-manhattan-ny-10003/803312514859500129/view?agent_id=610d3f3370540700019b0833","59 4th Avenue, Unit 7A")</f>
        <v>59 4th Avenue, Unit 7A</v>
      </c>
      <c r="C4510" s="25" t="s">
        <v>364</v>
      </c>
      <c r="D4510" s="26" t="s">
        <v>23</v>
      </c>
      <c r="E4510" s="27" t="str">
        <f>HYPERLINK("https://www.compass.com/building/59-4th-ave-manhattan-ny-10003/281894111689057429/","59 4th Ave")</f>
        <v>59 4th Ave</v>
      </c>
      <c r="F4510" s="25" t="s">
        <v>43</v>
      </c>
      <c r="G4510" s="28">
        <v>2250000.0</v>
      </c>
      <c r="H4510" s="28">
        <v>1324.0</v>
      </c>
      <c r="I4510" s="28">
        <v>3162.0</v>
      </c>
      <c r="J4510" s="29"/>
      <c r="K4510" s="25" t="s">
        <v>25</v>
      </c>
      <c r="L4510" s="26">
        <v>5.0</v>
      </c>
      <c r="M4510" s="26">
        <v>2.0</v>
      </c>
      <c r="N4510" s="26">
        <v>0.0</v>
      </c>
      <c r="O4510" s="26">
        <v>0.0</v>
      </c>
      <c r="P4510" s="34">
        <v>1700.0</v>
      </c>
      <c r="Q4510" s="35">
        <v>70.0</v>
      </c>
      <c r="R4510" s="32">
        <v>45636.0</v>
      </c>
      <c r="S4510" s="32">
        <v>42444.0</v>
      </c>
      <c r="T4510" s="29"/>
      <c r="U4510" s="33"/>
      <c r="V4510" s="1"/>
    </row>
    <row r="4511" ht="24.0" customHeight="1">
      <c r="A4511" s="1"/>
      <c r="B4511" s="24" t="str">
        <f>HYPERLINK("https://www.compass.com/listing/88-bleecker-street-unit-5f-manhattan-ny-10012/4848428224285258641/view?agent_id=610d3f3370540700019b0833","88 Bleecker St, Unit 5F")</f>
        <v>88 Bleecker St, Unit 5F</v>
      </c>
      <c r="C4511" s="25" t="s">
        <v>364</v>
      </c>
      <c r="D4511" s="26" t="s">
        <v>23</v>
      </c>
      <c r="E4511" s="27" t="str">
        <f>HYPERLINK("https://www.compass.com/building/atrium-manhattan-ny/281916134603650677/","Atrium")</f>
        <v>Atrium</v>
      </c>
      <c r="F4511" s="25" t="s">
        <v>43</v>
      </c>
      <c r="G4511" s="28">
        <v>875000.0</v>
      </c>
      <c r="H4511" s="29"/>
      <c r="I4511" s="28">
        <v>905.0</v>
      </c>
      <c r="J4511" s="29"/>
      <c r="K4511" s="25" t="s">
        <v>25</v>
      </c>
      <c r="L4511" s="26">
        <v>4.0</v>
      </c>
      <c r="M4511" s="26">
        <v>2.0</v>
      </c>
      <c r="N4511" s="30"/>
      <c r="O4511" s="30"/>
      <c r="P4511" s="30"/>
      <c r="Q4511" s="35">
        <v>217.0</v>
      </c>
      <c r="R4511" s="32">
        <v>42477.0</v>
      </c>
      <c r="S4511" s="32">
        <v>39738.0</v>
      </c>
      <c r="T4511" s="29"/>
      <c r="U4511" s="33"/>
      <c r="V4511" s="1"/>
    </row>
    <row r="4512" ht="24.0" customHeight="1">
      <c r="A4512" s="1"/>
      <c r="B4512" s="24" t="str">
        <f>HYPERLINK("https://www.compass.com/listing/38-50-west-9th-street-unit-1e-manhattan-ny-10011/502199560048089073/view?agent_id=610d3f3370540700019b0833","38-50 West 9th Street, Unit 1E")</f>
        <v>38-50 West 9th Street, Unit 1E</v>
      </c>
      <c r="C4512" s="25" t="s">
        <v>364</v>
      </c>
      <c r="D4512" s="26" t="s">
        <v>23</v>
      </c>
      <c r="E4512" s="27" t="str">
        <f>HYPERLINK("https://www.compass.com/building/the-portsmouth-manhattan-ny/436395784003862797/","The Portsmouth")</f>
        <v>The Portsmouth</v>
      </c>
      <c r="F4512" s="25" t="s">
        <v>43</v>
      </c>
      <c r="G4512" s="28">
        <v>1675000.0</v>
      </c>
      <c r="H4512" s="28">
        <v>1340.0</v>
      </c>
      <c r="I4512" s="28">
        <v>1710.0</v>
      </c>
      <c r="J4512" s="29"/>
      <c r="K4512" s="25" t="s">
        <v>25</v>
      </c>
      <c r="L4512" s="26">
        <v>5.0</v>
      </c>
      <c r="M4512" s="26">
        <v>2.0</v>
      </c>
      <c r="N4512" s="30"/>
      <c r="O4512" s="30"/>
      <c r="P4512" s="34">
        <v>1250.0</v>
      </c>
      <c r="Q4512" s="35">
        <v>170.0</v>
      </c>
      <c r="R4512" s="32">
        <v>41640.0</v>
      </c>
      <c r="S4512" s="32">
        <v>41697.0</v>
      </c>
      <c r="T4512" s="29"/>
      <c r="U4512" s="33"/>
      <c r="V4512" s="1"/>
    </row>
    <row r="4513" ht="24.0" customHeight="1">
      <c r="A4513" s="1"/>
      <c r="B4513" s="24" t="str">
        <f>HYPERLINK("https://www.compass.com/listing/153-charles-street-manhattan-ny-10014/1809616402893728993/view?agent_id=610d3f3370540700019b0833","153 Charles Street")</f>
        <v>153 Charles Street</v>
      </c>
      <c r="C4513" s="25" t="s">
        <v>370</v>
      </c>
      <c r="D4513" s="26" t="s">
        <v>23</v>
      </c>
      <c r="E4513" s="27" t="str">
        <f>HYPERLINK("https://www.compass.com/building/153-charles-st-manhattan-ny-10014/294836111285187877/","153 Charles St")</f>
        <v>153 Charles St</v>
      </c>
      <c r="F4513" s="25" t="s">
        <v>26</v>
      </c>
      <c r="G4513" s="28">
        <v>2500000.0</v>
      </c>
      <c r="H4513" s="28">
        <v>1786.0</v>
      </c>
      <c r="I4513" s="28">
        <v>1976.0</v>
      </c>
      <c r="J4513" s="29"/>
      <c r="K4513" s="25" t="s">
        <v>442</v>
      </c>
      <c r="L4513" s="26">
        <v>5.0</v>
      </c>
      <c r="M4513" s="26">
        <v>2.0</v>
      </c>
      <c r="N4513" s="26">
        <v>0.0</v>
      </c>
      <c r="O4513" s="26">
        <v>0.0</v>
      </c>
      <c r="P4513" s="34">
        <v>1400.0</v>
      </c>
      <c r="Q4513" s="35">
        <v>194.0</v>
      </c>
      <c r="R4513" s="32">
        <v>45636.0</v>
      </c>
      <c r="S4513" s="32">
        <v>42133.0</v>
      </c>
      <c r="T4513" s="29"/>
      <c r="U4513" s="33"/>
      <c r="V4513" s="1"/>
    </row>
    <row r="4514" ht="24.0" customHeight="1">
      <c r="A4514" s="1"/>
      <c r="B4514" s="24" t="str">
        <f>HYPERLINK("https://www.compass.com/listing/2-jane-street-unit-5c-manhattan-ny-10014/759561836329979377/view?agent_id=610d3f3370540700019b0833","2 Jane Street, Unit 5C")</f>
        <v>2 Jane Street, Unit 5C</v>
      </c>
      <c r="C4514" s="25" t="s">
        <v>370</v>
      </c>
      <c r="D4514" s="26" t="s">
        <v>23</v>
      </c>
      <c r="E4514" s="27" t="str">
        <f>HYPERLINK("https://www.compass.com/building/2-jane-st-manhattan-ny-10014/294844101216262469/","2 Jane St")</f>
        <v>2 Jane St</v>
      </c>
      <c r="F4514" s="25" t="s">
        <v>26</v>
      </c>
      <c r="G4514" s="28">
        <v>975000.0</v>
      </c>
      <c r="H4514" s="29"/>
      <c r="I4514" s="28">
        <v>1976.0</v>
      </c>
      <c r="J4514" s="29"/>
      <c r="K4514" s="25" t="s">
        <v>25</v>
      </c>
      <c r="L4514" s="26">
        <v>5.0</v>
      </c>
      <c r="M4514" s="26">
        <v>2.0</v>
      </c>
      <c r="N4514" s="26">
        <v>1.0</v>
      </c>
      <c r="O4514" s="26">
        <v>0.0</v>
      </c>
      <c r="P4514" s="30"/>
      <c r="Q4514" s="35">
        <v>75.0</v>
      </c>
      <c r="R4514" s="32">
        <v>45636.0</v>
      </c>
      <c r="S4514" s="32">
        <v>44299.0</v>
      </c>
      <c r="T4514" s="29"/>
      <c r="U4514" s="33"/>
      <c r="V4514" s="1"/>
    </row>
    <row r="4515" ht="24.0" customHeight="1">
      <c r="A4515" s="1"/>
      <c r="B4515" s="24" t="str">
        <f>HYPERLINK("https://www.compass.com/listing/283-east-4th-street-unit-3c-manhattan-ny-10009/226353545899724353/view?agent_id=610d3f3370540700019b0833","283 East 4th Street, Unit 3C")</f>
        <v>283 East 4th Street, Unit 3C</v>
      </c>
      <c r="C4515" s="25" t="s">
        <v>364</v>
      </c>
      <c r="D4515" s="26" t="s">
        <v>23</v>
      </c>
      <c r="E4515" s="27" t="str">
        <f>HYPERLINK("https://www.compass.com/building/283-e-4th-st-manhattan-ny-10009/281899311376117829/","283 E 4th St")</f>
        <v>283 E 4th St</v>
      </c>
      <c r="F4515" s="25" t="s">
        <v>24</v>
      </c>
      <c r="G4515" s="28">
        <v>690500.0</v>
      </c>
      <c r="H4515" s="28">
        <v>986.0</v>
      </c>
      <c r="I4515" s="28">
        <v>711.0</v>
      </c>
      <c r="J4515" s="28">
        <v>0.0</v>
      </c>
      <c r="K4515" s="25" t="s">
        <v>25</v>
      </c>
      <c r="L4515" s="26">
        <v>40.0</v>
      </c>
      <c r="M4515" s="26">
        <v>2.0</v>
      </c>
      <c r="N4515" s="30"/>
      <c r="O4515" s="30"/>
      <c r="P4515" s="26">
        <v>700.0</v>
      </c>
      <c r="Q4515" s="35">
        <v>28.0</v>
      </c>
      <c r="R4515" s="32">
        <v>43594.0</v>
      </c>
      <c r="S4515" s="32">
        <v>43564.0</v>
      </c>
      <c r="T4515" s="29"/>
      <c r="U4515" s="33"/>
      <c r="V4515" s="1"/>
    </row>
    <row r="4516" ht="24.0" customHeight="1">
      <c r="A4516" s="1"/>
      <c r="B4516" s="24" t="str">
        <f>HYPERLINK("https://www.compass.com/listing/77-east-12th-street-unit-9hj-manhattan-ny-10003/583962724395174089/view?agent_id=610d3f3370540700019b0833","77 East 12th Street, Unit 9HJ")</f>
        <v>77 East 12th Street, Unit 9HJ</v>
      </c>
      <c r="C4516" s="25" t="s">
        <v>364</v>
      </c>
      <c r="D4516" s="26" t="s">
        <v>23</v>
      </c>
      <c r="E4516" s="27" t="str">
        <f>HYPERLINK("https://www.compass.com/building/77-e-12th-st-manhattan-ny-10003/282059202380203461/","77 E 12th St")</f>
        <v>77 E 12th St</v>
      </c>
      <c r="F4516" s="25" t="s">
        <v>43</v>
      </c>
      <c r="G4516" s="28">
        <v>2000000.0</v>
      </c>
      <c r="H4516" s="29"/>
      <c r="I4516" s="28">
        <v>2168.0</v>
      </c>
      <c r="J4516" s="29"/>
      <c r="K4516" s="25" t="s">
        <v>25</v>
      </c>
      <c r="L4516" s="26">
        <v>7.0</v>
      </c>
      <c r="M4516" s="26">
        <v>2.0</v>
      </c>
      <c r="N4516" s="26">
        <v>0.0</v>
      </c>
      <c r="O4516" s="26">
        <v>0.0</v>
      </c>
      <c r="P4516" s="30"/>
      <c r="Q4516" s="35">
        <v>128.0</v>
      </c>
      <c r="R4516" s="32">
        <v>44581.0</v>
      </c>
      <c r="S4516" s="32">
        <v>41212.0</v>
      </c>
      <c r="T4516" s="29"/>
      <c r="U4516" s="33"/>
      <c r="V4516" s="1"/>
    </row>
    <row r="4517" ht="24.0" customHeight="1">
      <c r="A4517" s="1"/>
      <c r="B4517" s="24" t="str">
        <f>HYPERLINK("https://www.compass.com/listing/41-5th-avenue-unit-9e-manhattan-ny-10003/1248242119840226225/view?agent_id=610d3f3370540700019b0833","41 5th Ave, Unit 9E")</f>
        <v>41 5th Ave, Unit 9E</v>
      </c>
      <c r="C4517" s="25" t="s">
        <v>364</v>
      </c>
      <c r="D4517" s="26" t="s">
        <v>23</v>
      </c>
      <c r="E4517" s="27" t="str">
        <f>HYPERLINK("https://www.compass.com/building/41-5th-ave-manhattan-ny-10003/281893535299412485/","41 5th Ave")</f>
        <v>41 5th Ave</v>
      </c>
      <c r="F4517" s="25" t="s">
        <v>43</v>
      </c>
      <c r="G4517" s="28">
        <v>1650000.0</v>
      </c>
      <c r="H4517" s="29"/>
      <c r="I4517" s="28">
        <v>2007.0</v>
      </c>
      <c r="J4517" s="29"/>
      <c r="K4517" s="25" t="s">
        <v>25</v>
      </c>
      <c r="L4517" s="26">
        <v>4.0</v>
      </c>
      <c r="M4517" s="26">
        <v>2.0</v>
      </c>
      <c r="N4517" s="30"/>
      <c r="O4517" s="30"/>
      <c r="P4517" s="30"/>
      <c r="Q4517" s="31"/>
      <c r="R4517" s="32">
        <v>42478.0</v>
      </c>
      <c r="S4517" s="33"/>
      <c r="T4517" s="29"/>
      <c r="U4517" s="33"/>
      <c r="V4517" s="1"/>
    </row>
    <row r="4518" ht="24.0" customHeight="1">
      <c r="A4518" s="1"/>
      <c r="B4518" s="24" t="str">
        <f>HYPERLINK("https://www.compass.com/listing/57-reade-street-unit-20b-manhattan-ny-10007/192569315197770241/view?agent_id=610d3f3370540700019b0833","57 Reade Street, Unit 20B")</f>
        <v>57 Reade Street, Unit 20B</v>
      </c>
      <c r="C4518" s="25" t="s">
        <v>364</v>
      </c>
      <c r="D4518" s="26" t="s">
        <v>23</v>
      </c>
      <c r="E4518" s="27" t="str">
        <f>HYPERLINK("https://www.compass.com/building/reade57-manhattan-ny/281897080081884485/","Reade57")</f>
        <v>Reade57</v>
      </c>
      <c r="F4518" s="25" t="s">
        <v>60</v>
      </c>
      <c r="G4518" s="28">
        <v>2200000.0</v>
      </c>
      <c r="H4518" s="28">
        <v>1700.0</v>
      </c>
      <c r="I4518" s="28">
        <v>2876.0</v>
      </c>
      <c r="J4518" s="28">
        <v>13836.0</v>
      </c>
      <c r="K4518" s="25" t="s">
        <v>28</v>
      </c>
      <c r="L4518" s="26">
        <v>4.0</v>
      </c>
      <c r="M4518" s="26">
        <v>2.0</v>
      </c>
      <c r="N4518" s="26">
        <v>0.0</v>
      </c>
      <c r="O4518" s="26">
        <v>0.0</v>
      </c>
      <c r="P4518" s="34">
        <v>1294.0</v>
      </c>
      <c r="Q4518" s="35">
        <v>27.0</v>
      </c>
      <c r="R4518" s="32">
        <v>45636.0</v>
      </c>
      <c r="S4518" s="32">
        <v>43202.0</v>
      </c>
      <c r="T4518" s="29"/>
      <c r="U4518" s="33"/>
      <c r="V4518" s="1"/>
    </row>
    <row r="4519" ht="24.0" customHeight="1">
      <c r="A4519" s="1"/>
      <c r="B4519" s="24" t="str">
        <f>HYPERLINK("https://www.compass.com/listing/125-west-21st-street-unit-6e-manhattan-ny-10011/29669110279372097/view?agent_id=610d3f3370540700019b0833","125 West 21st Street, Unit 6E")</f>
        <v>125 West 21st Street, Unit 6E</v>
      </c>
      <c r="C4519" s="25" t="s">
        <v>370</v>
      </c>
      <c r="D4519" s="26" t="s">
        <v>23</v>
      </c>
      <c r="E4519" s="27" t="str">
        <f>HYPERLINK("https://www.compass.com/building/the-indigo-condominium-manhattan-ny/281904876873598469/","The Indigo Condominium")</f>
        <v>The Indigo Condominium</v>
      </c>
      <c r="F4519" s="25" t="s">
        <v>27</v>
      </c>
      <c r="G4519" s="28">
        <v>2035000.0</v>
      </c>
      <c r="H4519" s="28">
        <v>1759.0</v>
      </c>
      <c r="I4519" s="28">
        <v>2868.0</v>
      </c>
      <c r="J4519" s="28">
        <v>20640.0</v>
      </c>
      <c r="K4519" s="25" t="s">
        <v>28</v>
      </c>
      <c r="L4519" s="26">
        <v>4.0</v>
      </c>
      <c r="M4519" s="26">
        <v>2.0</v>
      </c>
      <c r="N4519" s="26">
        <v>0.0</v>
      </c>
      <c r="O4519" s="26">
        <v>0.0</v>
      </c>
      <c r="P4519" s="34">
        <v>1157.0</v>
      </c>
      <c r="Q4519" s="35">
        <v>88.0</v>
      </c>
      <c r="R4519" s="32">
        <v>45636.0</v>
      </c>
      <c r="S4519" s="32">
        <v>43280.0</v>
      </c>
      <c r="T4519" s="29"/>
      <c r="U4519" s="33"/>
      <c r="V4519" s="1"/>
    </row>
    <row r="4520" ht="24.0" customHeight="1">
      <c r="A4520" s="1"/>
      <c r="B4520" s="24" t="str">
        <f>HYPERLINK("https://www.compass.com/listing/175-west-12th-street-unit-8b-manhattan-ny-10011/79381318785404929/view?agent_id=610d3f3370540700019b0833","175 W 12th St, Unit 8B")</f>
        <v>175 W 12th St, Unit 8B</v>
      </c>
      <c r="C4520" s="25" t="s">
        <v>364</v>
      </c>
      <c r="D4520" s="26" t="s">
        <v>23</v>
      </c>
      <c r="E4520" s="27" t="str">
        <f>HYPERLINK("https://www.compass.com/building/century-towers-manhattan-ny/281906200671441957/","Century Towers")</f>
        <v>Century Towers</v>
      </c>
      <c r="F4520" s="25" t="s">
        <v>26</v>
      </c>
      <c r="G4520" s="28">
        <v>1675000.0</v>
      </c>
      <c r="H4520" s="28">
        <v>1763.0</v>
      </c>
      <c r="I4520" s="28">
        <v>1642.0</v>
      </c>
      <c r="J4520" s="28">
        <v>10668.0</v>
      </c>
      <c r="K4520" s="25" t="s">
        <v>28</v>
      </c>
      <c r="L4520" s="26">
        <v>3.0</v>
      </c>
      <c r="M4520" s="26">
        <v>2.0</v>
      </c>
      <c r="N4520" s="30"/>
      <c r="O4520" s="30"/>
      <c r="P4520" s="26">
        <v>950.0</v>
      </c>
      <c r="Q4520" s="35">
        <v>30.0</v>
      </c>
      <c r="R4520" s="32">
        <v>42609.0</v>
      </c>
      <c r="S4520" s="32">
        <v>39776.0</v>
      </c>
      <c r="T4520" s="29"/>
      <c r="U4520" s="33"/>
      <c r="V4520" s="1"/>
    </row>
    <row r="4521" ht="24.0" customHeight="1">
      <c r="A4521" s="1"/>
      <c r="B4521" s="24" t="str">
        <f>HYPERLINK("https://www.compass.com/listing/116-west-14th-street-unit-9f-manhattan-ny-10011/29367518967629745/view?agent_id=610d3f3370540700019b0833","116 West 14th Street, Unit 9F")</f>
        <v>116 West 14th Street, Unit 9F</v>
      </c>
      <c r="C4521" s="25" t="s">
        <v>370</v>
      </c>
      <c r="D4521" s="26" t="s">
        <v>23</v>
      </c>
      <c r="E4521" s="27" t="str">
        <f>HYPERLINK("https://www.compass.com/building/116-w-14th-st-manhattan-ny-10011/281904485603755221/","116 W 14th St")</f>
        <v>116 W 14th St</v>
      </c>
      <c r="F4521" s="25" t="s">
        <v>26</v>
      </c>
      <c r="G4521" s="28">
        <v>2500000.0</v>
      </c>
      <c r="H4521" s="28">
        <v>1136.0</v>
      </c>
      <c r="I4521" s="28">
        <v>2738.0</v>
      </c>
      <c r="J4521" s="28">
        <v>21732.0</v>
      </c>
      <c r="K4521" s="25" t="s">
        <v>28</v>
      </c>
      <c r="L4521" s="26">
        <v>4.0</v>
      </c>
      <c r="M4521" s="26">
        <v>2.0</v>
      </c>
      <c r="N4521" s="26">
        <v>0.0</v>
      </c>
      <c r="O4521" s="26">
        <v>0.0</v>
      </c>
      <c r="P4521" s="34">
        <v>2200.0</v>
      </c>
      <c r="Q4521" s="35">
        <v>18.0</v>
      </c>
      <c r="R4521" s="32">
        <v>45636.0</v>
      </c>
      <c r="S4521" s="32">
        <v>41731.0</v>
      </c>
      <c r="T4521" s="29"/>
      <c r="U4521" s="33"/>
      <c r="V4521" s="1"/>
    </row>
    <row r="4522" ht="24.0" customHeight="1">
      <c r="A4522" s="1"/>
      <c r="B4522" s="24" t="str">
        <f>HYPERLINK("https://www.compass.com/listing/101-warren-street-unit-7j-manhattan-ny-10007/4852272589701125665/view?agent_id=610d3f3370540700019b0833","101 Warren Street, Unit 7J")</f>
        <v>101 Warren Street, Unit 7J</v>
      </c>
      <c r="C4522" s="25" t="s">
        <v>364</v>
      </c>
      <c r="D4522" s="26" t="s">
        <v>23</v>
      </c>
      <c r="E4522" s="27" t="str">
        <f>HYPERLINK("https://www.compass.com/building/99-101-warren-manhattan-ny/307460833541810581/","99-101 Warren")</f>
        <v>99-101 Warren</v>
      </c>
      <c r="F4522" s="25" t="s">
        <v>60</v>
      </c>
      <c r="G4522" s="28">
        <v>3895000.0</v>
      </c>
      <c r="H4522" s="28">
        <v>2361.0</v>
      </c>
      <c r="I4522" s="28">
        <v>3153.0</v>
      </c>
      <c r="J4522" s="28">
        <v>15684.0</v>
      </c>
      <c r="K4522" s="25" t="s">
        <v>28</v>
      </c>
      <c r="L4522" s="26">
        <v>5.0</v>
      </c>
      <c r="M4522" s="26">
        <v>2.0</v>
      </c>
      <c r="N4522" s="26">
        <v>0.0</v>
      </c>
      <c r="O4522" s="26">
        <v>0.0</v>
      </c>
      <c r="P4522" s="34">
        <v>1650.0</v>
      </c>
      <c r="Q4522" s="35">
        <v>282.0</v>
      </c>
      <c r="R4522" s="32">
        <v>45636.0</v>
      </c>
      <c r="S4522" s="32">
        <v>42419.0</v>
      </c>
      <c r="T4522" s="29"/>
      <c r="U4522" s="33"/>
      <c r="V4522" s="1"/>
    </row>
    <row r="4523" ht="24.0" customHeight="1">
      <c r="A4523" s="1"/>
      <c r="B4523" s="24" t="str">
        <f>HYPERLINK("https://www.compass.com/listing/69-west-9th-street-unit-12b-manhattan-ny-10011/278799827079395601/view?agent_id=610d3f3370540700019b0833","69 West 9th Street, Unit 12B")</f>
        <v>69 West 9th Street, Unit 12B</v>
      </c>
      <c r="C4523" s="25" t="s">
        <v>364</v>
      </c>
      <c r="D4523" s="26" t="s">
        <v>23</v>
      </c>
      <c r="E4523" s="27" t="str">
        <f>HYPERLINK("https://www.compass.com/building/69-w-9th-st-manhattan-ny-10011/282061360903261253/","69 W 9th St")</f>
        <v>69 W 9th St</v>
      </c>
      <c r="F4523" s="25" t="s">
        <v>43</v>
      </c>
      <c r="G4523" s="28">
        <v>1495000.0</v>
      </c>
      <c r="H4523" s="28">
        <v>1329.0</v>
      </c>
      <c r="I4523" s="28">
        <v>2212.0</v>
      </c>
      <c r="J4523" s="29"/>
      <c r="K4523" s="25" t="s">
        <v>25</v>
      </c>
      <c r="L4523" s="26">
        <v>4.0</v>
      </c>
      <c r="M4523" s="26">
        <v>2.0</v>
      </c>
      <c r="N4523" s="26">
        <v>0.0</v>
      </c>
      <c r="O4523" s="26">
        <v>0.0</v>
      </c>
      <c r="P4523" s="34">
        <v>1125.0</v>
      </c>
      <c r="Q4523" s="35">
        <v>1764.0</v>
      </c>
      <c r="R4523" s="32">
        <v>44581.0</v>
      </c>
      <c r="S4523" s="32">
        <v>41172.0</v>
      </c>
      <c r="T4523" s="29"/>
      <c r="U4523" s="33"/>
      <c r="V4523" s="1"/>
    </row>
    <row r="4524" ht="24.0" customHeight="1">
      <c r="A4524" s="1"/>
      <c r="B4524" s="24" t="str">
        <f>HYPERLINK("https://www.compass.com/listing/1-5th-avenue-unit-16h-manhattan-ny-10003/140494687613029361/view?agent_id=610d3f3370540700019b0833","1 5th Avenue, Unit 16H")</f>
        <v>1 5th Avenue, Unit 16H</v>
      </c>
      <c r="C4524" s="25" t="s">
        <v>364</v>
      </c>
      <c r="D4524" s="26" t="s">
        <v>23</v>
      </c>
      <c r="E4524" s="27" t="str">
        <f>HYPERLINK("https://www.compass.com/building/one-fifth-avenue-manhattan-ny/281888545268827205/","One Fifth Avenue")</f>
        <v>One Fifth Avenue</v>
      </c>
      <c r="F4524" s="25" t="s">
        <v>43</v>
      </c>
      <c r="G4524" s="28">
        <v>4950000.0</v>
      </c>
      <c r="H4524" s="29"/>
      <c r="I4524" s="28">
        <v>4137.0</v>
      </c>
      <c r="J4524" s="29"/>
      <c r="K4524" s="25" t="s">
        <v>25</v>
      </c>
      <c r="L4524" s="26">
        <v>5.0</v>
      </c>
      <c r="M4524" s="26">
        <v>2.0</v>
      </c>
      <c r="N4524" s="26">
        <v>0.0</v>
      </c>
      <c r="O4524" s="26">
        <v>0.0</v>
      </c>
      <c r="P4524" s="30"/>
      <c r="Q4524" s="35">
        <v>2.0</v>
      </c>
      <c r="R4524" s="32">
        <v>44234.0</v>
      </c>
      <c r="S4524" s="32">
        <v>43193.0</v>
      </c>
      <c r="T4524" s="29"/>
      <c r="U4524" s="33"/>
      <c r="V4524" s="1"/>
    </row>
    <row r="4525" ht="24.0" customHeight="1">
      <c r="A4525" s="1"/>
      <c r="B4525" s="24" t="str">
        <f>HYPERLINK("https://www.compass.com/listing/60-east-8th-street-unit-28b-manhattan-ny-10003/25369607019740657/view?agent_id=610d3f3370540700019b0833","60 E 8th St, Unit 28B")</f>
        <v>60 E 8th St, Unit 28B</v>
      </c>
      <c r="C4525" s="25" t="s">
        <v>364</v>
      </c>
      <c r="D4525" s="26" t="s">
        <v>23</v>
      </c>
      <c r="E4525" s="27" t="str">
        <f>HYPERLINK("https://www.compass.com/building/georgetown-plaza-manhattan-ny/281894210716574965/","Georgetown Plaza")</f>
        <v>Georgetown Plaza</v>
      </c>
      <c r="F4525" s="25" t="s">
        <v>43</v>
      </c>
      <c r="G4525" s="28">
        <v>1375000.0</v>
      </c>
      <c r="H4525" s="28">
        <v>1250.0</v>
      </c>
      <c r="I4525" s="28">
        <v>1873.0</v>
      </c>
      <c r="J4525" s="28">
        <v>12.0</v>
      </c>
      <c r="K4525" s="25" t="s">
        <v>49</v>
      </c>
      <c r="L4525" s="26">
        <v>4.0</v>
      </c>
      <c r="M4525" s="26">
        <v>2.0</v>
      </c>
      <c r="N4525" s="30"/>
      <c r="O4525" s="30"/>
      <c r="P4525" s="34">
        <v>1100.0</v>
      </c>
      <c r="Q4525" s="35">
        <v>97.0</v>
      </c>
      <c r="R4525" s="32">
        <v>42477.0</v>
      </c>
      <c r="S4525" s="32">
        <v>39744.0</v>
      </c>
      <c r="T4525" s="29"/>
      <c r="U4525" s="33"/>
      <c r="V4525" s="1"/>
    </row>
    <row r="4526" ht="24.0" customHeight="1">
      <c r="A4526" s="1"/>
      <c r="B4526" s="24" t="str">
        <f>HYPERLINK("https://www.compass.com/listing/22-grove-street-unit-6bc-manhattan-ny-10014/29366435830664977/view?agent_id=610d3f3370540700019b0833","22 Grove Street, Unit 6BC")</f>
        <v>22 Grove Street, Unit 6BC</v>
      </c>
      <c r="C4526" s="25" t="s">
        <v>370</v>
      </c>
      <c r="D4526" s="26" t="s">
        <v>23</v>
      </c>
      <c r="E4526" s="27" t="str">
        <f>HYPERLINK("https://www.compass.com/building/22-grove-st-manhattan-ny-10014/281931041537571845/","22 Grove St")</f>
        <v>22 Grove St</v>
      </c>
      <c r="F4526" s="25" t="s">
        <v>26</v>
      </c>
      <c r="G4526" s="28">
        <v>1990000.0</v>
      </c>
      <c r="H4526" s="29"/>
      <c r="I4526" s="28">
        <v>1846.0</v>
      </c>
      <c r="J4526" s="29"/>
      <c r="K4526" s="25" t="s">
        <v>25</v>
      </c>
      <c r="L4526" s="26">
        <v>4.0</v>
      </c>
      <c r="M4526" s="26">
        <v>2.0</v>
      </c>
      <c r="N4526" s="26">
        <v>0.0</v>
      </c>
      <c r="O4526" s="26">
        <v>0.0</v>
      </c>
      <c r="P4526" s="30"/>
      <c r="Q4526" s="35">
        <v>161.0</v>
      </c>
      <c r="R4526" s="32">
        <v>45636.0</v>
      </c>
      <c r="S4526" s="32">
        <v>43116.0</v>
      </c>
      <c r="T4526" s="29"/>
      <c r="U4526" s="33"/>
      <c r="V4526" s="1"/>
    </row>
    <row r="4527" ht="24.0" customHeight="1">
      <c r="A4527" s="1"/>
      <c r="B4527" s="24" t="str">
        <f>HYPERLINK("https://www.compass.com/listing/111-barrow-street-unit-6d-manhattan-ny-10014/4852273012252087857/view?agent_id=610d3f3370540700019b0833","111 Barrow Street, Unit 6D")</f>
        <v>111 Barrow Street, Unit 6D</v>
      </c>
      <c r="C4527" s="25" t="s">
        <v>370</v>
      </c>
      <c r="D4527" s="26" t="s">
        <v>23</v>
      </c>
      <c r="E4527" s="27" t="str">
        <f>HYPERLINK("https://www.compass.com/building/the-greenwich-villager-manhattan-ny/292834986615169557/","The Greenwich Villager")</f>
        <v>The Greenwich Villager</v>
      </c>
      <c r="F4527" s="25" t="s">
        <v>26</v>
      </c>
      <c r="G4527" s="28">
        <v>2195000.0</v>
      </c>
      <c r="H4527" s="28">
        <v>1463.0</v>
      </c>
      <c r="I4527" s="28">
        <v>3382.0</v>
      </c>
      <c r="J4527" s="29"/>
      <c r="K4527" s="25" t="s">
        <v>25</v>
      </c>
      <c r="L4527" s="26">
        <v>5.0</v>
      </c>
      <c r="M4527" s="26">
        <v>2.0</v>
      </c>
      <c r="N4527" s="26">
        <v>0.0</v>
      </c>
      <c r="O4527" s="26">
        <v>0.0</v>
      </c>
      <c r="P4527" s="34">
        <v>1500.0</v>
      </c>
      <c r="Q4527" s="35">
        <v>329.0</v>
      </c>
      <c r="R4527" s="32">
        <v>45636.0</v>
      </c>
      <c r="S4527" s="32">
        <v>42232.0</v>
      </c>
      <c r="T4527" s="29"/>
      <c r="U4527" s="33"/>
      <c r="V4527" s="1"/>
    </row>
    <row r="4528" ht="24.0" customHeight="1">
      <c r="A4528" s="1"/>
      <c r="B4528" s="24" t="str">
        <f>HYPERLINK("https://www.compass.com/listing/536-east-13th-street-unit-2f-manhattan-ny-10009/1066040592922973025/view?agent_id=610d3f3370540700019b0833","536 East 13th Street, Unit 2F")</f>
        <v>536 East 13th Street, Unit 2F</v>
      </c>
      <c r="C4528" s="25" t="s">
        <v>364</v>
      </c>
      <c r="D4528" s="26" t="s">
        <v>23</v>
      </c>
      <c r="E4528" s="27" t="str">
        <f>HYPERLINK("https://www.compass.com/building/536-e-13th-st-manhattan-ny-10009/281900929068843109/","536 E 13th St")</f>
        <v>536 E 13th St</v>
      </c>
      <c r="F4528" s="25" t="s">
        <v>24</v>
      </c>
      <c r="G4528" s="28">
        <v>1380000.0</v>
      </c>
      <c r="H4528" s="28">
        <v>1663.0</v>
      </c>
      <c r="I4528" s="28">
        <v>1549.0</v>
      </c>
      <c r="J4528" s="28">
        <v>13500.0</v>
      </c>
      <c r="K4528" s="25" t="s">
        <v>28</v>
      </c>
      <c r="L4528" s="26">
        <v>4.0</v>
      </c>
      <c r="M4528" s="26">
        <v>2.0</v>
      </c>
      <c r="N4528" s="26">
        <v>1.0</v>
      </c>
      <c r="O4528" s="26">
        <v>0.0</v>
      </c>
      <c r="P4528" s="26">
        <v>830.0</v>
      </c>
      <c r="Q4528" s="35">
        <v>164.0</v>
      </c>
      <c r="R4528" s="32">
        <v>45636.0</v>
      </c>
      <c r="S4528" s="32">
        <v>44722.0</v>
      </c>
      <c r="T4528" s="29"/>
      <c r="U4528" s="33"/>
      <c r="V4528" s="1"/>
    </row>
    <row r="4529" ht="24.0" customHeight="1">
      <c r="A4529" s="1"/>
      <c r="B4529" s="24" t="str">
        <f>HYPERLINK("https://www.compass.com/listing/290-east-2nd-street-unit-2d-manhattan-ny-10009/207074811443240033/view?agent_id=610d3f3370540700019b0833","290 East 2nd Street, Unit 2D")</f>
        <v>290 East 2nd Street, Unit 2D</v>
      </c>
      <c r="C4529" s="25" t="s">
        <v>364</v>
      </c>
      <c r="D4529" s="26" t="s">
        <v>23</v>
      </c>
      <c r="E4529" s="27" t="str">
        <f>HYPERLINK("https://www.compass.com/building/290-e-2nd-st-manhattan-ny-10009/281899345979128005/","290 E 2nd St")</f>
        <v>290 E 2nd St</v>
      </c>
      <c r="F4529" s="25" t="s">
        <v>24</v>
      </c>
      <c r="G4529" s="28">
        <v>649000.0</v>
      </c>
      <c r="H4529" s="29"/>
      <c r="I4529" s="28">
        <v>578.0</v>
      </c>
      <c r="J4529" s="29"/>
      <c r="K4529" s="25" t="s">
        <v>25</v>
      </c>
      <c r="L4529" s="26">
        <v>4.0</v>
      </c>
      <c r="M4529" s="26">
        <v>2.0</v>
      </c>
      <c r="N4529" s="26">
        <v>1.0</v>
      </c>
      <c r="O4529" s="26">
        <v>0.0</v>
      </c>
      <c r="P4529" s="30"/>
      <c r="Q4529" s="35">
        <v>47.0</v>
      </c>
      <c r="R4529" s="32">
        <v>45636.0</v>
      </c>
      <c r="S4529" s="32">
        <v>43537.0</v>
      </c>
      <c r="T4529" s="29"/>
      <c r="U4529" s="33"/>
      <c r="V4529" s="1"/>
    </row>
    <row r="4530" ht="24.0" customHeight="1">
      <c r="A4530" s="1"/>
      <c r="B4530" s="24" t="str">
        <f>HYPERLINK("https://www.compass.com/listing/148-west-23rd-street-unit-3a-manhattan-ny-10011/1809613495376942481/view?agent_id=610d3f3370540700019b0833","148 West 23rd Street, Unit 3A")</f>
        <v>148 West 23rd Street, Unit 3A</v>
      </c>
      <c r="C4530" s="25" t="s">
        <v>370</v>
      </c>
      <c r="D4530" s="26" t="s">
        <v>23</v>
      </c>
      <c r="E4530" s="27" t="str">
        <f t="shared" ref="E4530:E4532" si="194">HYPERLINK("https://www.compass.com/building/chelsea-mews-manhattan-ny/281905569537739077/","Chelsea Mews")</f>
        <v>Chelsea Mews</v>
      </c>
      <c r="F4530" s="25" t="s">
        <v>27</v>
      </c>
      <c r="G4530" s="28">
        <v>1600000.0</v>
      </c>
      <c r="H4530" s="29"/>
      <c r="I4530" s="28">
        <v>2035.0</v>
      </c>
      <c r="J4530" s="29"/>
      <c r="K4530" s="25" t="s">
        <v>25</v>
      </c>
      <c r="L4530" s="26">
        <v>4.0</v>
      </c>
      <c r="M4530" s="26">
        <v>2.0</v>
      </c>
      <c r="N4530" s="26">
        <v>0.0</v>
      </c>
      <c r="O4530" s="26">
        <v>0.0</v>
      </c>
      <c r="P4530" s="30"/>
      <c r="Q4530" s="35">
        <v>34.0</v>
      </c>
      <c r="R4530" s="32">
        <v>45636.0</v>
      </c>
      <c r="S4530" s="32">
        <v>42829.0</v>
      </c>
      <c r="T4530" s="29"/>
      <c r="U4530" s="33"/>
      <c r="V4530" s="1"/>
    </row>
    <row r="4531" ht="24.0" customHeight="1">
      <c r="A4531" s="1"/>
      <c r="B4531" s="24" t="str">
        <f>HYPERLINK("https://www.compass.com/listing/148-west-23rd-street-unit-3a-manhattan-ny-10011/29373376875272609/view?agent_id=610d3f3370540700019b0833","148 West 23rd Street, Unit 3A")</f>
        <v>148 West 23rd Street, Unit 3A</v>
      </c>
      <c r="C4531" s="25" t="s">
        <v>364</v>
      </c>
      <c r="D4531" s="26" t="s">
        <v>23</v>
      </c>
      <c r="E4531" s="27" t="str">
        <f t="shared" si="194"/>
        <v>Chelsea Mews</v>
      </c>
      <c r="F4531" s="25" t="s">
        <v>27</v>
      </c>
      <c r="G4531" s="28">
        <v>1590000.0</v>
      </c>
      <c r="H4531" s="29"/>
      <c r="I4531" s="28">
        <v>2035.0</v>
      </c>
      <c r="J4531" s="29"/>
      <c r="K4531" s="25" t="s">
        <v>25</v>
      </c>
      <c r="L4531" s="26">
        <v>4.0</v>
      </c>
      <c r="M4531" s="26">
        <v>2.0</v>
      </c>
      <c r="N4531" s="26">
        <v>0.0</v>
      </c>
      <c r="O4531" s="26">
        <v>0.0</v>
      </c>
      <c r="P4531" s="30"/>
      <c r="Q4531" s="35">
        <v>208.0</v>
      </c>
      <c r="R4531" s="32">
        <v>45636.0</v>
      </c>
      <c r="S4531" s="32">
        <v>42619.0</v>
      </c>
      <c r="T4531" s="29"/>
      <c r="U4531" s="33"/>
      <c r="V4531" s="1"/>
    </row>
    <row r="4532" ht="24.0" customHeight="1">
      <c r="A4532" s="1"/>
      <c r="B4532" s="24" t="str">
        <f>HYPERLINK("https://www.compass.com/listing/148-west-23rd-street-unit-3a-manhattan-ny-10011/921869052880339969/view?agent_id=610d3f3370540700019b0833","148 West 23rd Street, Unit 3A")</f>
        <v>148 West 23rd Street, Unit 3A</v>
      </c>
      <c r="C4532" s="25" t="s">
        <v>370</v>
      </c>
      <c r="D4532" s="26" t="s">
        <v>23</v>
      </c>
      <c r="E4532" s="27" t="str">
        <f t="shared" si="194"/>
        <v>Chelsea Mews</v>
      </c>
      <c r="F4532" s="25" t="s">
        <v>27</v>
      </c>
      <c r="G4532" s="28">
        <v>1600000.0</v>
      </c>
      <c r="H4532" s="29"/>
      <c r="I4532" s="28">
        <v>2036.0</v>
      </c>
      <c r="J4532" s="29"/>
      <c r="K4532" s="25" t="s">
        <v>25</v>
      </c>
      <c r="L4532" s="26">
        <v>4.0</v>
      </c>
      <c r="M4532" s="26">
        <v>2.0</v>
      </c>
      <c r="N4532" s="26">
        <v>0.0</v>
      </c>
      <c r="O4532" s="26">
        <v>0.0</v>
      </c>
      <c r="P4532" s="30"/>
      <c r="Q4532" s="35">
        <v>76.0</v>
      </c>
      <c r="R4532" s="32">
        <v>45636.0</v>
      </c>
      <c r="S4532" s="32">
        <v>42863.0</v>
      </c>
      <c r="T4532" s="29"/>
      <c r="U4532" s="33"/>
      <c r="V4532" s="1"/>
    </row>
    <row r="4533" ht="24.0" customHeight="1">
      <c r="A4533" s="1"/>
      <c r="B4533" s="24" t="str">
        <f>HYPERLINK("https://www.compass.com/listing/180-thompson-street-unit-2c-manhattan-ny-10012/4848428253318218545/view?agent_id=610d3f3370540700019b0833","180 Thompson St, Unit 2C")</f>
        <v>180 Thompson St, Unit 2C</v>
      </c>
      <c r="C4533" s="25" t="s">
        <v>364</v>
      </c>
      <c r="D4533" s="26" t="s">
        <v>23</v>
      </c>
      <c r="E4533" s="27" t="str">
        <f t="shared" ref="E4533:E4534" si="195">HYPERLINK("https://www.compass.com/building/180-thompson-st-manhattan-ny-10012/281913563965058325/","180 Thompson St")</f>
        <v>180 Thompson St</v>
      </c>
      <c r="F4533" s="25" t="s">
        <v>43</v>
      </c>
      <c r="G4533" s="28">
        <v>740000.0</v>
      </c>
      <c r="H4533" s="28">
        <v>955.0</v>
      </c>
      <c r="I4533" s="29"/>
      <c r="J4533" s="29"/>
      <c r="K4533" s="25" t="s">
        <v>25</v>
      </c>
      <c r="L4533" s="26">
        <v>4.0</v>
      </c>
      <c r="M4533" s="26">
        <v>2.0</v>
      </c>
      <c r="N4533" s="30"/>
      <c r="O4533" s="30"/>
      <c r="P4533" s="26">
        <v>775.0</v>
      </c>
      <c r="Q4533" s="35">
        <v>128.0</v>
      </c>
      <c r="R4533" s="32">
        <v>42475.0</v>
      </c>
      <c r="S4533" s="32">
        <v>39713.0</v>
      </c>
      <c r="T4533" s="29"/>
      <c r="U4533" s="33"/>
      <c r="V4533" s="1"/>
    </row>
    <row r="4534" ht="24.0" customHeight="1">
      <c r="A4534" s="1"/>
      <c r="B4534" s="24" t="str">
        <f>HYPERLINK("https://www.compass.com/listing/180-thompson-street-unit-2c-manhattan-ny-10012/4848428253318218561/view?agent_id=610d3f3370540700019b0833","180 Thompson St, Unit 2C")</f>
        <v>180 Thompson St, Unit 2C</v>
      </c>
      <c r="C4534" s="25" t="s">
        <v>364</v>
      </c>
      <c r="D4534" s="26" t="s">
        <v>23</v>
      </c>
      <c r="E4534" s="27" t="str">
        <f t="shared" si="195"/>
        <v>180 Thompson St</v>
      </c>
      <c r="F4534" s="25" t="s">
        <v>43</v>
      </c>
      <c r="G4534" s="28">
        <v>740000.0</v>
      </c>
      <c r="H4534" s="28">
        <v>955.0</v>
      </c>
      <c r="I4534" s="29"/>
      <c r="J4534" s="29"/>
      <c r="K4534" s="25" t="s">
        <v>25</v>
      </c>
      <c r="L4534" s="26">
        <v>4.0</v>
      </c>
      <c r="M4534" s="26">
        <v>2.0</v>
      </c>
      <c r="N4534" s="30"/>
      <c r="O4534" s="30"/>
      <c r="P4534" s="26">
        <v>775.0</v>
      </c>
      <c r="Q4534" s="31"/>
      <c r="R4534" s="32">
        <v>42475.0</v>
      </c>
      <c r="S4534" s="33"/>
      <c r="T4534" s="29"/>
      <c r="U4534" s="33"/>
      <c r="V4534" s="1"/>
    </row>
    <row r="4535" ht="24.0" customHeight="1">
      <c r="A4535" s="1"/>
      <c r="B4535" s="24" t="str">
        <f>HYPERLINK("https://www.compass.com/listing/115-east-9th-street-unit-5h-manhattan-ny-10003/50865227809526161/view?agent_id=610d3f3370540700019b0833","115 East 9th Street, Unit 5H")</f>
        <v>115 East 9th Street, Unit 5H</v>
      </c>
      <c r="C4535" s="25" t="s">
        <v>370</v>
      </c>
      <c r="D4535" s="26" t="s">
        <v>23</v>
      </c>
      <c r="E4535" s="27" t="str">
        <f>HYPERLINK("https://www.compass.com/building/the-st-mark-manhattan-ny/292783513042693509/","The St. Mark")</f>
        <v>The St. Mark</v>
      </c>
      <c r="F4535" s="25" t="s">
        <v>43</v>
      </c>
      <c r="G4535" s="28">
        <v>1645000.0</v>
      </c>
      <c r="H4535" s="29"/>
      <c r="I4535" s="28">
        <v>1629.0</v>
      </c>
      <c r="J4535" s="29"/>
      <c r="K4535" s="25" t="s">
        <v>25</v>
      </c>
      <c r="L4535" s="26">
        <v>4.0</v>
      </c>
      <c r="M4535" s="26">
        <v>2.0</v>
      </c>
      <c r="N4535" s="26">
        <v>0.0</v>
      </c>
      <c r="O4535" s="26">
        <v>0.0</v>
      </c>
      <c r="P4535" s="30"/>
      <c r="Q4535" s="35">
        <v>85.0</v>
      </c>
      <c r="R4535" s="32">
        <v>45636.0</v>
      </c>
      <c r="S4535" s="32">
        <v>42431.0</v>
      </c>
      <c r="T4535" s="29"/>
      <c r="U4535" s="33"/>
      <c r="V4535" s="1"/>
    </row>
    <row r="4536" ht="24.0" customHeight="1">
      <c r="A4536" s="1"/>
      <c r="B4536" s="24" t="str">
        <f>HYPERLINK("https://www.compass.com/listing/23-west-73rd-street-unit-616-manhattan-ny-10023/29392214199197313/view?agent_id=610d3f3370540700019b0833","23 West 73rd Street, Unit 616")</f>
        <v>23 West 73rd Street, Unit 616</v>
      </c>
      <c r="C4536" s="25" t="s">
        <v>370</v>
      </c>
      <c r="D4536" s="26" t="s">
        <v>23</v>
      </c>
      <c r="E4536" s="27" t="str">
        <f>HYPERLINK("https://www.compass.com/building/park-royal-manhattan-ny/281958640317962949/","Park Royal")</f>
        <v>Park Royal</v>
      </c>
      <c r="F4536" s="25" t="s">
        <v>29</v>
      </c>
      <c r="G4536" s="28">
        <v>1595000.0</v>
      </c>
      <c r="H4536" s="28">
        <v>1525.0</v>
      </c>
      <c r="I4536" s="28">
        <v>2150.0</v>
      </c>
      <c r="J4536" s="29"/>
      <c r="K4536" s="25" t="s">
        <v>25</v>
      </c>
      <c r="L4536" s="26">
        <v>4.0</v>
      </c>
      <c r="M4536" s="26">
        <v>2.0</v>
      </c>
      <c r="N4536" s="26">
        <v>0.0</v>
      </c>
      <c r="O4536" s="26">
        <v>0.0</v>
      </c>
      <c r="P4536" s="34">
        <v>1046.0</v>
      </c>
      <c r="Q4536" s="35">
        <v>40.0</v>
      </c>
      <c r="R4536" s="32">
        <v>45636.0</v>
      </c>
      <c r="S4536" s="32">
        <v>41415.0</v>
      </c>
      <c r="T4536" s="29"/>
      <c r="U4536" s="33"/>
      <c r="V4536" s="1"/>
    </row>
    <row r="4537" ht="24.0" customHeight="1">
      <c r="A4537" s="1"/>
      <c r="B4537" s="24" t="str">
        <f>HYPERLINK("https://www.compass.com/listing/267-west-71st-street-unit-2fr-manhattan-ny-10023/29314193073114913/view?agent_id=610d3f3370540700019b0833","267 West 71st Street, Unit 2FR")</f>
        <v>267 West 71st Street, Unit 2FR</v>
      </c>
      <c r="C4537" s="25" t="s">
        <v>370</v>
      </c>
      <c r="D4537" s="26" t="s">
        <v>23</v>
      </c>
      <c r="E4537" s="27" t="str">
        <f>HYPERLINK("https://www.compass.com/building/267-w-71st-st-manhattan-ny-10023/281959285519361477/","267 W 71st St")</f>
        <v>267 W 71st St</v>
      </c>
      <c r="F4537" s="25" t="s">
        <v>29</v>
      </c>
      <c r="G4537" s="28">
        <v>1750000.0</v>
      </c>
      <c r="H4537" s="29"/>
      <c r="I4537" s="28">
        <v>1559.0</v>
      </c>
      <c r="J4537" s="29"/>
      <c r="K4537" s="25" t="s">
        <v>25</v>
      </c>
      <c r="L4537" s="26">
        <v>5.0</v>
      </c>
      <c r="M4537" s="26">
        <v>2.0</v>
      </c>
      <c r="N4537" s="26">
        <v>0.0</v>
      </c>
      <c r="O4537" s="26">
        <v>0.0</v>
      </c>
      <c r="P4537" s="30"/>
      <c r="Q4537" s="35">
        <v>95.0</v>
      </c>
      <c r="R4537" s="32">
        <v>45636.0</v>
      </c>
      <c r="S4537" s="32">
        <v>43183.0</v>
      </c>
      <c r="T4537" s="29"/>
      <c r="U4537" s="33"/>
      <c r="V4537" s="1"/>
    </row>
    <row r="4538" ht="24.0" customHeight="1">
      <c r="A4538" s="1"/>
      <c r="B4538" s="24" t="str">
        <f>HYPERLINK("https://www.compass.com/listing/215-west-75th-street-unit-14a-manhattan-ny-10023/813800591626831281/view?agent_id=610d3f3370540700019b0833","215 West 75th Street, Unit 14A")</f>
        <v>215 West 75th Street, Unit 14A</v>
      </c>
      <c r="C4538" s="25" t="s">
        <v>370</v>
      </c>
      <c r="D4538" s="26" t="s">
        <v>23</v>
      </c>
      <c r="E4538" s="27" t="str">
        <f t="shared" ref="E4538:E4539" si="196">HYPERLINK("https://www.compass.com/building/majestic-towers-manhattan-ny/282059882780198885/","Majestic Towers")</f>
        <v>Majestic Towers</v>
      </c>
      <c r="F4538" s="25" t="s">
        <v>29</v>
      </c>
      <c r="G4538" s="28">
        <v>1395000.0</v>
      </c>
      <c r="H4538" s="29"/>
      <c r="I4538" s="28">
        <v>2780.0</v>
      </c>
      <c r="J4538" s="29"/>
      <c r="K4538" s="25" t="s">
        <v>25</v>
      </c>
      <c r="L4538" s="26">
        <v>4.0</v>
      </c>
      <c r="M4538" s="26">
        <v>2.0</v>
      </c>
      <c r="N4538" s="26">
        <v>1.0</v>
      </c>
      <c r="O4538" s="26">
        <v>0.0</v>
      </c>
      <c r="P4538" s="30"/>
      <c r="Q4538" s="35">
        <v>104.0</v>
      </c>
      <c r="R4538" s="32">
        <v>45636.0</v>
      </c>
      <c r="S4538" s="32">
        <v>44448.0</v>
      </c>
      <c r="T4538" s="29"/>
      <c r="U4538" s="33"/>
      <c r="V4538" s="1"/>
    </row>
    <row r="4539" ht="24.0" customHeight="1">
      <c r="A4539" s="1"/>
      <c r="B4539" s="24" t="str">
        <f>HYPERLINK("https://www.compass.com/listing/215-west-75th-street-unit-14a-manhattan-ny-10023/927305671019615785/view?agent_id=610d3f3370540700019b0833","215 West 75th Street, Unit 14A")</f>
        <v>215 West 75th Street, Unit 14A</v>
      </c>
      <c r="C4539" s="25" t="s">
        <v>364</v>
      </c>
      <c r="D4539" s="26" t="s">
        <v>23</v>
      </c>
      <c r="E4539" s="27" t="str">
        <f t="shared" si="196"/>
        <v>Majestic Towers</v>
      </c>
      <c r="F4539" s="25" t="s">
        <v>29</v>
      </c>
      <c r="G4539" s="28">
        <v>1395000.0</v>
      </c>
      <c r="H4539" s="28">
        <v>1550.0</v>
      </c>
      <c r="I4539" s="28">
        <v>2780.0</v>
      </c>
      <c r="J4539" s="29"/>
      <c r="K4539" s="25" t="s">
        <v>25</v>
      </c>
      <c r="L4539" s="26">
        <v>4.0</v>
      </c>
      <c r="M4539" s="26">
        <v>2.0</v>
      </c>
      <c r="N4539" s="26">
        <v>1.0</v>
      </c>
      <c r="O4539" s="26">
        <v>0.0</v>
      </c>
      <c r="P4539" s="26">
        <v>900.0</v>
      </c>
      <c r="Q4539" s="35">
        <v>36.0</v>
      </c>
      <c r="R4539" s="32">
        <v>45636.0</v>
      </c>
      <c r="S4539" s="32">
        <v>44411.0</v>
      </c>
      <c r="T4539" s="29"/>
      <c r="U4539" s="33"/>
      <c r="V4539" s="1"/>
    </row>
    <row r="4540" ht="24.0" customHeight="1">
      <c r="A4540" s="1"/>
      <c r="B4540" s="24" t="str">
        <f>HYPERLINK("https://www.compass.com/listing/175-west-73rd-street-unit-15d-manhattan-ny-10023/29393825021668577/view?agent_id=610d3f3370540700019b0833","175 West 73rd Street, Unit 15D")</f>
        <v>175 West 73rd Street, Unit 15D</v>
      </c>
      <c r="C4540" s="25" t="s">
        <v>370</v>
      </c>
      <c r="D4540" s="26" t="s">
        <v>23</v>
      </c>
      <c r="E4540" s="27" t="str">
        <f>HYPERLINK("https://www.compass.com/building/the-verdi-manhattan-ny/281957984823744725/","The Verdi")</f>
        <v>The Verdi</v>
      </c>
      <c r="F4540" s="25" t="s">
        <v>29</v>
      </c>
      <c r="G4540" s="28">
        <v>949000.0</v>
      </c>
      <c r="H4540" s="29"/>
      <c r="I4540" s="28">
        <v>1508.0</v>
      </c>
      <c r="J4540" s="29"/>
      <c r="K4540" s="25" t="s">
        <v>25</v>
      </c>
      <c r="L4540" s="26">
        <v>4.0</v>
      </c>
      <c r="M4540" s="26">
        <v>2.0</v>
      </c>
      <c r="N4540" s="26">
        <v>0.0</v>
      </c>
      <c r="O4540" s="26">
        <v>0.0</v>
      </c>
      <c r="P4540" s="30"/>
      <c r="Q4540" s="35">
        <v>2.0</v>
      </c>
      <c r="R4540" s="32">
        <v>44581.0</v>
      </c>
      <c r="S4540" s="32">
        <v>43209.0</v>
      </c>
      <c r="T4540" s="29"/>
      <c r="U4540" s="33"/>
      <c r="V4540" s="1"/>
    </row>
    <row r="4541" ht="24.0" customHeight="1">
      <c r="A4541" s="1"/>
      <c r="B4541" s="24" t="str">
        <f>HYPERLINK("https://www.compass.com/listing/257-west-17th-street-unit-4d-manhattan-ny-10011/803336149963347889/view?agent_id=610d3f3370540700019b0833","257 West 17th Street, Unit 4D")</f>
        <v>257 West 17th Street, Unit 4D</v>
      </c>
      <c r="C4541" s="25" t="s">
        <v>370</v>
      </c>
      <c r="D4541" s="26" t="s">
        <v>23</v>
      </c>
      <c r="E4541" s="27" t="str">
        <f>HYPERLINK("https://www.compass.com/building/257-w-17th-st-manhattan-ny-10011/281908059796690005/","257 W 17th St")</f>
        <v>257 W 17th St</v>
      </c>
      <c r="F4541" s="25" t="s">
        <v>27</v>
      </c>
      <c r="G4541" s="28">
        <v>3350000.0</v>
      </c>
      <c r="H4541" s="28">
        <v>1773.0</v>
      </c>
      <c r="I4541" s="28">
        <v>2886.0</v>
      </c>
      <c r="J4541" s="28">
        <v>14040.0</v>
      </c>
      <c r="K4541" s="25" t="s">
        <v>28</v>
      </c>
      <c r="L4541" s="26">
        <v>5.0</v>
      </c>
      <c r="M4541" s="26">
        <v>2.0</v>
      </c>
      <c r="N4541" s="26">
        <v>0.0</v>
      </c>
      <c r="O4541" s="26">
        <v>0.0</v>
      </c>
      <c r="P4541" s="34">
        <v>1889.0</v>
      </c>
      <c r="Q4541" s="35">
        <v>343.0</v>
      </c>
      <c r="R4541" s="32">
        <v>45636.0</v>
      </c>
      <c r="S4541" s="32">
        <v>41603.0</v>
      </c>
      <c r="T4541" s="29"/>
      <c r="U4541" s="33"/>
      <c r="V4541" s="1"/>
    </row>
    <row r="4542" ht="24.0" customHeight="1">
      <c r="A4542" s="1"/>
      <c r="B4542" s="24" t="str">
        <f>HYPERLINK("https://www.compass.com/listing/70-east-10th-street-unit-11v-manhattan-ny-10003/192566472248170689/view?agent_id=610d3f3370540700019b0833","70 East 10th Street, Unit 11V")</f>
        <v>70 East 10th Street, Unit 11V</v>
      </c>
      <c r="C4542" s="25" t="s">
        <v>364</v>
      </c>
      <c r="D4542" s="26" t="s">
        <v>23</v>
      </c>
      <c r="E4542" s="27" t="str">
        <f>HYPERLINK("https://www.compass.com/building/stewart-house-manhattan-ny/282058667388337333/","Stewart House")</f>
        <v>Stewart House</v>
      </c>
      <c r="F4542" s="25" t="s">
        <v>43</v>
      </c>
      <c r="G4542" s="28">
        <v>1299000.0</v>
      </c>
      <c r="H4542" s="29"/>
      <c r="I4542" s="28">
        <v>1699.0</v>
      </c>
      <c r="J4542" s="29"/>
      <c r="K4542" s="25" t="s">
        <v>25</v>
      </c>
      <c r="L4542" s="26">
        <v>5.0</v>
      </c>
      <c r="M4542" s="26">
        <v>2.0</v>
      </c>
      <c r="N4542" s="26">
        <v>0.0</v>
      </c>
      <c r="O4542" s="26">
        <v>0.0</v>
      </c>
      <c r="P4542" s="30"/>
      <c r="Q4542" s="35">
        <v>181.0</v>
      </c>
      <c r="R4542" s="32">
        <v>44581.0</v>
      </c>
      <c r="S4542" s="32">
        <v>41288.0</v>
      </c>
      <c r="T4542" s="29"/>
      <c r="U4542" s="33"/>
      <c r="V4542" s="1"/>
    </row>
    <row r="4543" ht="24.0" customHeight="1">
      <c r="A4543" s="1"/>
      <c r="B4543" s="24" t="str">
        <f>HYPERLINK("https://www.compass.com/listing/77-east-12th-street-unit-9ef-manhattan-ny-10003/4852267622781160737/view?agent_id=610d3f3370540700019b0833","77 East 12th Street, Unit 9EF")</f>
        <v>77 East 12th Street, Unit 9EF</v>
      </c>
      <c r="C4543" s="25" t="s">
        <v>364</v>
      </c>
      <c r="D4543" s="26" t="s">
        <v>23</v>
      </c>
      <c r="E4543" s="27" t="str">
        <f>HYPERLINK("https://www.compass.com/building/77-e-12th-st-manhattan-ny-10003/282059202380203461/","77 E 12th St")</f>
        <v>77 E 12th St</v>
      </c>
      <c r="F4543" s="25" t="s">
        <v>43</v>
      </c>
      <c r="G4543" s="28">
        <v>2295000.0</v>
      </c>
      <c r="H4543" s="28">
        <v>1583.0</v>
      </c>
      <c r="I4543" s="28">
        <v>2330.0</v>
      </c>
      <c r="J4543" s="29"/>
      <c r="K4543" s="25" t="s">
        <v>25</v>
      </c>
      <c r="L4543" s="26">
        <v>5.0</v>
      </c>
      <c r="M4543" s="26">
        <v>2.0</v>
      </c>
      <c r="N4543" s="26">
        <v>0.0</v>
      </c>
      <c r="O4543" s="26">
        <v>0.0</v>
      </c>
      <c r="P4543" s="34">
        <v>1450.0</v>
      </c>
      <c r="Q4543" s="35">
        <v>1166.0</v>
      </c>
      <c r="R4543" s="32">
        <v>45636.0</v>
      </c>
      <c r="S4543" s="32">
        <v>41712.0</v>
      </c>
      <c r="T4543" s="29"/>
      <c r="U4543" s="33"/>
      <c r="V4543" s="1"/>
    </row>
    <row r="4544" ht="24.0" customHeight="1">
      <c r="A4544" s="1"/>
      <c r="B4544" s="24" t="str">
        <f>HYPERLINK("https://www.compass.com/listing/170-west-76th-street-unit-401-manhattan-ny-10023/29615859949434721/view?agent_id=610d3f3370540700019b0833","170 West 76th Street, Unit 401")</f>
        <v>170 West 76th Street, Unit 401</v>
      </c>
      <c r="C4544" s="25" t="s">
        <v>370</v>
      </c>
      <c r="D4544" s="26" t="s">
        <v>23</v>
      </c>
      <c r="E4544" s="27" t="str">
        <f>HYPERLINK("https://www.compass.com/building/170-w-76th-st-manhattan-ny-10023/281924245674565621/","170 W 76th St")</f>
        <v>170 W 76th St</v>
      </c>
      <c r="F4544" s="25" t="s">
        <v>29</v>
      </c>
      <c r="G4544" s="28">
        <v>1149000.0</v>
      </c>
      <c r="H4544" s="29"/>
      <c r="I4544" s="28">
        <v>2009.0</v>
      </c>
      <c r="J4544" s="29"/>
      <c r="K4544" s="25" t="s">
        <v>25</v>
      </c>
      <c r="L4544" s="26">
        <v>4.0</v>
      </c>
      <c r="M4544" s="26">
        <v>2.0</v>
      </c>
      <c r="N4544" s="26">
        <v>0.0</v>
      </c>
      <c r="O4544" s="26">
        <v>0.0</v>
      </c>
      <c r="P4544" s="30"/>
      <c r="Q4544" s="35">
        <v>199.0</v>
      </c>
      <c r="R4544" s="32">
        <v>45636.0</v>
      </c>
      <c r="S4544" s="32">
        <v>43249.0</v>
      </c>
      <c r="T4544" s="29"/>
      <c r="U4544" s="33"/>
      <c r="V4544" s="1"/>
    </row>
    <row r="4545" ht="24.0" customHeight="1">
      <c r="A4545" s="1"/>
      <c r="B4545" s="24" t="str">
        <f>HYPERLINK("https://www.compass.com/listing/77-east-12th-street-unit-9f-manhattan-ny-10003/4852320020996295569/view?agent_id=610d3f3370540700019b0833","77 East 12th Street, Unit 9F")</f>
        <v>77 East 12th Street, Unit 9F</v>
      </c>
      <c r="C4545" s="25" t="s">
        <v>364</v>
      </c>
      <c r="D4545" s="26" t="s">
        <v>23</v>
      </c>
      <c r="E4545" s="27" t="str">
        <f>HYPERLINK("https://www.compass.com/building/77-e-12th-st-manhattan-ny-10003/282059202380203461/","77 E 12th St")</f>
        <v>77 E 12th St</v>
      </c>
      <c r="F4545" s="25" t="s">
        <v>43</v>
      </c>
      <c r="G4545" s="28">
        <v>2250000.0</v>
      </c>
      <c r="H4545" s="28">
        <v>1500.0</v>
      </c>
      <c r="I4545" s="28">
        <v>2330.0</v>
      </c>
      <c r="J4545" s="29"/>
      <c r="K4545" s="25" t="s">
        <v>25</v>
      </c>
      <c r="L4545" s="26">
        <v>6.0</v>
      </c>
      <c r="M4545" s="26">
        <v>2.0</v>
      </c>
      <c r="N4545" s="26">
        <v>0.0</v>
      </c>
      <c r="O4545" s="26">
        <v>0.0</v>
      </c>
      <c r="P4545" s="34">
        <v>1500.0</v>
      </c>
      <c r="Q4545" s="35">
        <v>59.0</v>
      </c>
      <c r="R4545" s="32">
        <v>45636.0</v>
      </c>
      <c r="S4545" s="32">
        <v>41887.0</v>
      </c>
      <c r="T4545" s="29"/>
      <c r="U4545" s="33"/>
      <c r="V4545" s="1"/>
    </row>
    <row r="4546" ht="24.0" customHeight="1">
      <c r="A4546" s="1"/>
      <c r="B4546" s="24" t="str">
        <f>HYPERLINK("https://www.compass.com/listing/227-west-11th-street-unit-3-manhattan-ny-10014/79381628375368481/view?agent_id=610d3f3370540700019b0833","227 W 11th St, Unit 3")</f>
        <v>227 W 11th St, Unit 3</v>
      </c>
      <c r="C4546" s="25" t="s">
        <v>364</v>
      </c>
      <c r="D4546" s="26" t="s">
        <v>23</v>
      </c>
      <c r="E4546" s="27" t="str">
        <f>HYPERLINK("https://www.compass.com/building/227-w-11th-st-manhattan-ny-10014/281931132176479669/","227 W 11th St")</f>
        <v>227 W 11th St</v>
      </c>
      <c r="F4546" s="25" t="s">
        <v>26</v>
      </c>
      <c r="G4546" s="28">
        <v>1385000.0</v>
      </c>
      <c r="H4546" s="29"/>
      <c r="I4546" s="28">
        <v>1176.0</v>
      </c>
      <c r="J4546" s="29"/>
      <c r="K4546" s="25" t="s">
        <v>25</v>
      </c>
      <c r="L4546" s="26">
        <v>4.0</v>
      </c>
      <c r="M4546" s="26">
        <v>2.0</v>
      </c>
      <c r="N4546" s="30"/>
      <c r="O4546" s="30"/>
      <c r="P4546" s="30"/>
      <c r="Q4546" s="35">
        <v>88.0</v>
      </c>
      <c r="R4546" s="32">
        <v>42491.0</v>
      </c>
      <c r="S4546" s="32">
        <v>40070.0</v>
      </c>
      <c r="T4546" s="29"/>
      <c r="U4546" s="33"/>
      <c r="V4546" s="1"/>
    </row>
    <row r="4547" ht="24.0" customHeight="1">
      <c r="A4547" s="1"/>
      <c r="B4547" s="24" t="str">
        <f>HYPERLINK("https://www.compass.com/listing/86-2nd-place-unit-3-brooklyn-ny-11231/1624120414776357745/view?agent_id=610d3f3370540700019b0833","86 2nd Place, Unit 3")</f>
        <v>86 2nd Place, Unit 3</v>
      </c>
      <c r="C4547" s="25" t="s">
        <v>364</v>
      </c>
      <c r="D4547" s="26" t="s">
        <v>23</v>
      </c>
      <c r="E4547" s="27" t="str">
        <f>HYPERLINK("https://www.compass.com/building/86-2nd-pl-brooklyn-ny-11231/282501787972353605/","86 2nd Pl")</f>
        <v>86 2nd Pl</v>
      </c>
      <c r="F4547" s="25" t="s">
        <v>65</v>
      </c>
      <c r="G4547" s="28">
        <v>1695000.0</v>
      </c>
      <c r="H4547" s="29"/>
      <c r="I4547" s="28">
        <v>1213.0</v>
      </c>
      <c r="J4547" s="28">
        <v>0.0</v>
      </c>
      <c r="K4547" s="25" t="s">
        <v>25</v>
      </c>
      <c r="L4547" s="26">
        <v>4.0</v>
      </c>
      <c r="M4547" s="26">
        <v>2.0</v>
      </c>
      <c r="N4547" s="26">
        <v>1.0</v>
      </c>
      <c r="O4547" s="26">
        <v>0.0</v>
      </c>
      <c r="P4547" s="30"/>
      <c r="Q4547" s="35">
        <v>150.0</v>
      </c>
      <c r="R4547" s="32">
        <v>45641.0</v>
      </c>
      <c r="S4547" s="32">
        <v>45491.0</v>
      </c>
      <c r="T4547" s="29"/>
      <c r="U4547" s="33"/>
      <c r="V4547" s="1"/>
    </row>
    <row r="4548" ht="24.0" customHeight="1">
      <c r="A4548" s="1"/>
      <c r="B4548" s="24" t="str">
        <f>HYPERLINK("https://www.compass.com/listing/37-west-12th-street-unit-2a-manhattan-ny-10011/98326060789208961/view?agent_id=610d3f3370540700019b0833","37 West 12th Street, Unit 2A")</f>
        <v>37 West 12th Street, Unit 2A</v>
      </c>
      <c r="C4548" s="25" t="s">
        <v>364</v>
      </c>
      <c r="D4548" s="26" t="s">
        <v>23</v>
      </c>
      <c r="E4548" s="27" t="str">
        <f>HYPERLINK("https://www.compass.com/building/37-w-12th-st-manhattan-ny-10011/281909849464266213/","37 W 12th St")</f>
        <v>37 W 12th St</v>
      </c>
      <c r="F4548" s="25" t="s">
        <v>43</v>
      </c>
      <c r="G4548" s="28">
        <v>2950000.0</v>
      </c>
      <c r="H4548" s="29"/>
      <c r="I4548" s="28">
        <v>4062.0</v>
      </c>
      <c r="J4548" s="29"/>
      <c r="K4548" s="25" t="s">
        <v>25</v>
      </c>
      <c r="L4548" s="26">
        <v>5.0</v>
      </c>
      <c r="M4548" s="26">
        <v>2.0</v>
      </c>
      <c r="N4548" s="26">
        <v>0.0</v>
      </c>
      <c r="O4548" s="26">
        <v>0.0</v>
      </c>
      <c r="P4548" s="30"/>
      <c r="Q4548" s="35">
        <v>231.0</v>
      </c>
      <c r="R4548" s="32">
        <v>45636.0</v>
      </c>
      <c r="S4548" s="32">
        <v>43039.0</v>
      </c>
      <c r="T4548" s="29"/>
      <c r="U4548" s="33"/>
      <c r="V4548" s="1"/>
    </row>
    <row r="4549" ht="24.0" customHeight="1">
      <c r="A4549" s="1"/>
      <c r="B4549" s="24" t="str">
        <f>HYPERLINK("https://www.compass.com/listing/128-east-7th-street-unit-ph-manhattan-ny-10009/784680871553156737/view?agent_id=610d3f3370540700019b0833","128 East 7th Street, Unit PH")</f>
        <v>128 East 7th Street, Unit PH</v>
      </c>
      <c r="C4549" s="25" t="s">
        <v>364</v>
      </c>
      <c r="D4549" s="26" t="s">
        <v>23</v>
      </c>
      <c r="E4549" s="27" t="str">
        <f>HYPERLINK("https://www.compass.com/building/128-e-7th-st-manhattan-ny-10009/281897675421394981/","128 E 7th St")</f>
        <v>128 E 7th St</v>
      </c>
      <c r="F4549" s="25" t="s">
        <v>24</v>
      </c>
      <c r="G4549" s="28">
        <v>4000000.0</v>
      </c>
      <c r="H4549" s="28">
        <v>2334.0</v>
      </c>
      <c r="I4549" s="28">
        <v>2867.0</v>
      </c>
      <c r="J4549" s="28">
        <v>19404.0</v>
      </c>
      <c r="K4549" s="25" t="s">
        <v>28</v>
      </c>
      <c r="L4549" s="26">
        <v>4.0</v>
      </c>
      <c r="M4549" s="26">
        <v>2.0</v>
      </c>
      <c r="N4549" s="26">
        <v>0.0</v>
      </c>
      <c r="O4549" s="26">
        <v>0.0</v>
      </c>
      <c r="P4549" s="34">
        <v>1714.0</v>
      </c>
      <c r="Q4549" s="35">
        <v>1217.0</v>
      </c>
      <c r="R4549" s="32">
        <v>45636.0</v>
      </c>
      <c r="S4549" s="32">
        <v>41661.0</v>
      </c>
      <c r="T4549" s="29"/>
      <c r="U4549" s="33"/>
      <c r="V4549" s="1"/>
    </row>
    <row r="4550" ht="24.0" customHeight="1">
      <c r="A4550" s="1"/>
      <c r="B4550" s="24" t="str">
        <f>HYPERLINK("https://www.compass.com/listing/77-reade-street-unit-3d-4d-manhattan-ny-10007/29513370059229665/view?agent_id=610d3f3370540700019b0833","77 Reade Street, Unit 3D/4D")</f>
        <v>77 Reade Street, Unit 3D/4D</v>
      </c>
      <c r="C4550" s="25" t="s">
        <v>370</v>
      </c>
      <c r="D4550" s="26" t="s">
        <v>23</v>
      </c>
      <c r="E4550" s="27" t="str">
        <f>HYPERLINK("https://www.compass.com/building/77-reade-st-manhattan-ny-10007/281897161057118181/","77 Reade St")</f>
        <v>77 Reade St</v>
      </c>
      <c r="F4550" s="25" t="s">
        <v>60</v>
      </c>
      <c r="G4550" s="28">
        <v>2645000.0</v>
      </c>
      <c r="H4550" s="29"/>
      <c r="I4550" s="28">
        <v>3149.0</v>
      </c>
      <c r="J4550" s="28">
        <v>17388.0</v>
      </c>
      <c r="K4550" s="25" t="s">
        <v>28</v>
      </c>
      <c r="L4550" s="26">
        <v>6.0</v>
      </c>
      <c r="M4550" s="26">
        <v>2.0</v>
      </c>
      <c r="N4550" s="26">
        <v>0.0</v>
      </c>
      <c r="O4550" s="26">
        <v>0.0</v>
      </c>
      <c r="P4550" s="30"/>
      <c r="Q4550" s="35">
        <v>184.0</v>
      </c>
      <c r="R4550" s="32">
        <v>44581.0</v>
      </c>
      <c r="S4550" s="32">
        <v>43237.0</v>
      </c>
      <c r="T4550" s="29"/>
      <c r="U4550" s="33"/>
      <c r="V4550" s="1"/>
    </row>
    <row r="4551" ht="24.0" customHeight="1">
      <c r="A4551" s="1"/>
      <c r="B4551" s="24" t="str">
        <f>HYPERLINK("https://www.compass.com/listing/171-west-71st-street-unit-2c-manhattan-ny-10023/1838891934198840225/view?agent_id=610d3f3370540700019b0833","171 West 71st Street, Unit 2C")</f>
        <v>171 West 71st Street, Unit 2C</v>
      </c>
      <c r="C4551" s="25" t="s">
        <v>364</v>
      </c>
      <c r="D4551" s="26" t="s">
        <v>23</v>
      </c>
      <c r="E4551" s="27" t="str">
        <f>HYPERLINK("https://www.compass.com/building/the-dorilton-manhattan-ny/281957966226201221/","The Dorilton")</f>
        <v>The Dorilton</v>
      </c>
      <c r="F4551" s="25" t="s">
        <v>29</v>
      </c>
      <c r="G4551" s="28">
        <v>1499000.0</v>
      </c>
      <c r="H4551" s="28">
        <v>1090.0</v>
      </c>
      <c r="I4551" s="28">
        <v>2761.0</v>
      </c>
      <c r="J4551" s="29"/>
      <c r="K4551" s="25" t="s">
        <v>25</v>
      </c>
      <c r="L4551" s="26">
        <v>5.0</v>
      </c>
      <c r="M4551" s="26">
        <v>2.0</v>
      </c>
      <c r="N4551" s="26">
        <v>0.0</v>
      </c>
      <c r="O4551" s="26">
        <v>0.0</v>
      </c>
      <c r="P4551" s="34">
        <v>1375.0</v>
      </c>
      <c r="Q4551" s="35">
        <v>259.0</v>
      </c>
      <c r="R4551" s="32">
        <v>45636.0</v>
      </c>
      <c r="S4551" s="32">
        <v>41652.0</v>
      </c>
      <c r="T4551" s="29"/>
      <c r="U4551" s="33"/>
      <c r="V4551" s="1"/>
    </row>
    <row r="4552" ht="24.0" customHeight="1">
      <c r="A4552" s="1"/>
      <c r="B4552" s="24" t="str">
        <f>HYPERLINK("https://www.compass.com/listing/212-west-18th-street-unit-10b-manhattan-ny-10011/1809619954928906377/view?agent_id=610d3f3370540700019b0833","212 West 18th Street, Unit 10B")</f>
        <v>212 West 18th Street, Unit 10B</v>
      </c>
      <c r="C4552" s="25" t="s">
        <v>364</v>
      </c>
      <c r="D4552" s="26" t="s">
        <v>23</v>
      </c>
      <c r="E4552" s="27" t="str">
        <f t="shared" ref="E4552:E4554" si="197">HYPERLINK("https://www.compass.com/building/walker-tower-manhattan-ny/292801735825582245/","Walker Tower")</f>
        <v>Walker Tower</v>
      </c>
      <c r="F4552" s="25" t="s">
        <v>27</v>
      </c>
      <c r="G4552" s="28">
        <v>9250000.0</v>
      </c>
      <c r="H4552" s="28">
        <v>3872.0</v>
      </c>
      <c r="I4552" s="28">
        <v>4717.0</v>
      </c>
      <c r="J4552" s="28">
        <v>27228.0</v>
      </c>
      <c r="K4552" s="25" t="s">
        <v>28</v>
      </c>
      <c r="L4552" s="26">
        <v>5.0</v>
      </c>
      <c r="M4552" s="26">
        <v>2.0</v>
      </c>
      <c r="N4552" s="26">
        <v>0.0</v>
      </c>
      <c r="O4552" s="26">
        <v>0.0</v>
      </c>
      <c r="P4552" s="34">
        <v>2389.0</v>
      </c>
      <c r="Q4552" s="31"/>
      <c r="R4552" s="32">
        <v>44581.0</v>
      </c>
      <c r="S4552" s="33"/>
      <c r="T4552" s="29"/>
      <c r="U4552" s="33"/>
      <c r="V4552" s="1"/>
    </row>
    <row r="4553" ht="24.0" customHeight="1">
      <c r="A4553" s="1"/>
      <c r="B4553" s="24" t="str">
        <f>HYPERLINK("https://www.compass.com/listing/212-west-18th-street-unit-ph4-manhattan-ny-10011/826839230125057105/view?agent_id=610d3f3370540700019b0833","212 West 18th Street, Unit PH4")</f>
        <v>212 West 18th Street, Unit PH4</v>
      </c>
      <c r="C4553" s="25" t="s">
        <v>364</v>
      </c>
      <c r="D4553" s="26" t="s">
        <v>23</v>
      </c>
      <c r="E4553" s="27" t="str">
        <f t="shared" si="197"/>
        <v>Walker Tower</v>
      </c>
      <c r="F4553" s="25" t="s">
        <v>27</v>
      </c>
      <c r="G4553" s="28">
        <v>1.2895E7</v>
      </c>
      <c r="H4553" s="28">
        <v>5006.0</v>
      </c>
      <c r="I4553" s="28">
        <v>4634.0</v>
      </c>
      <c r="J4553" s="28">
        <v>26748.0</v>
      </c>
      <c r="K4553" s="25" t="s">
        <v>28</v>
      </c>
      <c r="L4553" s="26">
        <v>4.0</v>
      </c>
      <c r="M4553" s="26">
        <v>2.0</v>
      </c>
      <c r="N4553" s="26">
        <v>0.0</v>
      </c>
      <c r="O4553" s="26">
        <v>1.0</v>
      </c>
      <c r="P4553" s="34">
        <v>2576.0</v>
      </c>
      <c r="Q4553" s="31"/>
      <c r="R4553" s="32">
        <v>44581.0</v>
      </c>
      <c r="S4553" s="33"/>
      <c r="T4553" s="29"/>
      <c r="U4553" s="33"/>
      <c r="V4553" s="1"/>
    </row>
    <row r="4554" ht="24.0" customHeight="1">
      <c r="A4554" s="1"/>
      <c r="B4554" s="24" t="str">
        <f>HYPERLINK("https://www.compass.com/listing/212-west-18th-street-unit-18c-manhattan-ny-10011/923584692204455193/view?agent_id=610d3f3370540700019b0833","212 West 18th Street, Unit 18C")</f>
        <v>212 West 18th Street, Unit 18C</v>
      </c>
      <c r="C4554" s="25" t="s">
        <v>364</v>
      </c>
      <c r="D4554" s="26" t="s">
        <v>23</v>
      </c>
      <c r="E4554" s="27" t="str">
        <f t="shared" si="197"/>
        <v>Walker Tower</v>
      </c>
      <c r="F4554" s="25" t="s">
        <v>27</v>
      </c>
      <c r="G4554" s="28">
        <v>7400000.0</v>
      </c>
      <c r="H4554" s="28">
        <v>3517.0</v>
      </c>
      <c r="I4554" s="28">
        <v>3830.0</v>
      </c>
      <c r="J4554" s="28">
        <v>22104.0</v>
      </c>
      <c r="K4554" s="25" t="s">
        <v>28</v>
      </c>
      <c r="L4554" s="26">
        <v>4.0</v>
      </c>
      <c r="M4554" s="26">
        <v>2.0</v>
      </c>
      <c r="N4554" s="26">
        <v>0.0</v>
      </c>
      <c r="O4554" s="26">
        <v>1.0</v>
      </c>
      <c r="P4554" s="34">
        <v>2104.0</v>
      </c>
      <c r="Q4554" s="31"/>
      <c r="R4554" s="32">
        <v>44581.0</v>
      </c>
      <c r="S4554" s="33"/>
      <c r="T4554" s="29"/>
      <c r="U4554" s="33"/>
      <c r="V4554" s="1"/>
    </row>
    <row r="4555" ht="24.0" customHeight="1">
      <c r="A4555" s="1"/>
      <c r="B4555" s="24" t="str">
        <f>HYPERLINK("https://www.compass.com/listing/547-549-east-12th-street-unit-3c-manhattan-ny-10009/1511492226477834569/view?agent_id=610d3f3370540700019b0833","547-549 East 12th Street, Unit 3C")</f>
        <v>547-549 East 12th Street, Unit 3C</v>
      </c>
      <c r="C4555" s="25" t="s">
        <v>364</v>
      </c>
      <c r="D4555" s="26" t="s">
        <v>23</v>
      </c>
      <c r="E4555" s="27" t="str">
        <f>HYPERLINK("https://www.compass.com/building/547-549-e-12th-st-manhattan-ny-10009/567450259443816429/","547-549 E 12th St")</f>
        <v>547-549 E 12th St</v>
      </c>
      <c r="F4555" s="25" t="s">
        <v>24</v>
      </c>
      <c r="G4555" s="28">
        <v>660000.0</v>
      </c>
      <c r="H4555" s="29"/>
      <c r="I4555" s="28">
        <v>362.0</v>
      </c>
      <c r="J4555" s="29"/>
      <c r="K4555" s="25" t="s">
        <v>25</v>
      </c>
      <c r="L4555" s="26">
        <v>4.0</v>
      </c>
      <c r="M4555" s="26">
        <v>2.0</v>
      </c>
      <c r="N4555" s="30"/>
      <c r="O4555" s="30"/>
      <c r="P4555" s="30"/>
      <c r="Q4555" s="35">
        <v>14.0</v>
      </c>
      <c r="R4555" s="32">
        <v>44686.0</v>
      </c>
      <c r="S4555" s="32">
        <v>44673.0</v>
      </c>
      <c r="T4555" s="29"/>
      <c r="U4555" s="33"/>
      <c r="V4555" s="1"/>
    </row>
    <row r="4556" ht="24.0" customHeight="1">
      <c r="A4556" s="1"/>
      <c r="B4556" s="24" t="str">
        <f>HYPERLINK("https://www.compass.com/listing/157-east-2nd-street-unit-5-3-manhattan-ny-10009/170540436392275089/view?agent_id=610d3f3370540700019b0833","157 East 2nd Street, Unit 5/3")</f>
        <v>157 East 2nd Street, Unit 5/3</v>
      </c>
      <c r="C4556" s="25" t="s">
        <v>364</v>
      </c>
      <c r="D4556" s="26" t="s">
        <v>23</v>
      </c>
      <c r="E4556" s="27" t="str">
        <f>HYPERLINK("https://www.compass.com/building/157-e-2nd-st-manhattan-ny-10009/567618818002327957/","157 E 2nd St")</f>
        <v>157 E 2nd St</v>
      </c>
      <c r="F4556" s="25" t="s">
        <v>24</v>
      </c>
      <c r="G4556" s="28">
        <v>799000.0</v>
      </c>
      <c r="H4556" s="29"/>
      <c r="I4556" s="28">
        <v>350.0</v>
      </c>
      <c r="J4556" s="28">
        <v>0.0</v>
      </c>
      <c r="K4556" s="25" t="s">
        <v>25</v>
      </c>
      <c r="L4556" s="26">
        <v>3.0</v>
      </c>
      <c r="M4556" s="26">
        <v>2.0</v>
      </c>
      <c r="N4556" s="30"/>
      <c r="O4556" s="30"/>
      <c r="P4556" s="30"/>
      <c r="Q4556" s="35">
        <v>179.0</v>
      </c>
      <c r="R4556" s="32">
        <v>43666.0</v>
      </c>
      <c r="S4556" s="32">
        <v>43487.0</v>
      </c>
      <c r="T4556" s="29"/>
      <c r="U4556" s="33"/>
      <c r="V4556" s="1"/>
    </row>
    <row r="4557" ht="24.0" customHeight="1">
      <c r="A4557" s="1"/>
      <c r="B4557" s="24" t="str">
        <f>HYPERLINK("https://www.compass.com/listing/178-180-east-2nd-street-unit-3a-manhattan-ny-10009/502221656625132257/view?agent_id=610d3f3370540700019b0833","178-180 East 2nd Street, Unit 3A")</f>
        <v>178-180 East 2nd Street, Unit 3A</v>
      </c>
      <c r="C4557" s="25" t="s">
        <v>364</v>
      </c>
      <c r="D4557" s="26" t="s">
        <v>23</v>
      </c>
      <c r="E4557" s="27" t="str">
        <f>HYPERLINK("https://www.compass.com/building/178-180-e-2nd-st-manhattan-ny-10009/294836298795616485/","178-180 E 2nd St")</f>
        <v>178-180 E 2nd St</v>
      </c>
      <c r="F4557" s="25" t="s">
        <v>24</v>
      </c>
      <c r="G4557" s="28">
        <v>999000.0</v>
      </c>
      <c r="H4557" s="28">
        <v>1265.0</v>
      </c>
      <c r="I4557" s="28">
        <v>1391.0</v>
      </c>
      <c r="J4557" s="28">
        <v>9000.0</v>
      </c>
      <c r="K4557" s="25" t="s">
        <v>28</v>
      </c>
      <c r="L4557" s="26">
        <v>4.0</v>
      </c>
      <c r="M4557" s="26">
        <v>2.0</v>
      </c>
      <c r="N4557" s="30"/>
      <c r="O4557" s="30"/>
      <c r="P4557" s="26">
        <v>790.0</v>
      </c>
      <c r="Q4557" s="35">
        <v>50.0</v>
      </c>
      <c r="R4557" s="32">
        <v>41640.0</v>
      </c>
      <c r="S4557" s="32">
        <v>42446.0</v>
      </c>
      <c r="T4557" s="29"/>
      <c r="U4557" s="33"/>
      <c r="V4557" s="1"/>
    </row>
    <row r="4558" ht="24.0" customHeight="1">
      <c r="A4558" s="1"/>
      <c r="B4558" s="24" t="str">
        <f>HYPERLINK("https://www.compass.com/listing/250-west-16th-street-unit-1h-manhattan-ny-10011/278800260350996321/view?agent_id=610d3f3370540700019b0833","250 West 16th Street, Unit 1H")</f>
        <v>250 West 16th Street, Unit 1H</v>
      </c>
      <c r="C4558" s="25" t="s">
        <v>364</v>
      </c>
      <c r="D4558" s="26" t="s">
        <v>23</v>
      </c>
      <c r="E4558" s="27" t="str">
        <f>HYPERLINK("https://www.compass.com/building/250-w-16th-st-manhattan-ny-10011/292803072139226981/","250 W 16th St")</f>
        <v>250 W 16th St</v>
      </c>
      <c r="F4558" s="25" t="s">
        <v>27</v>
      </c>
      <c r="G4558" s="28">
        <v>1150000.0</v>
      </c>
      <c r="H4558" s="28">
        <v>1278.0</v>
      </c>
      <c r="I4558" s="28">
        <v>1524.0</v>
      </c>
      <c r="J4558" s="29"/>
      <c r="K4558" s="25" t="s">
        <v>25</v>
      </c>
      <c r="L4558" s="26">
        <v>4.0</v>
      </c>
      <c r="M4558" s="26">
        <v>2.0</v>
      </c>
      <c r="N4558" s="26">
        <v>1.0</v>
      </c>
      <c r="O4558" s="26">
        <v>0.0</v>
      </c>
      <c r="P4558" s="26">
        <v>900.0</v>
      </c>
      <c r="Q4558" s="35">
        <v>31.0</v>
      </c>
      <c r="R4558" s="32">
        <v>45636.0</v>
      </c>
      <c r="S4558" s="32">
        <v>41708.0</v>
      </c>
      <c r="T4558" s="29"/>
      <c r="U4558" s="33"/>
      <c r="V4558" s="1"/>
    </row>
    <row r="4559" ht="24.0" customHeight="1">
      <c r="A4559" s="1"/>
      <c r="B4559" s="24" t="str">
        <f>HYPERLINK("https://www.compass.com/listing/161-west-75th-street-unit-10j-manhattan-ny-10023/1129908802866778281/view?agent_id=610d3f3370540700019b0833","161 West 75th Street, Unit 10J")</f>
        <v>161 West 75th Street, Unit 10J</v>
      </c>
      <c r="C4559" s="25" t="s">
        <v>370</v>
      </c>
      <c r="D4559" s="26" t="s">
        <v>23</v>
      </c>
      <c r="E4559" s="27" t="str">
        <f>HYPERLINK("https://www.compass.com/building/161-w-75th-st-manhattan-ny-10023/281957825029152821/","161 W 75th St")</f>
        <v>161 W 75th St</v>
      </c>
      <c r="F4559" s="25" t="s">
        <v>29</v>
      </c>
      <c r="G4559" s="28">
        <v>1595000.0</v>
      </c>
      <c r="H4559" s="29"/>
      <c r="I4559" s="28">
        <v>2397.0</v>
      </c>
      <c r="J4559" s="29"/>
      <c r="K4559" s="25" t="s">
        <v>25</v>
      </c>
      <c r="L4559" s="26">
        <v>4.0</v>
      </c>
      <c r="M4559" s="26">
        <v>2.0</v>
      </c>
      <c r="N4559" s="26">
        <v>1.0</v>
      </c>
      <c r="O4559" s="26">
        <v>0.0</v>
      </c>
      <c r="P4559" s="30"/>
      <c r="Q4559" s="35">
        <v>77.0</v>
      </c>
      <c r="R4559" s="32">
        <v>45636.0</v>
      </c>
      <c r="S4559" s="32">
        <v>44819.0</v>
      </c>
      <c r="T4559" s="29"/>
      <c r="U4559" s="33"/>
      <c r="V4559" s="1"/>
    </row>
    <row r="4560" ht="24.0" customHeight="1">
      <c r="A4560" s="1"/>
      <c r="B4560" s="24" t="str">
        <f>HYPERLINK("https://www.compass.com/listing/85-west-broadway-unit-11w-manhattan-ny-10007/181568315427154193/view?agent_id=610d3f3370540700019b0833","85 West Broadway, Unit 11W")</f>
        <v>85 West Broadway, Unit 11W</v>
      </c>
      <c r="C4560" s="25" t="s">
        <v>370</v>
      </c>
      <c r="D4560" s="26" t="s">
        <v>23</v>
      </c>
      <c r="E4560" s="27" t="str">
        <f>HYPERLINK("https://www.compass.com/building/smyth-tribeca-manhattan-ny/281897206967969253/","Smyth Tribeca")</f>
        <v>Smyth Tribeca</v>
      </c>
      <c r="F4560" s="25" t="s">
        <v>60</v>
      </c>
      <c r="G4560" s="28">
        <v>2750000.0</v>
      </c>
      <c r="H4560" s="28">
        <v>2634.0</v>
      </c>
      <c r="I4560" s="28">
        <v>2030.0</v>
      </c>
      <c r="J4560" s="28">
        <v>5988.0</v>
      </c>
      <c r="K4560" s="25" t="s">
        <v>28</v>
      </c>
      <c r="L4560" s="26">
        <v>4.0</v>
      </c>
      <c r="M4560" s="26">
        <v>2.0</v>
      </c>
      <c r="N4560" s="26">
        <v>0.0</v>
      </c>
      <c r="O4560" s="26">
        <v>0.0</v>
      </c>
      <c r="P4560" s="34">
        <v>1044.0</v>
      </c>
      <c r="Q4560" s="35">
        <v>36.0</v>
      </c>
      <c r="R4560" s="32">
        <v>45636.0</v>
      </c>
      <c r="S4560" s="32">
        <v>41851.0</v>
      </c>
      <c r="T4560" s="29"/>
      <c r="U4560" s="33"/>
      <c r="V4560" s="1"/>
    </row>
    <row r="4561" ht="24.0" customHeight="1">
      <c r="A4561" s="1"/>
      <c r="B4561" s="24" t="str">
        <f>HYPERLINK("https://www.compass.com/listing/255-west-23rd-street-unit-4he-manhattan-ny-10011/1277740714272457545/view?agent_id=610d3f3370540700019b0833","255 West 23rd Street, Unit 4HE")</f>
        <v>255 West 23rd Street, Unit 4HE</v>
      </c>
      <c r="C4561" s="25" t="s">
        <v>364</v>
      </c>
      <c r="D4561" s="26" t="s">
        <v>23</v>
      </c>
      <c r="E4561" s="27" t="str">
        <f>HYPERLINK("https://www.compass.com/building/255-w-23rd-st-manhattan-ny-10011/281908028674956517/","255 W 23rd St")</f>
        <v>255 W 23rd St</v>
      </c>
      <c r="F4561" s="25" t="s">
        <v>27</v>
      </c>
      <c r="G4561" s="28">
        <v>1299000.0</v>
      </c>
      <c r="H4561" s="29"/>
      <c r="I4561" s="28">
        <v>2055.0</v>
      </c>
      <c r="J4561" s="28">
        <v>0.0</v>
      </c>
      <c r="K4561" s="25" t="s">
        <v>25</v>
      </c>
      <c r="L4561" s="26">
        <v>4.0</v>
      </c>
      <c r="M4561" s="26">
        <v>2.0</v>
      </c>
      <c r="N4561" s="26">
        <v>1.0</v>
      </c>
      <c r="O4561" s="26">
        <v>0.0</v>
      </c>
      <c r="P4561" s="30"/>
      <c r="Q4561" s="35">
        <v>537.0</v>
      </c>
      <c r="R4561" s="32">
        <v>45695.0</v>
      </c>
      <c r="S4561" s="32">
        <v>45014.0</v>
      </c>
      <c r="T4561" s="29"/>
      <c r="U4561" s="33"/>
      <c r="V4561" s="1"/>
    </row>
    <row r="4562" ht="24.0" customHeight="1">
      <c r="A4562" s="1"/>
      <c r="B4562" s="24" t="str">
        <f>HYPERLINK("https://www.compass.com/listing/151-west-74th-street-unit-4a-manhattan-ny-10023/920989219526308561/view?agent_id=610d3f3370540700019b0833","151 West 74th Street, Unit 4A")</f>
        <v>151 West 74th Street, Unit 4A</v>
      </c>
      <c r="C4562" s="25" t="s">
        <v>370</v>
      </c>
      <c r="D4562" s="26" t="s">
        <v>23</v>
      </c>
      <c r="E4562" s="27" t="str">
        <f>HYPERLINK("https://www.compass.com/building/151-w-74th-st-manhattan-ny-10023/281957431091730613/","151 W 74th St")</f>
        <v>151 W 74th St</v>
      </c>
      <c r="F4562" s="25" t="s">
        <v>29</v>
      </c>
      <c r="G4562" s="28">
        <v>1570000.0</v>
      </c>
      <c r="H4562" s="28">
        <v>1208.0</v>
      </c>
      <c r="I4562" s="28">
        <v>2222.0</v>
      </c>
      <c r="J4562" s="29"/>
      <c r="K4562" s="25" t="s">
        <v>25</v>
      </c>
      <c r="L4562" s="26">
        <v>5.0</v>
      </c>
      <c r="M4562" s="26">
        <v>2.0</v>
      </c>
      <c r="N4562" s="26">
        <v>0.0</v>
      </c>
      <c r="O4562" s="26">
        <v>0.0</v>
      </c>
      <c r="P4562" s="34">
        <v>1300.0</v>
      </c>
      <c r="Q4562" s="35">
        <v>132.0</v>
      </c>
      <c r="R4562" s="32">
        <v>45636.0</v>
      </c>
      <c r="S4562" s="32">
        <v>43217.0</v>
      </c>
      <c r="T4562" s="29"/>
      <c r="U4562" s="33"/>
      <c r="V4562" s="1"/>
    </row>
    <row r="4563" ht="24.0" customHeight="1">
      <c r="A4563" s="1"/>
      <c r="B4563" s="24" t="str">
        <f>HYPERLINK("https://www.compass.com/listing/34-west-13th-street-unit-4-manhattan-ny-10011/1838914556135317561/view?agent_id=610d3f3370540700019b0833","34 West 13th Street, Unit 4")</f>
        <v>34 West 13th Street, Unit 4</v>
      </c>
      <c r="C4563" s="25" t="s">
        <v>364</v>
      </c>
      <c r="D4563" s="26" t="s">
        <v>23</v>
      </c>
      <c r="E4563" s="27" t="str">
        <f t="shared" ref="E4563:E4564" si="198">HYPERLINK("https://www.compass.com/building/34-w-13th-st-manhattan-ny-10011/282064738576273125/","34 W 13th St")</f>
        <v>34 W 13th St</v>
      </c>
      <c r="F4563" s="25" t="s">
        <v>43</v>
      </c>
      <c r="G4563" s="28">
        <v>4450000.0</v>
      </c>
      <c r="H4563" s="29"/>
      <c r="I4563" s="28">
        <v>4201.0</v>
      </c>
      <c r="J4563" s="29"/>
      <c r="K4563" s="25" t="s">
        <v>25</v>
      </c>
      <c r="L4563" s="26">
        <v>5.0</v>
      </c>
      <c r="M4563" s="26">
        <v>2.0</v>
      </c>
      <c r="N4563" s="26">
        <v>0.0</v>
      </c>
      <c r="O4563" s="26">
        <v>0.0</v>
      </c>
      <c r="P4563" s="30"/>
      <c r="Q4563" s="35">
        <v>773.0</v>
      </c>
      <c r="R4563" s="32">
        <v>45636.0</v>
      </c>
      <c r="S4563" s="32">
        <v>42265.0</v>
      </c>
      <c r="T4563" s="29"/>
      <c r="U4563" s="33"/>
      <c r="V4563" s="1"/>
    </row>
    <row r="4564" ht="24.0" customHeight="1">
      <c r="A4564" s="1"/>
      <c r="B4564" s="24" t="str">
        <f>HYPERLINK("https://www.compass.com/listing/34-west-13th-street-unit-4-manhattan-ny-10011/921946913985097641/view?agent_id=610d3f3370540700019b0833","34 West 13th Street, Unit 4")</f>
        <v>34 West 13th Street, Unit 4</v>
      </c>
      <c r="C4564" s="25" t="s">
        <v>364</v>
      </c>
      <c r="D4564" s="26" t="s">
        <v>23</v>
      </c>
      <c r="E4564" s="27" t="str">
        <f t="shared" si="198"/>
        <v>34 W 13th St</v>
      </c>
      <c r="F4564" s="25" t="s">
        <v>43</v>
      </c>
      <c r="G4564" s="28">
        <v>4450000.0</v>
      </c>
      <c r="H4564" s="29"/>
      <c r="I4564" s="28">
        <v>4201.0</v>
      </c>
      <c r="J4564" s="29"/>
      <c r="K4564" s="25" t="s">
        <v>25</v>
      </c>
      <c r="L4564" s="26">
        <v>5.0</v>
      </c>
      <c r="M4564" s="26">
        <v>2.0</v>
      </c>
      <c r="N4564" s="26">
        <v>0.0</v>
      </c>
      <c r="O4564" s="26">
        <v>1.0</v>
      </c>
      <c r="P4564" s="30"/>
      <c r="Q4564" s="35">
        <v>0.0</v>
      </c>
      <c r="R4564" s="32">
        <v>44581.0</v>
      </c>
      <c r="S4564" s="32">
        <v>43180.0</v>
      </c>
      <c r="T4564" s="29"/>
      <c r="U4564" s="33"/>
      <c r="V4564" s="1"/>
    </row>
    <row r="4565" ht="24.0" customHeight="1">
      <c r="A4565" s="1"/>
      <c r="B4565" s="24" t="str">
        <f>HYPERLINK("https://www.compass.com/listing/246-west-end-avenue-unit-grg-manhattan-ny-10023/1809600841443575849/view?agent_id=610d3f3370540700019b0833","246 West End Avenue, Unit GRG")</f>
        <v>246 West End Avenue, Unit GRG</v>
      </c>
      <c r="C4565" s="25" t="s">
        <v>364</v>
      </c>
      <c r="D4565" s="26" t="s">
        <v>23</v>
      </c>
      <c r="E4565" s="27" t="str">
        <f>HYPERLINK("https://www.compass.com/building/howard-house-manhattan-ny/281958905112765493/","Howard House")</f>
        <v>Howard House</v>
      </c>
      <c r="F4565" s="25" t="s">
        <v>29</v>
      </c>
      <c r="G4565" s="28">
        <v>1200000.0</v>
      </c>
      <c r="H4565" s="29"/>
      <c r="I4565" s="28">
        <v>1672.0</v>
      </c>
      <c r="J4565" s="29"/>
      <c r="K4565" s="25" t="s">
        <v>25</v>
      </c>
      <c r="L4565" s="26">
        <v>4.0</v>
      </c>
      <c r="M4565" s="26">
        <v>2.0</v>
      </c>
      <c r="N4565" s="26">
        <v>1.0</v>
      </c>
      <c r="O4565" s="26">
        <v>0.0</v>
      </c>
      <c r="P4565" s="30"/>
      <c r="Q4565" s="35">
        <v>76.0</v>
      </c>
      <c r="R4565" s="32">
        <v>45636.0</v>
      </c>
      <c r="S4565" s="32">
        <v>44371.0</v>
      </c>
      <c r="T4565" s="29"/>
      <c r="U4565" s="33"/>
      <c r="V4565" s="1"/>
    </row>
    <row r="4566" ht="24.0" customHeight="1">
      <c r="A4566" s="1"/>
      <c r="B4566" s="24" t="str">
        <f>HYPERLINK("https://www.compass.com/listing/101-west-12th-street-unit-4v-manhattan-ny-10011/1786837800294504097/view?agent_id=610d3f3370540700019b0833","101 W 12th St, Unit 4V")</f>
        <v>101 W 12th St, Unit 4V</v>
      </c>
      <c r="C4566" s="25" t="s">
        <v>364</v>
      </c>
      <c r="D4566" s="26" t="s">
        <v>23</v>
      </c>
      <c r="E4566" s="27" t="str">
        <f>HYPERLINK("https://www.compass.com/building/the-john-adams-manhattan-ny/281904092027046869/","The John Adams")</f>
        <v>The John Adams</v>
      </c>
      <c r="F4566" s="25" t="s">
        <v>26</v>
      </c>
      <c r="G4566" s="28">
        <v>1200000.0</v>
      </c>
      <c r="H4566" s="28">
        <v>1412.0</v>
      </c>
      <c r="I4566" s="28">
        <v>1149.0</v>
      </c>
      <c r="J4566" s="28">
        <v>0.0</v>
      </c>
      <c r="K4566" s="25" t="s">
        <v>25</v>
      </c>
      <c r="L4566" s="26">
        <v>4.0</v>
      </c>
      <c r="M4566" s="26">
        <v>2.0</v>
      </c>
      <c r="N4566" s="26">
        <v>1.0</v>
      </c>
      <c r="O4566" s="30"/>
      <c r="P4566" s="26">
        <v>850.0</v>
      </c>
      <c r="Q4566" s="35">
        <v>4.0</v>
      </c>
      <c r="R4566" s="32">
        <v>42013.0</v>
      </c>
      <c r="S4566" s="32">
        <v>42009.0</v>
      </c>
      <c r="T4566" s="29"/>
      <c r="U4566" s="33"/>
      <c r="V4566" s="1"/>
    </row>
    <row r="4567" ht="24.0" customHeight="1">
      <c r="A4567" s="1"/>
      <c r="B4567" s="24" t="str">
        <f>HYPERLINK("https://www.compass.com/listing/34-gramercy-park-east-unit-9af-manhattan-ny-10003/1129761843178577849/view?agent_id=610d3f3370540700019b0833","34 Gramercy Park East, Unit 9AF")</f>
        <v>34 Gramercy Park East, Unit 9AF</v>
      </c>
      <c r="C4567" s="25" t="s">
        <v>364</v>
      </c>
      <c r="D4567" s="26" t="s">
        <v>23</v>
      </c>
      <c r="E4567" s="27" t="str">
        <f>HYPERLINK("https://www.compass.com/building/the-gramercy-manhattan-ny/281893035917186949/","The Gramercy")</f>
        <v>The Gramercy</v>
      </c>
      <c r="F4567" s="25" t="s">
        <v>48</v>
      </c>
      <c r="G4567" s="28">
        <v>2650000.0</v>
      </c>
      <c r="H4567" s="29"/>
      <c r="I4567" s="28">
        <v>4043.0</v>
      </c>
      <c r="J4567" s="29"/>
      <c r="K4567" s="25" t="s">
        <v>25</v>
      </c>
      <c r="L4567" s="26">
        <v>5.0</v>
      </c>
      <c r="M4567" s="26">
        <v>2.0</v>
      </c>
      <c r="N4567" s="26">
        <v>1.0</v>
      </c>
      <c r="O4567" s="26">
        <v>0.0</v>
      </c>
      <c r="P4567" s="30"/>
      <c r="Q4567" s="35">
        <v>301.0</v>
      </c>
      <c r="R4567" s="32">
        <v>45636.0</v>
      </c>
      <c r="S4567" s="32">
        <v>44810.0</v>
      </c>
      <c r="T4567" s="29"/>
      <c r="U4567" s="33"/>
      <c r="V4567" s="1"/>
    </row>
    <row r="4568" ht="24.0" customHeight="1">
      <c r="A4568" s="1"/>
      <c r="B4568" s="24" t="str">
        <f>HYPERLINK("https://www.compass.com/listing/234-west-21st-street-unit-55-manhattan-ny-10011/1299327823717042169/view?agent_id=610d3f3370540700019b0833","234 West 21st Street, Unit 55")</f>
        <v>234 West 21st Street, Unit 55</v>
      </c>
      <c r="C4568" s="25" t="s">
        <v>364</v>
      </c>
      <c r="D4568" s="26" t="s">
        <v>23</v>
      </c>
      <c r="E4568" s="27" t="str">
        <f>HYPERLINK("https://www.compass.com/building/234-west-21st-street-manhattan-ny/281907472074035573/","234 West 21st Street")</f>
        <v>234 West 21st Street</v>
      </c>
      <c r="F4568" s="25" t="s">
        <v>27</v>
      </c>
      <c r="G4568" s="28">
        <v>1200000.0</v>
      </c>
      <c r="H4568" s="29"/>
      <c r="I4568" s="28">
        <v>1178.0</v>
      </c>
      <c r="J4568" s="29"/>
      <c r="K4568" s="25" t="s">
        <v>25</v>
      </c>
      <c r="L4568" s="26">
        <v>4.0</v>
      </c>
      <c r="M4568" s="26">
        <v>2.0</v>
      </c>
      <c r="N4568" s="26">
        <v>1.0</v>
      </c>
      <c r="O4568" s="26">
        <v>0.0</v>
      </c>
      <c r="P4568" s="30"/>
      <c r="Q4568" s="35">
        <v>103.0</v>
      </c>
      <c r="R4568" s="32">
        <v>45148.0</v>
      </c>
      <c r="S4568" s="32">
        <v>45044.0</v>
      </c>
      <c r="T4568" s="29"/>
      <c r="U4568" s="33"/>
      <c r="V4568" s="1"/>
    </row>
    <row r="4569" ht="24.0" customHeight="1">
      <c r="A4569" s="1"/>
      <c r="B4569" s="24" t="str">
        <f>HYPERLINK("https://www.compass.com/listing/41-5th-avenue-unit-9e-manhattan-ny-10003/1831311478655483433/view?agent_id=610d3f3370540700019b0833","41 5th Ave, Unit 9E")</f>
        <v>41 5th Ave, Unit 9E</v>
      </c>
      <c r="C4569" s="25" t="s">
        <v>370</v>
      </c>
      <c r="D4569" s="26" t="s">
        <v>23</v>
      </c>
      <c r="E4569" s="27" t="str">
        <f t="shared" ref="E4569:E4571" si="199">HYPERLINK("https://www.compass.com/building/41-5th-ave-manhattan-ny-10003/281893535299412485/","41 5th Ave")</f>
        <v>41 5th Ave</v>
      </c>
      <c r="F4569" s="25" t="s">
        <v>43</v>
      </c>
      <c r="G4569" s="28">
        <v>1650000.0</v>
      </c>
      <c r="H4569" s="29"/>
      <c r="I4569" s="28">
        <v>2007.0</v>
      </c>
      <c r="J4569" s="28">
        <v>0.0</v>
      </c>
      <c r="K4569" s="25" t="s">
        <v>25</v>
      </c>
      <c r="L4569" s="26">
        <v>4.0</v>
      </c>
      <c r="M4569" s="26">
        <v>2.0</v>
      </c>
      <c r="N4569" s="30"/>
      <c r="O4569" s="30"/>
      <c r="P4569" s="30"/>
      <c r="Q4569" s="31"/>
      <c r="R4569" s="32">
        <v>41538.0</v>
      </c>
      <c r="S4569" s="33"/>
      <c r="T4569" s="29"/>
      <c r="U4569" s="33"/>
      <c r="V4569" s="1"/>
    </row>
    <row r="4570" ht="24.0" customHeight="1">
      <c r="A4570" s="1"/>
      <c r="B4570" s="24" t="str">
        <f>HYPERLINK("https://www.compass.com/listing/41-5th-avenue-unit-7e-manhattan-ny-10003/4703691819345531233/view?agent_id=610d3f3370540700019b0833","41 5th Ave, Unit 7E")</f>
        <v>41 5th Ave, Unit 7E</v>
      </c>
      <c r="C4570" s="25" t="s">
        <v>364</v>
      </c>
      <c r="D4570" s="26" t="s">
        <v>23</v>
      </c>
      <c r="E4570" s="27" t="str">
        <f t="shared" si="199"/>
        <v>41 5th Ave</v>
      </c>
      <c r="F4570" s="25" t="s">
        <v>43</v>
      </c>
      <c r="G4570" s="28">
        <v>1450000.0</v>
      </c>
      <c r="H4570" s="28">
        <v>1450.0</v>
      </c>
      <c r="I4570" s="28">
        <v>1807.0</v>
      </c>
      <c r="J4570" s="29"/>
      <c r="K4570" s="25" t="s">
        <v>25</v>
      </c>
      <c r="L4570" s="26">
        <v>4.0</v>
      </c>
      <c r="M4570" s="26">
        <v>2.0</v>
      </c>
      <c r="N4570" s="30"/>
      <c r="O4570" s="30"/>
      <c r="P4570" s="34">
        <v>1000.0</v>
      </c>
      <c r="Q4570" s="35">
        <v>14.0</v>
      </c>
      <c r="R4570" s="32">
        <v>42476.0</v>
      </c>
      <c r="S4570" s="32">
        <v>38663.0</v>
      </c>
      <c r="T4570" s="29"/>
      <c r="U4570" s="33"/>
      <c r="V4570" s="1"/>
    </row>
    <row r="4571" ht="24.0" customHeight="1">
      <c r="A4571" s="1"/>
      <c r="B4571" s="24" t="str">
        <f>HYPERLINK("https://www.compass.com/listing/41-5th-avenue-unit-9e-manhattan-ny-10003/4852305886888079889/view?agent_id=610d3f3370540700019b0833","41 5th Avenue, Unit 9E")</f>
        <v>41 5th Avenue, Unit 9E</v>
      </c>
      <c r="C4571" s="25" t="s">
        <v>370</v>
      </c>
      <c r="D4571" s="26" t="s">
        <v>23</v>
      </c>
      <c r="E4571" s="27" t="str">
        <f t="shared" si="199"/>
        <v>41 5th Ave</v>
      </c>
      <c r="F4571" s="25" t="s">
        <v>43</v>
      </c>
      <c r="G4571" s="28">
        <v>1650000.0</v>
      </c>
      <c r="H4571" s="29"/>
      <c r="I4571" s="28">
        <v>2007.0</v>
      </c>
      <c r="J4571" s="29"/>
      <c r="K4571" s="25" t="s">
        <v>25</v>
      </c>
      <c r="L4571" s="26">
        <v>4.0</v>
      </c>
      <c r="M4571" s="26">
        <v>2.0</v>
      </c>
      <c r="N4571" s="26">
        <v>0.0</v>
      </c>
      <c r="O4571" s="26">
        <v>0.0</v>
      </c>
      <c r="P4571" s="30"/>
      <c r="Q4571" s="35">
        <v>0.0</v>
      </c>
      <c r="R4571" s="32">
        <v>44581.0</v>
      </c>
      <c r="S4571" s="32">
        <v>41538.0</v>
      </c>
      <c r="T4571" s="29"/>
      <c r="U4571" s="33"/>
      <c r="V4571" s="1"/>
    </row>
    <row r="4572" ht="24.0" customHeight="1">
      <c r="A4572" s="1"/>
      <c r="B4572" s="24" t="str">
        <f>HYPERLINK("https://www.compass.com/listing/200-chambers-street-unit-28e-manhattan-ny-10007/70911396484833281/view?agent_id=610d3f3370540700019b0833","200 Chambers Street, Unit 28E")</f>
        <v>200 Chambers Street, Unit 28E</v>
      </c>
      <c r="C4572" s="25" t="s">
        <v>364</v>
      </c>
      <c r="D4572" s="26" t="s">
        <v>23</v>
      </c>
      <c r="E4572" s="27" t="str">
        <f>HYPERLINK("https://www.compass.com/building/200-chambers-st-manhattan-ny-10007/281896823650526357/","200 Chambers St")</f>
        <v>200 Chambers St</v>
      </c>
      <c r="F4572" s="25" t="s">
        <v>60</v>
      </c>
      <c r="G4572" s="28">
        <v>2575000.0</v>
      </c>
      <c r="H4572" s="28">
        <v>1914.0</v>
      </c>
      <c r="I4572" s="28">
        <v>1975.0</v>
      </c>
      <c r="J4572" s="28">
        <v>8592.0</v>
      </c>
      <c r="K4572" s="25" t="s">
        <v>28</v>
      </c>
      <c r="L4572" s="26">
        <v>5.0</v>
      </c>
      <c r="M4572" s="26">
        <v>2.0</v>
      </c>
      <c r="N4572" s="26">
        <v>0.0</v>
      </c>
      <c r="O4572" s="26">
        <v>0.0</v>
      </c>
      <c r="P4572" s="34">
        <v>1345.0</v>
      </c>
      <c r="Q4572" s="35">
        <v>29.0</v>
      </c>
      <c r="R4572" s="32">
        <v>44581.0</v>
      </c>
      <c r="S4572" s="32">
        <v>41380.0</v>
      </c>
      <c r="T4572" s="29"/>
      <c r="U4572" s="33"/>
      <c r="V4572" s="1"/>
    </row>
    <row r="4573" ht="24.0" customHeight="1">
      <c r="A4573" s="1"/>
      <c r="B4573" s="24" t="str">
        <f>HYPERLINK("https://www.compass.com/listing/415-east-6th-street-unit-3rd-manhattan-ny-10009/14532919762624689/view?agent_id=610d3f3370540700019b0833","415 East 6th Street, Unit 3RD/")</f>
        <v>415 East 6th Street, Unit 3RD/</v>
      </c>
      <c r="C4573" s="25" t="s">
        <v>364</v>
      </c>
      <c r="D4573" s="26" t="s">
        <v>23</v>
      </c>
      <c r="E4573" s="27" t="str">
        <f t="shared" ref="E4573:E4575" si="200">HYPERLINK("https://www.compass.com/building/415-e-6th-st-manhattan-ny-10009/281899972155161557/","415 E 6th St")</f>
        <v>415 E 6th St</v>
      </c>
      <c r="F4573" s="25" t="s">
        <v>24</v>
      </c>
      <c r="G4573" s="28">
        <v>3250000.0</v>
      </c>
      <c r="H4573" s="28">
        <v>1720.0</v>
      </c>
      <c r="I4573" s="28">
        <v>3356.0</v>
      </c>
      <c r="J4573" s="28">
        <v>20328.0</v>
      </c>
      <c r="K4573" s="25" t="s">
        <v>28</v>
      </c>
      <c r="L4573" s="26">
        <v>6.0</v>
      </c>
      <c r="M4573" s="26">
        <v>2.0</v>
      </c>
      <c r="N4573" s="26">
        <v>0.0</v>
      </c>
      <c r="O4573" s="26">
        <v>0.0</v>
      </c>
      <c r="P4573" s="34">
        <v>1890.0</v>
      </c>
      <c r="Q4573" s="35">
        <v>104.0</v>
      </c>
      <c r="R4573" s="32">
        <v>44581.0</v>
      </c>
      <c r="S4573" s="32">
        <v>42341.0</v>
      </c>
      <c r="T4573" s="29"/>
      <c r="U4573" s="33"/>
      <c r="V4573" s="1"/>
    </row>
    <row r="4574" ht="24.0" customHeight="1">
      <c r="A4574" s="1"/>
      <c r="B4574" s="24" t="str">
        <f>HYPERLINK("https://www.compass.com/listing/415-east-6th-street-unit-3-manhattan-ny-10009/1838943551384441793/view?agent_id=610d3f3370540700019b0833","415 East 6th Street, Unit 3")</f>
        <v>415 East 6th Street, Unit 3</v>
      </c>
      <c r="C4574" s="25" t="s">
        <v>364</v>
      </c>
      <c r="D4574" s="26" t="s">
        <v>23</v>
      </c>
      <c r="E4574" s="27" t="str">
        <f t="shared" si="200"/>
        <v>415 E 6th St</v>
      </c>
      <c r="F4574" s="25" t="s">
        <v>24</v>
      </c>
      <c r="G4574" s="28">
        <v>3250000.0</v>
      </c>
      <c r="H4574" s="28">
        <v>1720.0</v>
      </c>
      <c r="I4574" s="28">
        <v>3356.0</v>
      </c>
      <c r="J4574" s="28">
        <v>20328.0</v>
      </c>
      <c r="K4574" s="25" t="s">
        <v>28</v>
      </c>
      <c r="L4574" s="26">
        <v>6.0</v>
      </c>
      <c r="M4574" s="26">
        <v>2.0</v>
      </c>
      <c r="N4574" s="26">
        <v>0.0</v>
      </c>
      <c r="O4574" s="26">
        <v>0.0</v>
      </c>
      <c r="P4574" s="34">
        <v>1890.0</v>
      </c>
      <c r="Q4574" s="35">
        <v>257.0</v>
      </c>
      <c r="R4574" s="32">
        <v>45636.0</v>
      </c>
      <c r="S4574" s="32">
        <v>42621.0</v>
      </c>
      <c r="T4574" s="29"/>
      <c r="U4574" s="33"/>
      <c r="V4574" s="1"/>
    </row>
    <row r="4575" ht="24.0" customHeight="1">
      <c r="A4575" s="1"/>
      <c r="B4575" s="24" t="str">
        <f>HYPERLINK("https://www.compass.com/listing/415-east-6th-street-unit-3-manhattan-ny-10009/921944855403954441/view?agent_id=610d3f3370540700019b0833","415 East 6th Street, Unit 3")</f>
        <v>415 East 6th Street, Unit 3</v>
      </c>
      <c r="C4575" s="25" t="s">
        <v>364</v>
      </c>
      <c r="D4575" s="26" t="s">
        <v>23</v>
      </c>
      <c r="E4575" s="27" t="str">
        <f t="shared" si="200"/>
        <v>415 E 6th St</v>
      </c>
      <c r="F4575" s="25" t="s">
        <v>24</v>
      </c>
      <c r="G4575" s="28">
        <v>3250000.0</v>
      </c>
      <c r="H4575" s="28">
        <v>1720.0</v>
      </c>
      <c r="I4575" s="28">
        <v>3356.0</v>
      </c>
      <c r="J4575" s="28">
        <v>20328.0</v>
      </c>
      <c r="K4575" s="25" t="s">
        <v>28</v>
      </c>
      <c r="L4575" s="26">
        <v>6.0</v>
      </c>
      <c r="M4575" s="26">
        <v>2.0</v>
      </c>
      <c r="N4575" s="26">
        <v>0.0</v>
      </c>
      <c r="O4575" s="26">
        <v>1.0</v>
      </c>
      <c r="P4575" s="34">
        <v>1890.0</v>
      </c>
      <c r="Q4575" s="35">
        <v>0.0</v>
      </c>
      <c r="R4575" s="32">
        <v>44581.0</v>
      </c>
      <c r="S4575" s="32">
        <v>43269.0</v>
      </c>
      <c r="T4575" s="29"/>
      <c r="U4575" s="33"/>
      <c r="V4575" s="1"/>
    </row>
    <row r="4576" ht="24.0" customHeight="1">
      <c r="A4576" s="1"/>
      <c r="B4576" s="24" t="str">
        <f>HYPERLINK("https://www.compass.com/listing/26-gramercy-park-south-unit-3cd-manhattan-ny-10003/29377920900288737/view?agent_id=610d3f3370540700019b0833","26 Gramercy Park South, Unit 3CD")</f>
        <v>26 Gramercy Park South, Unit 3CD</v>
      </c>
      <c r="C4576" s="25" t="s">
        <v>364</v>
      </c>
      <c r="D4576" s="26" t="s">
        <v>23</v>
      </c>
      <c r="E4576" s="27" t="str">
        <f>HYPERLINK("https://www.compass.com/building/26-gramercy-park-s-manhattan-ny-10003/281891723150367173/","26 Gramercy Park S")</f>
        <v>26 Gramercy Park S</v>
      </c>
      <c r="F4576" s="25" t="s">
        <v>48</v>
      </c>
      <c r="G4576" s="28">
        <v>869000.0</v>
      </c>
      <c r="H4576" s="29"/>
      <c r="I4576" s="28">
        <v>1927.0</v>
      </c>
      <c r="J4576" s="29"/>
      <c r="K4576" s="25" t="s">
        <v>25</v>
      </c>
      <c r="L4576" s="26">
        <v>4.0</v>
      </c>
      <c r="M4576" s="26">
        <v>2.0</v>
      </c>
      <c r="N4576" s="26">
        <v>0.0</v>
      </c>
      <c r="O4576" s="26">
        <v>0.0</v>
      </c>
      <c r="P4576" s="30"/>
      <c r="Q4576" s="35">
        <v>130.0</v>
      </c>
      <c r="R4576" s="32">
        <v>45636.0</v>
      </c>
      <c r="S4576" s="32">
        <v>41325.0</v>
      </c>
      <c r="T4576" s="29"/>
      <c r="U4576" s="33"/>
      <c r="V4576" s="1"/>
    </row>
    <row r="4577" ht="24.0" customHeight="1">
      <c r="A4577" s="1"/>
      <c r="B4577" s="24" t="str">
        <f>HYPERLINK("https://www.compass.com/listing/28-east-10th-street-unit-3h-manhattan-ny-10003/803339346652107433/view?agent_id=610d3f3370540700019b0833","28 East 10th Street, Unit 3H")</f>
        <v>28 East 10th Street, Unit 3H</v>
      </c>
      <c r="C4577" s="25" t="s">
        <v>364</v>
      </c>
      <c r="D4577" s="26" t="s">
        <v>23</v>
      </c>
      <c r="E4577" s="27" t="str">
        <f>HYPERLINK("https://www.compass.com/building/devonshire-house-manhattan-ny/281891789294539797/","Devonshire House")</f>
        <v>Devonshire House</v>
      </c>
      <c r="F4577" s="25" t="s">
        <v>43</v>
      </c>
      <c r="G4577" s="28">
        <v>3995000.0</v>
      </c>
      <c r="H4577" s="28">
        <v>2601.0</v>
      </c>
      <c r="I4577" s="28">
        <v>3648.0</v>
      </c>
      <c r="J4577" s="28">
        <v>18996.0</v>
      </c>
      <c r="K4577" s="25" t="s">
        <v>28</v>
      </c>
      <c r="L4577" s="26">
        <v>4.0</v>
      </c>
      <c r="M4577" s="26">
        <v>2.0</v>
      </c>
      <c r="N4577" s="26">
        <v>0.0</v>
      </c>
      <c r="O4577" s="26">
        <v>0.0</v>
      </c>
      <c r="P4577" s="34">
        <v>1536.0</v>
      </c>
      <c r="Q4577" s="35">
        <v>128.0</v>
      </c>
      <c r="R4577" s="32">
        <v>45636.0</v>
      </c>
      <c r="S4577" s="32">
        <v>43024.0</v>
      </c>
      <c r="T4577" s="29"/>
      <c r="U4577" s="33"/>
      <c r="V4577" s="1"/>
    </row>
    <row r="4578" ht="24.0" customHeight="1">
      <c r="A4578" s="1"/>
      <c r="B4578" s="24" t="str">
        <f>HYPERLINK("https://www.compass.com/listing/399-east-8th-street-unit-7a-manhattan-ny-10009/1249400138921835689/view?agent_id=610d3f3370540700019b0833","399 East 8th Street, Unit 7A")</f>
        <v>399 East 8th Street, Unit 7A</v>
      </c>
      <c r="C4578" s="25" t="s">
        <v>364</v>
      </c>
      <c r="D4578" s="26" t="s">
        <v>23</v>
      </c>
      <c r="E4578" s="27" t="str">
        <f>HYPERLINK("https://www.compass.com/building/three99-on-eighth-manhattan-ny/281899849236886213/","THREE99 On Eighth")</f>
        <v>THREE99 On Eighth</v>
      </c>
      <c r="F4578" s="25" t="s">
        <v>24</v>
      </c>
      <c r="G4578" s="28">
        <v>1139000.0</v>
      </c>
      <c r="H4578" s="28">
        <v>1700.0</v>
      </c>
      <c r="I4578" s="28">
        <v>1251.0</v>
      </c>
      <c r="J4578" s="28">
        <v>7212.0</v>
      </c>
      <c r="K4578" s="25" t="s">
        <v>28</v>
      </c>
      <c r="L4578" s="26">
        <v>2.0</v>
      </c>
      <c r="M4578" s="26">
        <v>2.0</v>
      </c>
      <c r="N4578" s="30"/>
      <c r="O4578" s="30"/>
      <c r="P4578" s="26">
        <v>670.0</v>
      </c>
      <c r="Q4578" s="35">
        <v>25.0</v>
      </c>
      <c r="R4578" s="32">
        <v>43421.0</v>
      </c>
      <c r="S4578" s="32">
        <v>43395.0</v>
      </c>
      <c r="T4578" s="29"/>
      <c r="U4578" s="33"/>
      <c r="V4578" s="1"/>
    </row>
    <row r="4579" ht="24.0" customHeight="1">
      <c r="A4579" s="1"/>
      <c r="B4579" s="24" t="str">
        <f>HYPERLINK("https://www.compass.com/listing/536-east-13th-street-unit-ph6f-manhattan-ny-10009/352920494518168129/view?agent_id=610d3f3370540700019b0833","536 East 13th Street, Unit PH6F")</f>
        <v>536 East 13th Street, Unit PH6F</v>
      </c>
      <c r="C4579" s="25" t="s">
        <v>364</v>
      </c>
      <c r="D4579" s="26" t="s">
        <v>23</v>
      </c>
      <c r="E4579" s="27" t="str">
        <f>HYPERLINK("https://www.compass.com/building/536-e-13th-st-manhattan-ny-10009/281900929068843109/","536 E 13th St")</f>
        <v>536 E 13th St</v>
      </c>
      <c r="F4579" s="25" t="s">
        <v>24</v>
      </c>
      <c r="G4579" s="28">
        <v>1650000.0</v>
      </c>
      <c r="H4579" s="28">
        <v>1988.0</v>
      </c>
      <c r="I4579" s="28">
        <v>2081.0</v>
      </c>
      <c r="J4579" s="28">
        <v>17940.0</v>
      </c>
      <c r="K4579" s="25" t="s">
        <v>28</v>
      </c>
      <c r="L4579" s="26">
        <v>4.0</v>
      </c>
      <c r="M4579" s="26">
        <v>2.0</v>
      </c>
      <c r="N4579" s="26">
        <v>1.0</v>
      </c>
      <c r="O4579" s="26">
        <v>0.0</v>
      </c>
      <c r="P4579" s="26">
        <v>830.0</v>
      </c>
      <c r="Q4579" s="35">
        <v>115.0</v>
      </c>
      <c r="R4579" s="32">
        <v>45636.0</v>
      </c>
      <c r="S4579" s="32">
        <v>43735.0</v>
      </c>
      <c r="T4579" s="29"/>
      <c r="U4579" s="33"/>
      <c r="V4579" s="1"/>
    </row>
    <row r="4580" ht="24.0" customHeight="1">
      <c r="A4580" s="1"/>
      <c r="B4580" s="24" t="str">
        <f>HYPERLINK("https://www.compass.com/listing/227-10th-avenue-unit-2-manhattan-ny-10011/4852267132987123953/view?agent_id=610d3f3370540700019b0833","227 10th Avenue, Unit 2")</f>
        <v>227 10th Avenue, Unit 2</v>
      </c>
      <c r="C4580" s="25" t="s">
        <v>370</v>
      </c>
      <c r="D4580" s="26" t="s">
        <v>23</v>
      </c>
      <c r="E4580" s="27" t="str">
        <f>HYPERLINK("https://www.compass.com/building/227-10th-ave-manhattan-ny-10011/281907224584934037/","227 10th Ave")</f>
        <v>227 10th Ave</v>
      </c>
      <c r="F4580" s="25" t="s">
        <v>27</v>
      </c>
      <c r="G4580" s="28">
        <v>2045000.0</v>
      </c>
      <c r="H4580" s="29"/>
      <c r="I4580" s="28">
        <v>1522.0</v>
      </c>
      <c r="J4580" s="28">
        <v>13800.0</v>
      </c>
      <c r="K4580" s="25" t="s">
        <v>28</v>
      </c>
      <c r="L4580" s="26">
        <v>5.0</v>
      </c>
      <c r="M4580" s="26">
        <v>2.0</v>
      </c>
      <c r="N4580" s="26">
        <v>0.0</v>
      </c>
      <c r="O4580" s="26">
        <v>0.0</v>
      </c>
      <c r="P4580" s="30"/>
      <c r="Q4580" s="35">
        <v>82.0</v>
      </c>
      <c r="R4580" s="32">
        <v>45636.0</v>
      </c>
      <c r="S4580" s="32">
        <v>42440.0</v>
      </c>
      <c r="T4580" s="29"/>
      <c r="U4580" s="33"/>
      <c r="V4580" s="1"/>
    </row>
    <row r="4581" ht="24.0" customHeight="1">
      <c r="A4581" s="1"/>
      <c r="B4581" s="24" t="str">
        <f>HYPERLINK("https://www.compass.com/listing/101-warren-street-unit-1850-manhattan-ny-10007/29358136259275217/view?agent_id=610d3f3370540700019b0833","101 Warren Street, Unit 1850")</f>
        <v>101 Warren Street, Unit 1850</v>
      </c>
      <c r="C4581" s="25" t="s">
        <v>364</v>
      </c>
      <c r="D4581" s="26" t="s">
        <v>23</v>
      </c>
      <c r="E4581" s="27" t="str">
        <f>HYPERLINK("https://www.compass.com/building/99-101-warren-manhattan-ny/307460833541810581/","99-101 Warren")</f>
        <v>99-101 Warren</v>
      </c>
      <c r="F4581" s="25" t="s">
        <v>60</v>
      </c>
      <c r="G4581" s="28">
        <v>4300000.0</v>
      </c>
      <c r="H4581" s="28">
        <v>2440.0</v>
      </c>
      <c r="I4581" s="28">
        <v>4338.0</v>
      </c>
      <c r="J4581" s="28">
        <v>24984.0</v>
      </c>
      <c r="K4581" s="25" t="s">
        <v>28</v>
      </c>
      <c r="L4581" s="26">
        <v>4.0</v>
      </c>
      <c r="M4581" s="26">
        <v>2.0</v>
      </c>
      <c r="N4581" s="26">
        <v>0.0</v>
      </c>
      <c r="O4581" s="26">
        <v>0.0</v>
      </c>
      <c r="P4581" s="34">
        <v>1762.0</v>
      </c>
      <c r="Q4581" s="35">
        <v>239.0</v>
      </c>
      <c r="R4581" s="32">
        <v>44581.0</v>
      </c>
      <c r="S4581" s="32">
        <v>42921.0</v>
      </c>
      <c r="T4581" s="29"/>
      <c r="U4581" s="33"/>
      <c r="V4581" s="1"/>
    </row>
    <row r="4582" ht="24.0" customHeight="1">
      <c r="A4582" s="1"/>
      <c r="B4582" s="24" t="str">
        <f>HYPERLINK("https://www.compass.com/listing/135-west-16th-street-unit-58-manhattan-ny-10011/545346553849049513/view?agent_id=610d3f3370540700019b0833","135 West 16th Street, Unit 58")</f>
        <v>135 West 16th Street, Unit 58</v>
      </c>
      <c r="C4582" s="25" t="s">
        <v>364</v>
      </c>
      <c r="D4582" s="26" t="s">
        <v>23</v>
      </c>
      <c r="E4582" s="27" t="str">
        <f>HYPERLINK("https://www.compass.com/building/135-w-16th-st-manhattan-ny-10011/281905170315495829/","135 W 16th St")</f>
        <v>135 W 16th St</v>
      </c>
      <c r="F4582" s="25" t="s">
        <v>27</v>
      </c>
      <c r="G4582" s="28">
        <v>1250000.0</v>
      </c>
      <c r="H4582" s="29"/>
      <c r="I4582" s="28">
        <v>1765.0</v>
      </c>
      <c r="J4582" s="28">
        <v>13200.0</v>
      </c>
      <c r="K4582" s="25" t="s">
        <v>28</v>
      </c>
      <c r="L4582" s="26">
        <v>4.0</v>
      </c>
      <c r="M4582" s="26">
        <v>2.0</v>
      </c>
      <c r="N4582" s="30"/>
      <c r="O4582" s="30"/>
      <c r="P4582" s="30"/>
      <c r="Q4582" s="35">
        <v>28.0</v>
      </c>
      <c r="R4582" s="32">
        <v>44032.0</v>
      </c>
      <c r="S4582" s="32">
        <v>44003.0</v>
      </c>
      <c r="T4582" s="29"/>
      <c r="U4582" s="33"/>
      <c r="V4582" s="1"/>
    </row>
    <row r="4583" ht="24.0" customHeight="1">
      <c r="A4583" s="1"/>
      <c r="B4583" s="24" t="str">
        <f>HYPERLINK("https://www.compass.com/listing/2-5th-avenue-unit-9k-manhattan-ny-10011/4852329876360790097/view?agent_id=610d3f3370540700019b0833","2 5th Avenue, Unit 9K")</f>
        <v>2 5th Avenue, Unit 9K</v>
      </c>
      <c r="C4583" s="25" t="s">
        <v>364</v>
      </c>
      <c r="D4583" s="26" t="s">
        <v>23</v>
      </c>
      <c r="E4583" s="27" t="str">
        <f>HYPERLINK("https://www.compass.com/building/2-5th-ave-manhattan-ny-10011/281906423137324709/","2 5th Ave")</f>
        <v>2 5th Ave</v>
      </c>
      <c r="F4583" s="25" t="s">
        <v>43</v>
      </c>
      <c r="G4583" s="28">
        <v>2295000.0</v>
      </c>
      <c r="H4583" s="29"/>
      <c r="I4583" s="28">
        <v>2270.0</v>
      </c>
      <c r="J4583" s="29"/>
      <c r="K4583" s="25" t="s">
        <v>25</v>
      </c>
      <c r="L4583" s="26">
        <v>5.0</v>
      </c>
      <c r="M4583" s="26">
        <v>2.0</v>
      </c>
      <c r="N4583" s="26">
        <v>0.0</v>
      </c>
      <c r="O4583" s="26">
        <v>0.0</v>
      </c>
      <c r="P4583" s="30"/>
      <c r="Q4583" s="35">
        <v>4142.0</v>
      </c>
      <c r="R4583" s="32">
        <v>45534.0</v>
      </c>
      <c r="S4583" s="32">
        <v>41391.0</v>
      </c>
      <c r="T4583" s="29"/>
      <c r="U4583" s="33"/>
      <c r="V4583" s="1"/>
    </row>
    <row r="4584" ht="24.0" customHeight="1">
      <c r="A4584" s="1"/>
      <c r="B4584" s="24" t="str">
        <f>HYPERLINK("https://www.compass.com/listing/283-east-4th-street-unit-1d-manhattan-ny-10009/1000650254818031393/view?agent_id=610d3f3370540700019b0833","283 East 4th Street, Unit 1D")</f>
        <v>283 East 4th Street, Unit 1D</v>
      </c>
      <c r="C4584" s="25" t="s">
        <v>364</v>
      </c>
      <c r="D4584" s="26" t="s">
        <v>23</v>
      </c>
      <c r="E4584" s="27" t="str">
        <f>HYPERLINK("https://www.compass.com/building/283-e-4th-st-manhattan-ny-10009/281899311376117829/","283 E 4th St")</f>
        <v>283 E 4th St</v>
      </c>
      <c r="F4584" s="25" t="s">
        <v>24</v>
      </c>
      <c r="G4584" s="28">
        <v>688000.0</v>
      </c>
      <c r="H4584" s="28">
        <v>997.0</v>
      </c>
      <c r="I4584" s="28">
        <v>771.0</v>
      </c>
      <c r="J4584" s="28">
        <v>0.0</v>
      </c>
      <c r="K4584" s="25" t="s">
        <v>25</v>
      </c>
      <c r="L4584" s="26">
        <v>4.0</v>
      </c>
      <c r="M4584" s="26">
        <v>2.0</v>
      </c>
      <c r="N4584" s="26">
        <v>1.0</v>
      </c>
      <c r="O4584" s="30"/>
      <c r="P4584" s="26">
        <v>690.0</v>
      </c>
      <c r="Q4584" s="35">
        <v>72.0</v>
      </c>
      <c r="R4584" s="32">
        <v>44904.0</v>
      </c>
      <c r="S4584" s="32">
        <v>44631.0</v>
      </c>
      <c r="T4584" s="29"/>
      <c r="U4584" s="33"/>
      <c r="V4584" s="1"/>
    </row>
    <row r="4585" ht="24.0" customHeight="1">
      <c r="A4585" s="1"/>
      <c r="B4585" s="24" t="str">
        <f>HYPERLINK("https://www.compass.com/listing/221-west-20th-street-unit-3w-manhattan-ny-10011/803370519155784873/view?agent_id=610d3f3370540700019b0833","221 West 20th Street, Unit 3W")</f>
        <v>221 West 20th Street, Unit 3W</v>
      </c>
      <c r="C4585" s="25" t="s">
        <v>364</v>
      </c>
      <c r="D4585" s="26" t="s">
        <v>23</v>
      </c>
      <c r="E4585" s="27" t="str">
        <f>HYPERLINK("https://www.compass.com/building/221-w-20th-st-manhattan-ny-10011/281907046368958485/","221 W 20th St")</f>
        <v>221 W 20th St</v>
      </c>
      <c r="F4585" s="25" t="s">
        <v>27</v>
      </c>
      <c r="G4585" s="28">
        <v>1150000.0</v>
      </c>
      <c r="H4585" s="28">
        <v>1533.0</v>
      </c>
      <c r="I4585" s="28">
        <v>1009.0</v>
      </c>
      <c r="J4585" s="29"/>
      <c r="K4585" s="25" t="s">
        <v>25</v>
      </c>
      <c r="L4585" s="26">
        <v>4.0</v>
      </c>
      <c r="M4585" s="26">
        <v>2.0</v>
      </c>
      <c r="N4585" s="26">
        <v>1.0</v>
      </c>
      <c r="O4585" s="26">
        <v>0.0</v>
      </c>
      <c r="P4585" s="26">
        <v>750.0</v>
      </c>
      <c r="Q4585" s="35">
        <v>59.0</v>
      </c>
      <c r="R4585" s="32">
        <v>45636.0</v>
      </c>
      <c r="S4585" s="32">
        <v>43479.0</v>
      </c>
      <c r="T4585" s="29"/>
      <c r="U4585" s="33"/>
      <c r="V4585" s="1"/>
    </row>
    <row r="4586" ht="24.0" customHeight="1">
      <c r="A4586" s="1"/>
      <c r="B4586" s="24" t="str">
        <f>HYPERLINK("https://www.compass.com/listing/237-west-19th-street-unit-b-manhattan-ny-10011/803368324838758225/view?agent_id=610d3f3370540700019b0833","237 West 19th Street, Unit B")</f>
        <v>237 West 19th Street, Unit B</v>
      </c>
      <c r="C4586" s="25" t="s">
        <v>364</v>
      </c>
      <c r="D4586" s="26" t="s">
        <v>23</v>
      </c>
      <c r="E4586" s="27" t="str">
        <f>HYPERLINK("https://www.compass.com/building/237-w-19th-st-manhattan-ny-10011/281907554559218149/","237 W 19th St")</f>
        <v>237 W 19th St</v>
      </c>
      <c r="F4586" s="25" t="s">
        <v>27</v>
      </c>
      <c r="G4586" s="28">
        <v>1635000.0</v>
      </c>
      <c r="H4586" s="29"/>
      <c r="I4586" s="28">
        <v>915.0</v>
      </c>
      <c r="J4586" s="28">
        <v>7392.0</v>
      </c>
      <c r="K4586" s="25" t="s">
        <v>28</v>
      </c>
      <c r="L4586" s="26">
        <v>4.0</v>
      </c>
      <c r="M4586" s="26">
        <v>2.0</v>
      </c>
      <c r="N4586" s="26">
        <v>0.0</v>
      </c>
      <c r="O4586" s="26">
        <v>0.0</v>
      </c>
      <c r="P4586" s="30"/>
      <c r="Q4586" s="35">
        <v>237.0</v>
      </c>
      <c r="R4586" s="32">
        <v>45636.0</v>
      </c>
      <c r="S4586" s="32">
        <v>41508.0</v>
      </c>
      <c r="T4586" s="29"/>
      <c r="U4586" s="33"/>
      <c r="V4586" s="1"/>
    </row>
    <row r="4587" ht="24.0" customHeight="1">
      <c r="A4587" s="1"/>
      <c r="B4587" s="24" t="str">
        <f>HYPERLINK("https://www.compass.com/listing/205-3rd-avenue-unit-11k-manhattan-ny-10003/1838900418864898889/view?agent_id=610d3f3370540700019b0833","205 3rd Avenue, Unit 11K")</f>
        <v>205 3rd Avenue, Unit 11K</v>
      </c>
      <c r="C4587" s="25" t="s">
        <v>364</v>
      </c>
      <c r="D4587" s="26" t="s">
        <v>23</v>
      </c>
      <c r="E4587" s="27" t="str">
        <f>HYPERLINK("https://www.compass.com/building/gramercy-park-towers-manhattan-ny/281890486954759109/","Gramercy Park Towers")</f>
        <v>Gramercy Park Towers</v>
      </c>
      <c r="F4587" s="25" t="s">
        <v>48</v>
      </c>
      <c r="G4587" s="28">
        <v>1150000.0</v>
      </c>
      <c r="H4587" s="29"/>
      <c r="I4587" s="28">
        <v>1765.0</v>
      </c>
      <c r="J4587" s="29"/>
      <c r="K4587" s="25" t="s">
        <v>25</v>
      </c>
      <c r="L4587" s="26">
        <v>4.0</v>
      </c>
      <c r="M4587" s="26">
        <v>2.0</v>
      </c>
      <c r="N4587" s="26">
        <v>1.0</v>
      </c>
      <c r="O4587" s="26">
        <v>0.0</v>
      </c>
      <c r="P4587" s="30"/>
      <c r="Q4587" s="35">
        <v>40.0</v>
      </c>
      <c r="R4587" s="32">
        <v>44581.0</v>
      </c>
      <c r="S4587" s="32">
        <v>44238.0</v>
      </c>
      <c r="T4587" s="29"/>
      <c r="U4587" s="33"/>
      <c r="V4587" s="1"/>
    </row>
    <row r="4588" ht="24.0" customHeight="1">
      <c r="A4588" s="1"/>
      <c r="B4588" s="24" t="str">
        <f>HYPERLINK("https://www.compass.com/listing/153-chambers-street-unit-3-manhattan-ny-10007/1804747033520745905/view?agent_id=610d3f3370540700019b0833","153 Chambers Street, Unit 3")</f>
        <v>153 Chambers Street, Unit 3</v>
      </c>
      <c r="C4588" s="25" t="s">
        <v>365</v>
      </c>
      <c r="D4588" s="26" t="s">
        <v>23</v>
      </c>
      <c r="E4588" s="26" t="s">
        <v>444</v>
      </c>
      <c r="F4588" s="25" t="s">
        <v>60</v>
      </c>
      <c r="G4588" s="28">
        <v>2295000.0</v>
      </c>
      <c r="H4588" s="28">
        <v>1587.0</v>
      </c>
      <c r="I4588" s="28">
        <v>3631.0</v>
      </c>
      <c r="J4588" s="28">
        <v>25104.0</v>
      </c>
      <c r="K4588" s="25" t="s">
        <v>28</v>
      </c>
      <c r="L4588" s="26">
        <v>4.0</v>
      </c>
      <c r="M4588" s="26">
        <v>2.0</v>
      </c>
      <c r="N4588" s="26">
        <v>1.0</v>
      </c>
      <c r="O4588" s="26">
        <v>0.0</v>
      </c>
      <c r="P4588" s="34">
        <v>1446.0</v>
      </c>
      <c r="Q4588" s="35">
        <v>24.0</v>
      </c>
      <c r="R4588" s="32">
        <v>45769.0</v>
      </c>
      <c r="S4588" s="32">
        <v>45741.0</v>
      </c>
      <c r="T4588" s="29"/>
      <c r="U4588" s="33"/>
      <c r="V4588" s="1"/>
    </row>
    <row r="4589" ht="24.0" customHeight="1">
      <c r="A4589" s="1"/>
      <c r="B4589" s="24" t="str">
        <f>HYPERLINK("https://www.compass.com/listing/125-east-12th-street-unit-4c-manhattan-ny-10003/130382580825508417/view?agent_id=610d3f3370540700019b0833","125 East 12th Street, Unit 4C")</f>
        <v>125 East 12th Street, Unit 4C</v>
      </c>
      <c r="C4589" s="25" t="s">
        <v>364</v>
      </c>
      <c r="D4589" s="26" t="s">
        <v>23</v>
      </c>
      <c r="E4589" s="27" t="str">
        <f>HYPERLINK("https://www.compass.com/building/the-zachary-manhattan-ny/281889305419319653/","The Zachary")</f>
        <v>The Zachary</v>
      </c>
      <c r="F4589" s="25" t="s">
        <v>43</v>
      </c>
      <c r="G4589" s="28">
        <v>1695000.0</v>
      </c>
      <c r="H4589" s="28">
        <v>1957.0</v>
      </c>
      <c r="I4589" s="28">
        <v>1651.0</v>
      </c>
      <c r="J4589" s="28">
        <v>8652.0</v>
      </c>
      <c r="K4589" s="25" t="s">
        <v>28</v>
      </c>
      <c r="L4589" s="26">
        <v>4.0</v>
      </c>
      <c r="M4589" s="26">
        <v>2.0</v>
      </c>
      <c r="N4589" s="26">
        <v>1.0</v>
      </c>
      <c r="O4589" s="26">
        <v>0.0</v>
      </c>
      <c r="P4589" s="26">
        <v>866.0</v>
      </c>
      <c r="Q4589" s="35">
        <v>94.0</v>
      </c>
      <c r="R4589" s="32">
        <v>45636.0</v>
      </c>
      <c r="S4589" s="32">
        <v>43431.0</v>
      </c>
      <c r="T4589" s="29"/>
      <c r="U4589" s="33"/>
      <c r="V4589" s="1"/>
    </row>
    <row r="4590" ht="24.0" customHeight="1">
      <c r="A4590" s="1"/>
      <c r="B4590" s="24" t="str">
        <f>HYPERLINK("https://www.compass.com/listing/86-2nd-place-unit-3-brooklyn-ny-11231/471649956149770625/view?agent_id=610d3f3370540700019b0833","86 2nd Place, Unit 3")</f>
        <v>86 2nd Place, Unit 3</v>
      </c>
      <c r="C4590" s="25" t="s">
        <v>364</v>
      </c>
      <c r="D4590" s="26" t="s">
        <v>23</v>
      </c>
      <c r="E4590" s="27" t="str">
        <f>HYPERLINK("https://www.compass.com/building/86-2nd-pl-brooklyn-ny-11231/282501787972353605/","86 2nd Pl")</f>
        <v>86 2nd Pl</v>
      </c>
      <c r="F4590" s="25" t="s">
        <v>65</v>
      </c>
      <c r="G4590" s="28">
        <v>1395000.0</v>
      </c>
      <c r="H4590" s="29"/>
      <c r="I4590" s="28">
        <v>1063.0</v>
      </c>
      <c r="J4590" s="29"/>
      <c r="K4590" s="25" t="s">
        <v>25</v>
      </c>
      <c r="L4590" s="26">
        <v>4.0</v>
      </c>
      <c r="M4590" s="26">
        <v>2.0</v>
      </c>
      <c r="N4590" s="26">
        <v>1.0</v>
      </c>
      <c r="O4590" s="26">
        <v>0.0</v>
      </c>
      <c r="P4590" s="30"/>
      <c r="Q4590" s="35">
        <v>13.0</v>
      </c>
      <c r="R4590" s="32">
        <v>45636.0</v>
      </c>
      <c r="S4590" s="32">
        <v>43901.0</v>
      </c>
      <c r="T4590" s="29"/>
      <c r="U4590" s="33"/>
      <c r="V4590" s="1"/>
    </row>
    <row r="4591" ht="24.0" customHeight="1">
      <c r="A4591" s="1"/>
      <c r="B4591" s="24" t="str">
        <f>HYPERLINK("https://www.compass.com/listing/30-west-13th-street-unit-4d-manhattan-ny-10011/471169584968774865/view?agent_id=610d3f3370540700019b0833","30 West 13th Street, Unit 4D")</f>
        <v>30 West 13th Street, Unit 4D</v>
      </c>
      <c r="C4591" s="25" t="s">
        <v>364</v>
      </c>
      <c r="D4591" s="26" t="s">
        <v>23</v>
      </c>
      <c r="E4591" s="27" t="str">
        <f>HYPERLINK("https://www.compass.com/building/30-w-13th-st-manhattan-ny-10011/281908340974444101/","30 W 13th St")</f>
        <v>30 W 13th St</v>
      </c>
      <c r="F4591" s="25" t="s">
        <v>43</v>
      </c>
      <c r="G4591" s="28">
        <v>1390000.0</v>
      </c>
      <c r="H4591" s="29"/>
      <c r="I4591" s="28">
        <v>1950.0</v>
      </c>
      <c r="J4591" s="29"/>
      <c r="K4591" s="25" t="s">
        <v>25</v>
      </c>
      <c r="L4591" s="26">
        <v>4.0</v>
      </c>
      <c r="M4591" s="26">
        <v>2.0</v>
      </c>
      <c r="N4591" s="26">
        <v>0.0</v>
      </c>
      <c r="O4591" s="26">
        <v>0.0</v>
      </c>
      <c r="P4591" s="30"/>
      <c r="Q4591" s="35">
        <v>1169.0</v>
      </c>
      <c r="R4591" s="32">
        <v>45636.0</v>
      </c>
      <c r="S4591" s="32">
        <v>41709.0</v>
      </c>
      <c r="T4591" s="29"/>
      <c r="U4591" s="33"/>
      <c r="V4591" s="1"/>
    </row>
    <row r="4592" ht="24.0" customHeight="1">
      <c r="A4592" s="1"/>
      <c r="B4592" s="24" t="str">
        <f>HYPERLINK("https://www.compass.com/listing/101-west-12th-street-unit-4v-manhattan-ny-10011/29367298036985873/view?agent_id=610d3f3370540700019b0833","101 West 12th Street, Unit 4V")</f>
        <v>101 West 12th Street, Unit 4V</v>
      </c>
      <c r="C4592" s="25" t="s">
        <v>364</v>
      </c>
      <c r="D4592" s="26" t="s">
        <v>23</v>
      </c>
      <c r="E4592" s="27" t="str">
        <f>HYPERLINK("https://www.compass.com/building/the-john-adams-manhattan-ny/281904092027046869/","The John Adams")</f>
        <v>The John Adams</v>
      </c>
      <c r="F4592" s="25" t="s">
        <v>26</v>
      </c>
      <c r="G4592" s="28">
        <v>1200000.0</v>
      </c>
      <c r="H4592" s="28">
        <v>1412.0</v>
      </c>
      <c r="I4592" s="28">
        <v>1149.0</v>
      </c>
      <c r="J4592" s="29"/>
      <c r="K4592" s="25" t="s">
        <v>25</v>
      </c>
      <c r="L4592" s="26">
        <v>4.0</v>
      </c>
      <c r="M4592" s="26">
        <v>2.0</v>
      </c>
      <c r="N4592" s="26">
        <v>1.0</v>
      </c>
      <c r="O4592" s="26">
        <v>0.0</v>
      </c>
      <c r="P4592" s="26">
        <v>850.0</v>
      </c>
      <c r="Q4592" s="31"/>
      <c r="R4592" s="32">
        <v>45636.0</v>
      </c>
      <c r="S4592" s="33"/>
      <c r="T4592" s="29"/>
      <c r="U4592" s="33"/>
      <c r="V4592" s="1"/>
    </row>
    <row r="4593" ht="24.0" customHeight="1">
      <c r="A4593" s="1"/>
      <c r="B4593" s="24" t="str">
        <f>HYPERLINK("https://www.compass.com/listing/231-west-21st-street-unit-1a-manhattan-ny-10011/929377290992433329/view?agent_id=610d3f3370540700019b0833","231 West 21st Street, Unit 1A")</f>
        <v>231 West 21st Street, Unit 1A</v>
      </c>
      <c r="C4593" s="25" t="s">
        <v>364</v>
      </c>
      <c r="D4593" s="26" t="s">
        <v>23</v>
      </c>
      <c r="E4593" s="27" t="str">
        <f>HYPERLINK("https://www.compass.com/building/231-w-21st-st-manhattan-ny-10011/282064131048114917/","231 W 21st St")</f>
        <v>231 W 21st St</v>
      </c>
      <c r="F4593" s="25" t="s">
        <v>27</v>
      </c>
      <c r="G4593" s="28">
        <v>849000.0</v>
      </c>
      <c r="H4593" s="29"/>
      <c r="I4593" s="28">
        <v>1236.0</v>
      </c>
      <c r="J4593" s="29"/>
      <c r="K4593" s="25" t="s">
        <v>25</v>
      </c>
      <c r="L4593" s="26">
        <v>4.0</v>
      </c>
      <c r="M4593" s="26">
        <v>2.0</v>
      </c>
      <c r="N4593" s="26">
        <v>1.0</v>
      </c>
      <c r="O4593" s="26">
        <v>0.0</v>
      </c>
      <c r="P4593" s="30"/>
      <c r="Q4593" s="35">
        <v>82.0</v>
      </c>
      <c r="R4593" s="32">
        <v>45636.0</v>
      </c>
      <c r="S4593" s="32">
        <v>44062.0</v>
      </c>
      <c r="T4593" s="29"/>
      <c r="U4593" s="33"/>
      <c r="V4593" s="1"/>
    </row>
    <row r="4594" ht="24.0" customHeight="1">
      <c r="A4594" s="1"/>
      <c r="B4594" s="24" t="str">
        <f>HYPERLINK("https://www.compass.com/listing/212-west-18th-street-unit-9d-manhattan-ny-10011/1809606581566245073/view?agent_id=610d3f3370540700019b0833","212 West 18th Street, Unit 9D")</f>
        <v>212 West 18th Street, Unit 9D</v>
      </c>
      <c r="C4594" s="25" t="s">
        <v>364</v>
      </c>
      <c r="D4594" s="26" t="s">
        <v>23</v>
      </c>
      <c r="E4594" s="27" t="str">
        <f>HYPERLINK("https://www.compass.com/building/walker-tower-manhattan-ny/292801735825582245/","Walker Tower")</f>
        <v>Walker Tower</v>
      </c>
      <c r="F4594" s="25" t="s">
        <v>27</v>
      </c>
      <c r="G4594" s="28">
        <v>7950000.0</v>
      </c>
      <c r="H4594" s="28">
        <v>4595.0</v>
      </c>
      <c r="I4594" s="28">
        <v>4140.0</v>
      </c>
      <c r="J4594" s="28">
        <v>25368.0</v>
      </c>
      <c r="K4594" s="25" t="s">
        <v>28</v>
      </c>
      <c r="L4594" s="26">
        <v>4.0</v>
      </c>
      <c r="M4594" s="26">
        <v>2.0</v>
      </c>
      <c r="N4594" s="26">
        <v>0.0</v>
      </c>
      <c r="O4594" s="26">
        <v>0.0</v>
      </c>
      <c r="P4594" s="34">
        <v>1730.0</v>
      </c>
      <c r="Q4594" s="31"/>
      <c r="R4594" s="32">
        <v>44581.0</v>
      </c>
      <c r="S4594" s="33"/>
      <c r="T4594" s="29"/>
      <c r="U4594" s="33"/>
      <c r="V4594" s="1"/>
    </row>
    <row r="4595" ht="24.0" customHeight="1">
      <c r="A4595" s="1"/>
      <c r="B4595" s="24" t="str">
        <f>HYPERLINK("https://www.compass.com/listing/101-warren-street-unit-810-manhattan-ny-10007/70915688516070577/view?agent_id=610d3f3370540700019b0833","101 Warren Street, Unit 810")</f>
        <v>101 Warren Street, Unit 810</v>
      </c>
      <c r="C4595" s="25" t="s">
        <v>364</v>
      </c>
      <c r="D4595" s="26" t="s">
        <v>23</v>
      </c>
      <c r="E4595" s="27" t="str">
        <f>HYPERLINK("https://www.compass.com/building/99-101-warren-manhattan-ny/307460833541810581/","99-101 Warren")</f>
        <v>99-101 Warren</v>
      </c>
      <c r="F4595" s="25" t="s">
        <v>60</v>
      </c>
      <c r="G4595" s="28">
        <v>4100000.0</v>
      </c>
      <c r="H4595" s="28">
        <v>2046.0</v>
      </c>
      <c r="I4595" s="28">
        <v>2759.0</v>
      </c>
      <c r="J4595" s="28">
        <v>10488.0</v>
      </c>
      <c r="K4595" s="25" t="s">
        <v>28</v>
      </c>
      <c r="L4595" s="26">
        <v>5.0</v>
      </c>
      <c r="M4595" s="26">
        <v>2.0</v>
      </c>
      <c r="N4595" s="26">
        <v>0.0</v>
      </c>
      <c r="O4595" s="26">
        <v>0.0</v>
      </c>
      <c r="P4595" s="34">
        <v>2004.0</v>
      </c>
      <c r="Q4595" s="35">
        <v>27.0</v>
      </c>
      <c r="R4595" s="32">
        <v>44581.0</v>
      </c>
      <c r="S4595" s="32">
        <v>41552.0</v>
      </c>
      <c r="T4595" s="29"/>
      <c r="U4595" s="33"/>
      <c r="V4595" s="1"/>
    </row>
    <row r="4596" ht="24.0" customHeight="1">
      <c r="A4596" s="1"/>
      <c r="B4596" s="24" t="str">
        <f>HYPERLINK("https://www.compass.com/listing/31-gramercy-park-south-unit-3b-manhattan-ny-10003/1718318959827438553/view?agent_id=610d3f3370540700019b0833","31 Gramercy Park South, Unit 3B")</f>
        <v>31 Gramercy Park South, Unit 3B</v>
      </c>
      <c r="C4596" s="25" t="s">
        <v>365</v>
      </c>
      <c r="D4596" s="26" t="s">
        <v>23</v>
      </c>
      <c r="E4596" s="27" t="str">
        <f>HYPERLINK("https://www.compass.com/building/31-gramercy-park-s-manhattan-ny-10003/281892136910067029/","31 Gramercy Park S")</f>
        <v>31 Gramercy Park S</v>
      </c>
      <c r="F4596" s="25" t="s">
        <v>48</v>
      </c>
      <c r="G4596" s="28">
        <v>1100000.0</v>
      </c>
      <c r="H4596" s="29"/>
      <c r="I4596" s="28">
        <v>2745.0</v>
      </c>
      <c r="J4596" s="28">
        <v>0.0</v>
      </c>
      <c r="K4596" s="25" t="s">
        <v>25</v>
      </c>
      <c r="L4596" s="26">
        <v>4.0</v>
      </c>
      <c r="M4596" s="26">
        <v>2.0</v>
      </c>
      <c r="N4596" s="26">
        <v>1.0</v>
      </c>
      <c r="O4596" s="26">
        <v>0.0</v>
      </c>
      <c r="P4596" s="30"/>
      <c r="Q4596" s="35">
        <v>80.0</v>
      </c>
      <c r="R4596" s="32">
        <v>45784.0</v>
      </c>
      <c r="S4596" s="32">
        <v>45622.0</v>
      </c>
      <c r="T4596" s="28">
        <v>1100000.0</v>
      </c>
      <c r="U4596" s="32">
        <v>45771.0</v>
      </c>
      <c r="V4596" s="1"/>
    </row>
    <row r="4597" ht="24.0" customHeight="1">
      <c r="A4597" s="1"/>
      <c r="B4597" s="24" t="str">
        <f>HYPERLINK("https://www.compass.com/listing/328-west-17th-street-unit-5e-manhattan-ny-10011/1838965426475090881/view?agent_id=610d3f3370540700019b0833","328 W 17th St, Unit 5E")</f>
        <v>328 W 17th St, Unit 5E</v>
      </c>
      <c r="C4597" s="25" t="s">
        <v>364</v>
      </c>
      <c r="D4597" s="26" t="s">
        <v>23</v>
      </c>
      <c r="E4597" s="27" t="str">
        <f>HYPERLINK("https://www.compass.com/building/328-w-17th-st-manhattan-ny-10011/281908845054288005/","328 W 17th St")</f>
        <v>328 W 17th St</v>
      </c>
      <c r="F4597" s="25" t="s">
        <v>27</v>
      </c>
      <c r="G4597" s="28">
        <v>1595000.0</v>
      </c>
      <c r="H4597" s="28">
        <v>1772.0</v>
      </c>
      <c r="I4597" s="28">
        <v>1521.0</v>
      </c>
      <c r="J4597" s="28">
        <v>0.0</v>
      </c>
      <c r="K4597" s="25" t="s">
        <v>25</v>
      </c>
      <c r="L4597" s="26">
        <v>4.0</v>
      </c>
      <c r="M4597" s="26">
        <v>2.0</v>
      </c>
      <c r="N4597" s="26">
        <v>1.0</v>
      </c>
      <c r="O4597" s="26">
        <v>0.0</v>
      </c>
      <c r="P4597" s="26">
        <v>900.0</v>
      </c>
      <c r="Q4597" s="35">
        <v>180.0</v>
      </c>
      <c r="R4597" s="32">
        <v>44572.0</v>
      </c>
      <c r="S4597" s="32">
        <v>44328.0</v>
      </c>
      <c r="T4597" s="29"/>
      <c r="U4597" s="33"/>
      <c r="V4597" s="1"/>
    </row>
    <row r="4598" ht="24.0" customHeight="1">
      <c r="A4598" s="1"/>
      <c r="B4598" s="24" t="str">
        <f>HYPERLINK("https://www.compass.com/listing/536-east-13th-street-unit-2f-manhattan-ny-10009/1333395957835433129/view?agent_id=610d3f3370540700019b0833","536 East 13th Street, Unit 2F")</f>
        <v>536 East 13th Street, Unit 2F</v>
      </c>
      <c r="C4598" s="25" t="s">
        <v>370</v>
      </c>
      <c r="D4598" s="26" t="s">
        <v>23</v>
      </c>
      <c r="E4598" s="27" t="str">
        <f>HYPERLINK("https://www.compass.com/building/536-e-13th-st-manhattan-ny-10009/281900929068843109/","536 E 13th St")</f>
        <v>536 E 13th St</v>
      </c>
      <c r="F4598" s="25" t="s">
        <v>24</v>
      </c>
      <c r="G4598" s="28">
        <v>1230000.0</v>
      </c>
      <c r="H4598" s="28">
        <v>1482.0</v>
      </c>
      <c r="I4598" s="28">
        <v>2000.0</v>
      </c>
      <c r="J4598" s="28">
        <v>17388.0</v>
      </c>
      <c r="K4598" s="25" t="s">
        <v>28</v>
      </c>
      <c r="L4598" s="26">
        <v>4.0</v>
      </c>
      <c r="M4598" s="26">
        <v>2.0</v>
      </c>
      <c r="N4598" s="26">
        <v>1.0</v>
      </c>
      <c r="O4598" s="26">
        <v>0.0</v>
      </c>
      <c r="P4598" s="26">
        <v>830.0</v>
      </c>
      <c r="Q4598" s="35">
        <v>174.0</v>
      </c>
      <c r="R4598" s="32">
        <v>45636.0</v>
      </c>
      <c r="S4598" s="32">
        <v>45091.0</v>
      </c>
      <c r="T4598" s="29"/>
      <c r="U4598" s="33"/>
      <c r="V4598" s="1"/>
    </row>
    <row r="4599" ht="24.0" customHeight="1">
      <c r="A4599" s="1"/>
      <c r="B4599" s="24" t="str">
        <f>HYPERLINK("https://www.compass.com/listing/399-east-8th-street-unit-8c-manhattan-ny-10009/1268117406341209025/view?agent_id=610d3f3370540700019b0833","399 East 8th Street, Unit 8C")</f>
        <v>399 East 8th Street, Unit 8C</v>
      </c>
      <c r="C4599" s="25" t="s">
        <v>370</v>
      </c>
      <c r="D4599" s="26" t="s">
        <v>23</v>
      </c>
      <c r="E4599" s="27" t="str">
        <f t="shared" ref="E4599:E4601" si="201">HYPERLINK("https://www.compass.com/building/three99-on-eighth-manhattan-ny/281899849236886213/","THREE99 On Eighth")</f>
        <v>THREE99 On Eighth</v>
      </c>
      <c r="F4599" s="25" t="s">
        <v>24</v>
      </c>
      <c r="G4599" s="28">
        <v>1280000.0</v>
      </c>
      <c r="H4599" s="28">
        <v>1753.0</v>
      </c>
      <c r="I4599" s="28">
        <v>642.0</v>
      </c>
      <c r="J4599" s="28">
        <v>636.0</v>
      </c>
      <c r="K4599" s="25" t="s">
        <v>28</v>
      </c>
      <c r="L4599" s="26">
        <v>4.0</v>
      </c>
      <c r="M4599" s="26">
        <v>2.0</v>
      </c>
      <c r="N4599" s="26">
        <v>1.0</v>
      </c>
      <c r="O4599" s="26">
        <v>0.0</v>
      </c>
      <c r="P4599" s="26">
        <v>730.0</v>
      </c>
      <c r="Q4599" s="35">
        <v>90.0</v>
      </c>
      <c r="R4599" s="32">
        <v>45636.0</v>
      </c>
      <c r="S4599" s="32">
        <v>45001.0</v>
      </c>
      <c r="T4599" s="29"/>
      <c r="U4599" s="33"/>
      <c r="V4599" s="1"/>
    </row>
    <row r="4600" ht="24.0" customHeight="1">
      <c r="A4600" s="1"/>
      <c r="B4600" s="24" t="str">
        <f>HYPERLINK("https://www.compass.com/listing/399-east-8th-street-unit-6a-manhattan-ny-10009/1838897074226198873/view?agent_id=610d3f3370540700019b0833","399 E 8th St, Unit 6A")</f>
        <v>399 E 8th St, Unit 6A</v>
      </c>
      <c r="C4600" s="25" t="s">
        <v>364</v>
      </c>
      <c r="D4600" s="26" t="s">
        <v>23</v>
      </c>
      <c r="E4600" s="27" t="str">
        <f t="shared" si="201"/>
        <v>THREE99 On Eighth</v>
      </c>
      <c r="F4600" s="25" t="s">
        <v>24</v>
      </c>
      <c r="G4600" s="28">
        <v>1060000.0</v>
      </c>
      <c r="H4600" s="29"/>
      <c r="I4600" s="28">
        <v>1463.0</v>
      </c>
      <c r="J4600" s="28">
        <v>7420.0</v>
      </c>
      <c r="K4600" s="25" t="s">
        <v>28</v>
      </c>
      <c r="L4600" s="26">
        <v>4.0</v>
      </c>
      <c r="M4600" s="26">
        <v>2.0</v>
      </c>
      <c r="N4600" s="26">
        <v>1.0</v>
      </c>
      <c r="O4600" s="26">
        <v>0.0</v>
      </c>
      <c r="P4600" s="30"/>
      <c r="Q4600" s="35">
        <v>197.0</v>
      </c>
      <c r="R4600" s="32">
        <v>44348.0</v>
      </c>
      <c r="S4600" s="32">
        <v>42872.0</v>
      </c>
      <c r="T4600" s="29"/>
      <c r="U4600" s="33"/>
      <c r="V4600" s="1"/>
    </row>
    <row r="4601" ht="24.0" customHeight="1">
      <c r="A4601" s="1"/>
      <c r="B4601" s="24" t="str">
        <f>HYPERLINK("https://www.compass.com/listing/399-east-8th-street-unit-6a-manhattan-ny-10009/20330215859364641/view?agent_id=610d3f3370540700019b0833","399 East 8th Street, Unit 6A")</f>
        <v>399 East 8th Street, Unit 6A</v>
      </c>
      <c r="C4601" s="25" t="s">
        <v>364</v>
      </c>
      <c r="D4601" s="26" t="s">
        <v>23</v>
      </c>
      <c r="E4601" s="27" t="str">
        <f t="shared" si="201"/>
        <v>THREE99 On Eighth</v>
      </c>
      <c r="F4601" s="25" t="s">
        <v>24</v>
      </c>
      <c r="G4601" s="28">
        <v>1060000.0</v>
      </c>
      <c r="H4601" s="28">
        <v>1584.0</v>
      </c>
      <c r="I4601" s="28">
        <v>1463.0</v>
      </c>
      <c r="J4601" s="28">
        <v>7420.0</v>
      </c>
      <c r="K4601" s="25" t="s">
        <v>28</v>
      </c>
      <c r="L4601" s="26">
        <v>4.0</v>
      </c>
      <c r="M4601" s="26">
        <v>2.0</v>
      </c>
      <c r="N4601" s="26">
        <v>1.0</v>
      </c>
      <c r="O4601" s="26">
        <v>0.0</v>
      </c>
      <c r="P4601" s="26">
        <v>669.0</v>
      </c>
      <c r="Q4601" s="31"/>
      <c r="R4601" s="32">
        <v>45636.0</v>
      </c>
      <c r="S4601" s="33"/>
      <c r="T4601" s="29"/>
      <c r="U4601" s="33"/>
      <c r="V4601" s="1"/>
    </row>
    <row r="4602" ht="24.0" customHeight="1">
      <c r="A4602" s="1"/>
      <c r="B4602" s="24" t="str">
        <f>HYPERLINK("https://www.compass.com/listing/441-443-court-street-unit-4f-brooklyn-ny-11231/1311587992469002937/view?agent_id=610d3f3370540700019b0833","441-443 Court Street, Unit 4F")</f>
        <v>441-443 Court Street, Unit 4F</v>
      </c>
      <c r="C4602" s="25" t="s">
        <v>364</v>
      </c>
      <c r="D4602" s="26" t="s">
        <v>23</v>
      </c>
      <c r="E4602" s="27" t="str">
        <f>HYPERLINK("https://www.compass.com/building/441-443-court-st-brooklyn-ny-11231/445088535608249461/","441-443 Court St")</f>
        <v>441-443 Court St</v>
      </c>
      <c r="F4602" s="25" t="s">
        <v>65</v>
      </c>
      <c r="G4602" s="28">
        <v>1400000.0</v>
      </c>
      <c r="H4602" s="28">
        <v>1556.0</v>
      </c>
      <c r="I4602" s="28">
        <v>844.0</v>
      </c>
      <c r="J4602" s="29"/>
      <c r="K4602" s="25" t="s">
        <v>25</v>
      </c>
      <c r="L4602" s="26">
        <v>4.0</v>
      </c>
      <c r="M4602" s="26">
        <v>2.0</v>
      </c>
      <c r="N4602" s="30"/>
      <c r="O4602" s="30"/>
      <c r="P4602" s="26">
        <v>900.0</v>
      </c>
      <c r="Q4602" s="35">
        <v>121.0</v>
      </c>
      <c r="R4602" s="32">
        <v>45182.0</v>
      </c>
      <c r="S4602" s="32">
        <v>45061.0</v>
      </c>
      <c r="T4602" s="29"/>
      <c r="U4602" s="33"/>
      <c r="V4602" s="1"/>
    </row>
    <row r="4603" ht="24.0" customHeight="1">
      <c r="A4603" s="1"/>
      <c r="B4603" s="24" t="str">
        <f>HYPERLINK("https://www.compass.com/listing/200-chambers-street-unit-7b-manhattan-ny-10007/50875159719982161/view?agent_id=610d3f3370540700019b0833","200 Chambers Street, Unit 7B")</f>
        <v>200 Chambers Street, Unit 7B</v>
      </c>
      <c r="C4603" s="25" t="s">
        <v>364</v>
      </c>
      <c r="D4603" s="26" t="s">
        <v>23</v>
      </c>
      <c r="E4603" s="27" t="str">
        <f>HYPERLINK("https://www.compass.com/building/200-chambers-st-manhattan-ny-10007/281896823650526357/","200 Chambers St")</f>
        <v>200 Chambers St</v>
      </c>
      <c r="F4603" s="25" t="s">
        <v>60</v>
      </c>
      <c r="G4603" s="28">
        <v>2750000.0</v>
      </c>
      <c r="H4603" s="28">
        <v>2183.0</v>
      </c>
      <c r="I4603" s="28">
        <v>2590.0</v>
      </c>
      <c r="J4603" s="28">
        <v>14964.0</v>
      </c>
      <c r="K4603" s="25" t="s">
        <v>28</v>
      </c>
      <c r="L4603" s="26">
        <v>5.0</v>
      </c>
      <c r="M4603" s="26">
        <v>2.0</v>
      </c>
      <c r="N4603" s="26">
        <v>0.0</v>
      </c>
      <c r="O4603" s="26">
        <v>0.0</v>
      </c>
      <c r="P4603" s="34">
        <v>1260.0</v>
      </c>
      <c r="Q4603" s="35">
        <v>71.0</v>
      </c>
      <c r="R4603" s="32">
        <v>44581.0</v>
      </c>
      <c r="S4603" s="32">
        <v>42800.0</v>
      </c>
      <c r="T4603" s="29"/>
      <c r="U4603" s="33"/>
      <c r="V4603" s="1"/>
    </row>
    <row r="4604" ht="24.0" customHeight="1">
      <c r="A4604" s="1"/>
      <c r="B4604" s="24" t="str">
        <f>HYPERLINK("https://www.compass.com/listing/77-reade-street-unit-2b-manhattan-ny-10007/50944665863676305/view?agent_id=610d3f3370540700019b0833","77 Reade Street, Unit 2B")</f>
        <v>77 Reade Street, Unit 2B</v>
      </c>
      <c r="C4604" s="25" t="s">
        <v>370</v>
      </c>
      <c r="D4604" s="26" t="s">
        <v>23</v>
      </c>
      <c r="E4604" s="27" t="str">
        <f>HYPERLINK("https://www.compass.com/building/77-reade-st-manhattan-ny-10007/281897161057118181/","77 Reade St")</f>
        <v>77 Reade St</v>
      </c>
      <c r="F4604" s="25" t="s">
        <v>60</v>
      </c>
      <c r="G4604" s="28">
        <v>3395000.0</v>
      </c>
      <c r="H4604" s="28">
        <v>2133.0</v>
      </c>
      <c r="I4604" s="28">
        <v>2743.0</v>
      </c>
      <c r="J4604" s="28">
        <v>11400.0</v>
      </c>
      <c r="K4604" s="25" t="s">
        <v>28</v>
      </c>
      <c r="L4604" s="26">
        <v>4.0</v>
      </c>
      <c r="M4604" s="26">
        <v>2.0</v>
      </c>
      <c r="N4604" s="26">
        <v>0.0</v>
      </c>
      <c r="O4604" s="26">
        <v>0.0</v>
      </c>
      <c r="P4604" s="34">
        <v>1592.0</v>
      </c>
      <c r="Q4604" s="35">
        <v>142.0</v>
      </c>
      <c r="R4604" s="32">
        <v>45636.0</v>
      </c>
      <c r="S4604" s="32">
        <v>42897.0</v>
      </c>
      <c r="T4604" s="29"/>
      <c r="U4604" s="33"/>
      <c r="V4604" s="1"/>
    </row>
    <row r="4605" ht="24.0" customHeight="1">
      <c r="A4605" s="1"/>
      <c r="B4605" s="24" t="str">
        <f>HYPERLINK("https://www.compass.com/listing/328-west-17th-street-unit-5e-manhattan-ny-10011/1661021865969685401/view?agent_id=610d3f3370540700019b0833","328 West 17th Street, Unit 5E")</f>
        <v>328 West 17th Street, Unit 5E</v>
      </c>
      <c r="C4605" s="25" t="s">
        <v>364</v>
      </c>
      <c r="D4605" s="26" t="s">
        <v>23</v>
      </c>
      <c r="E4605" s="27" t="str">
        <f>HYPERLINK("https://www.compass.com/building/328-w-17th-st-manhattan-ny-10011/281908845054288005/","328 W 17th St")</f>
        <v>328 W 17th St</v>
      </c>
      <c r="F4605" s="25" t="s">
        <v>27</v>
      </c>
      <c r="G4605" s="28">
        <v>1590000.0</v>
      </c>
      <c r="H4605" s="28">
        <v>1767.0</v>
      </c>
      <c r="I4605" s="28">
        <v>1907.0</v>
      </c>
      <c r="J4605" s="28">
        <v>0.0</v>
      </c>
      <c r="K4605" s="25" t="s">
        <v>361</v>
      </c>
      <c r="L4605" s="26">
        <v>4.0</v>
      </c>
      <c r="M4605" s="26">
        <v>2.0</v>
      </c>
      <c r="N4605" s="26">
        <v>1.0</v>
      </c>
      <c r="O4605" s="26">
        <v>0.0</v>
      </c>
      <c r="P4605" s="26">
        <v>900.0</v>
      </c>
      <c r="Q4605" s="35">
        <v>104.0</v>
      </c>
      <c r="R4605" s="32">
        <v>45824.0</v>
      </c>
      <c r="S4605" s="32">
        <v>45543.0</v>
      </c>
      <c r="T4605" s="29"/>
      <c r="U4605" s="33"/>
      <c r="V4605" s="1"/>
    </row>
    <row r="4606" ht="24.0" customHeight="1">
      <c r="A4606" s="1"/>
      <c r="B4606" s="24" t="str">
        <f>HYPERLINK("https://www.compass.com/listing/200-chambers-street-unit-6d-manhattan-ny-10007/4852329801937070993/view?agent_id=610d3f3370540700019b0833","200 Chambers Street, Unit 6D")</f>
        <v>200 Chambers Street, Unit 6D</v>
      </c>
      <c r="C4606" s="25" t="s">
        <v>370</v>
      </c>
      <c r="D4606" s="26" t="s">
        <v>23</v>
      </c>
      <c r="E4606" s="27" t="str">
        <f>HYPERLINK("https://www.compass.com/building/200-chambers-st-manhattan-ny-10007/281896823650526357/","200 Chambers St")</f>
        <v>200 Chambers St</v>
      </c>
      <c r="F4606" s="25" t="s">
        <v>60</v>
      </c>
      <c r="G4606" s="28">
        <v>1995000.0</v>
      </c>
      <c r="H4606" s="28">
        <v>1643.0</v>
      </c>
      <c r="I4606" s="28">
        <v>1099.0</v>
      </c>
      <c r="J4606" s="28">
        <v>1776.0</v>
      </c>
      <c r="K4606" s="25" t="s">
        <v>28</v>
      </c>
      <c r="L4606" s="26">
        <v>4.0</v>
      </c>
      <c r="M4606" s="26">
        <v>2.0</v>
      </c>
      <c r="N4606" s="26">
        <v>0.0</v>
      </c>
      <c r="O4606" s="26">
        <v>0.0</v>
      </c>
      <c r="P4606" s="34">
        <v>1214.0</v>
      </c>
      <c r="Q4606" s="35">
        <v>0.0</v>
      </c>
      <c r="R4606" s="32">
        <v>44581.0</v>
      </c>
      <c r="S4606" s="32">
        <v>41538.0</v>
      </c>
      <c r="T4606" s="29"/>
      <c r="U4606" s="33"/>
      <c r="V4606" s="1"/>
    </row>
    <row r="4607" ht="24.0" customHeight="1">
      <c r="A4607" s="1"/>
      <c r="B4607" s="24" t="str">
        <f>HYPERLINK("https://www.compass.com/listing/25-west-71st-street-unit-1r-manhattan-ny-10023/1755990807231449113/view?agent_id=610d3f3370540700019b0833","25 West 71st Street, Unit 1R")</f>
        <v>25 West 71st Street, Unit 1R</v>
      </c>
      <c r="C4607" s="25" t="s">
        <v>365</v>
      </c>
      <c r="D4607" s="26" t="s">
        <v>23</v>
      </c>
      <c r="E4607" s="27" t="str">
        <f>HYPERLINK("https://www.compass.com/building/25-w-71st-st-manhattan-ny-10023/281959025648673941/","25 W 71st St")</f>
        <v>25 W 71st St</v>
      </c>
      <c r="F4607" s="25" t="s">
        <v>29</v>
      </c>
      <c r="G4607" s="28">
        <v>1395000.0</v>
      </c>
      <c r="H4607" s="29"/>
      <c r="I4607" s="28">
        <v>2396.0</v>
      </c>
      <c r="J4607" s="28">
        <v>0.0</v>
      </c>
      <c r="K4607" s="25" t="s">
        <v>25</v>
      </c>
      <c r="L4607" s="26">
        <v>4.0</v>
      </c>
      <c r="M4607" s="26">
        <v>2.0</v>
      </c>
      <c r="N4607" s="26">
        <v>1.0</v>
      </c>
      <c r="O4607" s="26">
        <v>0.0</v>
      </c>
      <c r="P4607" s="30"/>
      <c r="Q4607" s="35">
        <v>0.0</v>
      </c>
      <c r="R4607" s="32">
        <v>45849.0</v>
      </c>
      <c r="S4607" s="32">
        <v>45674.0</v>
      </c>
      <c r="T4607" s="29"/>
      <c r="U4607" s="33"/>
      <c r="V4607" s="1"/>
    </row>
    <row r="4608" ht="24.0" customHeight="1">
      <c r="A4608" s="1"/>
      <c r="B4608" s="24" t="str">
        <f>HYPERLINK("https://www.compass.com/listing/30-east-10th-street-unit-9n-manhattan-ny-10003/4852326986258853233/view?agent_id=610d3f3370540700019b0833","30 East 10th Street, Unit 9N")</f>
        <v>30 East 10th Street, Unit 9N</v>
      </c>
      <c r="C4608" s="25" t="s">
        <v>370</v>
      </c>
      <c r="D4608" s="26" t="s">
        <v>23</v>
      </c>
      <c r="E4608" s="27" t="str">
        <f>HYPERLINK("https://www.compass.com/building/30-e-10th-st-manhattan-ny-10003/281891869095369365/","30 E 10th St")</f>
        <v>30 E 10th St</v>
      </c>
      <c r="F4608" s="25" t="s">
        <v>43</v>
      </c>
      <c r="G4608" s="28">
        <v>2250000.0</v>
      </c>
      <c r="H4608" s="28">
        <v>1406.0</v>
      </c>
      <c r="I4608" s="28">
        <v>2761.0</v>
      </c>
      <c r="J4608" s="29"/>
      <c r="K4608" s="25" t="s">
        <v>25</v>
      </c>
      <c r="L4608" s="26">
        <v>4.0</v>
      </c>
      <c r="M4608" s="26">
        <v>2.0</v>
      </c>
      <c r="N4608" s="26">
        <v>0.0</v>
      </c>
      <c r="O4608" s="26">
        <v>0.0</v>
      </c>
      <c r="P4608" s="34">
        <v>1600.0</v>
      </c>
      <c r="Q4608" s="35">
        <v>55.0</v>
      </c>
      <c r="R4608" s="32">
        <v>44581.0</v>
      </c>
      <c r="S4608" s="32">
        <v>42362.0</v>
      </c>
      <c r="T4608" s="29"/>
      <c r="U4608" s="33"/>
      <c r="V4608" s="1"/>
    </row>
    <row r="4609" ht="24.0" customHeight="1">
      <c r="A4609" s="1"/>
      <c r="B4609" s="24" t="str">
        <f>HYPERLINK("https://www.compass.com/listing/376-west-street-unit-4a-manhattan-ny-10014/766607197868609681/view?agent_id=610d3f3370540700019b0833","376 West Street, Unit 4A")</f>
        <v>376 West Street, Unit 4A</v>
      </c>
      <c r="C4609" s="25" t="s">
        <v>364</v>
      </c>
      <c r="D4609" s="26" t="s">
        <v>23</v>
      </c>
      <c r="E4609" s="27" t="str">
        <f>HYPERLINK("https://www.compass.com/building/west-village-houses-manhattan-ny/282060576618741845/","West Village Houses")</f>
        <v>West Village Houses</v>
      </c>
      <c r="F4609" s="25" t="s">
        <v>26</v>
      </c>
      <c r="G4609" s="28">
        <v>1300000.0</v>
      </c>
      <c r="H4609" s="28">
        <v>1486.0</v>
      </c>
      <c r="I4609" s="28">
        <v>1504.0</v>
      </c>
      <c r="J4609" s="29"/>
      <c r="K4609" s="25" t="s">
        <v>25</v>
      </c>
      <c r="L4609" s="26">
        <v>4.0</v>
      </c>
      <c r="M4609" s="26">
        <v>2.0</v>
      </c>
      <c r="N4609" s="26">
        <v>1.0</v>
      </c>
      <c r="O4609" s="26">
        <v>0.0</v>
      </c>
      <c r="P4609" s="26">
        <v>875.0</v>
      </c>
      <c r="Q4609" s="35">
        <v>124.0</v>
      </c>
      <c r="R4609" s="32">
        <v>45636.0</v>
      </c>
      <c r="S4609" s="32">
        <v>45050.0</v>
      </c>
      <c r="T4609" s="29"/>
      <c r="U4609" s="33"/>
      <c r="V4609" s="1"/>
    </row>
    <row r="4610" ht="24.0" customHeight="1">
      <c r="A4610" s="1"/>
      <c r="B4610" s="24" t="str">
        <f>HYPERLINK("https://www.compass.com/listing/126-west-11th-street-unit-23-manhattan-ny-10011/118052755553148017/view?agent_id=610d3f3370540700019b0833","126 West 11th Street, Unit 23")</f>
        <v>126 West 11th Street, Unit 23</v>
      </c>
      <c r="C4610" s="25" t="s">
        <v>364</v>
      </c>
      <c r="D4610" s="26" t="s">
        <v>23</v>
      </c>
      <c r="E4610" s="27" t="str">
        <f>HYPERLINK("https://www.compass.com/building/the-unadilla-manhattan-ny/281904887636182549/","The Unadilla")</f>
        <v>The Unadilla</v>
      </c>
      <c r="F4610" s="25" t="s">
        <v>26</v>
      </c>
      <c r="G4610" s="28">
        <v>1595000.0</v>
      </c>
      <c r="H4610" s="29"/>
      <c r="I4610" s="28">
        <v>1199.0</v>
      </c>
      <c r="J4610" s="29"/>
      <c r="K4610" s="25" t="s">
        <v>25</v>
      </c>
      <c r="L4610" s="26">
        <v>4.0</v>
      </c>
      <c r="M4610" s="26">
        <v>2.0</v>
      </c>
      <c r="N4610" s="26">
        <v>1.0</v>
      </c>
      <c r="O4610" s="26">
        <v>0.0</v>
      </c>
      <c r="P4610" s="30"/>
      <c r="Q4610" s="31"/>
      <c r="R4610" s="32">
        <v>44581.0</v>
      </c>
      <c r="S4610" s="33"/>
      <c r="T4610" s="29"/>
      <c r="U4610" s="33"/>
      <c r="V4610" s="1"/>
    </row>
    <row r="4611" ht="24.0" customHeight="1">
      <c r="A4611" s="1"/>
      <c r="B4611" s="24" t="str">
        <f>HYPERLINK("https://www.compass.com/listing/205-3rd-avenue-unit-7s-manhattan-ny-10003/557428917877967513/view?agent_id=610d3f3370540700019b0833","205 3rd Avenue, Unit 7S")</f>
        <v>205 3rd Avenue, Unit 7S</v>
      </c>
      <c r="C4611" s="25" t="s">
        <v>364</v>
      </c>
      <c r="D4611" s="26" t="s">
        <v>23</v>
      </c>
      <c r="E4611" s="27" t="str">
        <f>HYPERLINK("https://www.compass.com/building/gramercy-park-towers-manhattan-ny/281890486954759109/","Gramercy Park Towers")</f>
        <v>Gramercy Park Towers</v>
      </c>
      <c r="F4611" s="25" t="s">
        <v>48</v>
      </c>
      <c r="G4611" s="28">
        <v>1115000.0</v>
      </c>
      <c r="H4611" s="28">
        <v>1088.0</v>
      </c>
      <c r="I4611" s="28">
        <v>1925.0</v>
      </c>
      <c r="J4611" s="29"/>
      <c r="K4611" s="25" t="s">
        <v>25</v>
      </c>
      <c r="L4611" s="26">
        <v>4.0</v>
      </c>
      <c r="M4611" s="26">
        <v>2.0</v>
      </c>
      <c r="N4611" s="26">
        <v>1.0</v>
      </c>
      <c r="O4611" s="26">
        <v>0.0</v>
      </c>
      <c r="P4611" s="34">
        <v>1025.0</v>
      </c>
      <c r="Q4611" s="35">
        <v>32.0</v>
      </c>
      <c r="R4611" s="32">
        <v>44581.0</v>
      </c>
      <c r="S4611" s="32">
        <v>44287.0</v>
      </c>
      <c r="T4611" s="29"/>
      <c r="U4611" s="33"/>
      <c r="V4611" s="1"/>
    </row>
    <row r="4612" ht="24.0" customHeight="1">
      <c r="A4612" s="1"/>
      <c r="B4612" s="24" t="str">
        <f>HYPERLINK("https://www.compass.com/listing/65-morton-street-unit-2nm-manhattan-ny-10014/4852307729965915777/view?agent_id=610d3f3370540700019b0833","65 Morton Street, Unit 2NM")</f>
        <v>65 Morton Street, Unit 2NM</v>
      </c>
      <c r="C4612" s="25" t="s">
        <v>370</v>
      </c>
      <c r="D4612" s="26" t="s">
        <v>23</v>
      </c>
      <c r="E4612" s="27" t="str">
        <f>HYPERLINK("https://www.compass.com/building/65-morton-st-manhattan-ny-10014/282065049390978901/","65 Morton St")</f>
        <v>65 Morton St</v>
      </c>
      <c r="F4612" s="25" t="s">
        <v>26</v>
      </c>
      <c r="G4612" s="28">
        <v>1595000.0</v>
      </c>
      <c r="H4612" s="29"/>
      <c r="I4612" s="28">
        <v>1143.0</v>
      </c>
      <c r="J4612" s="29"/>
      <c r="K4612" s="25" t="s">
        <v>25</v>
      </c>
      <c r="L4612" s="26">
        <v>5.0</v>
      </c>
      <c r="M4612" s="26">
        <v>2.0</v>
      </c>
      <c r="N4612" s="26">
        <v>0.0</v>
      </c>
      <c r="O4612" s="26">
        <v>0.0</v>
      </c>
      <c r="P4612" s="30"/>
      <c r="Q4612" s="35">
        <v>178.0</v>
      </c>
      <c r="R4612" s="32">
        <v>45636.0</v>
      </c>
      <c r="S4612" s="32">
        <v>42567.0</v>
      </c>
      <c r="T4612" s="29"/>
      <c r="U4612" s="33"/>
      <c r="V4612" s="1"/>
    </row>
    <row r="4613" ht="24.0" customHeight="1">
      <c r="A4613" s="1"/>
      <c r="B4613" s="24" t="str">
        <f>HYPERLINK("https://www.compass.com/listing/211-west-18th-street-unit-2-manhattan-ny-10011/29372017199296081/view?agent_id=610d3f3370540700019b0833","211 West 18th Street, Unit 2")</f>
        <v>211 West 18th Street, Unit 2</v>
      </c>
      <c r="C4613" s="25" t="s">
        <v>364</v>
      </c>
      <c r="D4613" s="26" t="s">
        <v>23</v>
      </c>
      <c r="E4613" s="27" t="str">
        <f>HYPERLINK("https://www.compass.com/building/211-w-18th-st-manhattan-ny-10011/281906795985784341/","211 W 18th St")</f>
        <v>211 W 18th St</v>
      </c>
      <c r="F4613" s="25" t="s">
        <v>27</v>
      </c>
      <c r="G4613" s="28">
        <v>2745000.0</v>
      </c>
      <c r="H4613" s="28">
        <v>2092.0</v>
      </c>
      <c r="I4613" s="28">
        <v>1456.0</v>
      </c>
      <c r="J4613" s="28">
        <v>9288.0</v>
      </c>
      <c r="K4613" s="25" t="s">
        <v>28</v>
      </c>
      <c r="L4613" s="26">
        <v>5.0</v>
      </c>
      <c r="M4613" s="26">
        <v>2.0</v>
      </c>
      <c r="N4613" s="26">
        <v>0.0</v>
      </c>
      <c r="O4613" s="26">
        <v>0.0</v>
      </c>
      <c r="P4613" s="34">
        <v>1312.0</v>
      </c>
      <c r="Q4613" s="35">
        <v>60.0</v>
      </c>
      <c r="R4613" s="32">
        <v>45636.0</v>
      </c>
      <c r="S4613" s="32">
        <v>42515.0</v>
      </c>
      <c r="T4613" s="29"/>
      <c r="U4613" s="33"/>
      <c r="V4613" s="1"/>
    </row>
    <row r="4614" ht="24.0" customHeight="1">
      <c r="A4614" s="1"/>
      <c r="B4614" s="24" t="str">
        <f>HYPERLINK("https://www.compass.com/listing/133-west-14th-street-unit-4-manhattan-ny-10011/803346825935242065/view?agent_id=610d3f3370540700019b0833","133 West 14th Street, Unit 4")</f>
        <v>133 West 14th Street, Unit 4</v>
      </c>
      <c r="C4614" s="25" t="s">
        <v>370</v>
      </c>
      <c r="D4614" s="26" t="s">
        <v>23</v>
      </c>
      <c r="E4614" s="27" t="str">
        <f>HYPERLINK("https://www.compass.com/building/133-w-14th-st-manhattan-ny-10011/281905104422981541/","133 W 14th St")</f>
        <v>133 W 14th St</v>
      </c>
      <c r="F4614" s="25" t="s">
        <v>27</v>
      </c>
      <c r="G4614" s="28">
        <v>3195000.0</v>
      </c>
      <c r="H4614" s="28">
        <v>1925.0</v>
      </c>
      <c r="I4614" s="28">
        <v>2277.0</v>
      </c>
      <c r="J4614" s="28">
        <v>18384.0</v>
      </c>
      <c r="K4614" s="25" t="s">
        <v>28</v>
      </c>
      <c r="L4614" s="26">
        <v>5.0</v>
      </c>
      <c r="M4614" s="26">
        <v>2.0</v>
      </c>
      <c r="N4614" s="26">
        <v>0.0</v>
      </c>
      <c r="O4614" s="26">
        <v>0.0</v>
      </c>
      <c r="P4614" s="34">
        <v>1660.0</v>
      </c>
      <c r="Q4614" s="35">
        <v>78.0</v>
      </c>
      <c r="R4614" s="32">
        <v>45636.0</v>
      </c>
      <c r="S4614" s="32">
        <v>42520.0</v>
      </c>
      <c r="T4614" s="29"/>
      <c r="U4614" s="33"/>
      <c r="V4614" s="1"/>
    </row>
    <row r="4615" ht="24.0" customHeight="1">
      <c r="A4615" s="1"/>
      <c r="B4615" s="24" t="str">
        <f>HYPERLINK("https://www.compass.com/listing/498-van-buren-street-brooklyn-ny-11221/70930667650809841/view?agent_id=610d3f3370540700019b0833","498 Van Buren Street")</f>
        <v>498 Van Buren Street</v>
      </c>
      <c r="C4615" s="25" t="s">
        <v>370</v>
      </c>
      <c r="D4615" s="26" t="s">
        <v>23</v>
      </c>
      <c r="E4615" s="27" t="str">
        <f>HYPERLINK("https://www.compass.com/building/498-van-buren-st-brooklyn-ny-11221/293530476793129813/","498 Van Buren St")</f>
        <v>498 Van Buren St</v>
      </c>
      <c r="F4615" s="25" t="s">
        <v>51</v>
      </c>
      <c r="G4615" s="28">
        <v>950000.0</v>
      </c>
      <c r="H4615" s="28">
        <v>662.0</v>
      </c>
      <c r="I4615" s="28">
        <v>0.0</v>
      </c>
      <c r="J4615" s="29"/>
      <c r="K4615" s="25" t="s">
        <v>159</v>
      </c>
      <c r="L4615" s="26">
        <v>6.0</v>
      </c>
      <c r="M4615" s="26">
        <v>2.0</v>
      </c>
      <c r="N4615" s="26">
        <v>0.0</v>
      </c>
      <c r="O4615" s="26">
        <v>0.0</v>
      </c>
      <c r="P4615" s="34">
        <v>1434.0</v>
      </c>
      <c r="Q4615" s="35">
        <v>24.0</v>
      </c>
      <c r="R4615" s="32">
        <v>45636.0</v>
      </c>
      <c r="S4615" s="32">
        <v>42994.0</v>
      </c>
      <c r="T4615" s="29"/>
      <c r="U4615" s="33"/>
      <c r="V4615" s="1"/>
    </row>
    <row r="4616" ht="24.0" customHeight="1">
      <c r="A4616" s="1"/>
      <c r="B4616" s="24" t="str">
        <f>HYPERLINK("https://www.compass.com/listing/18-west-70th-street-unit-3a-manhattan-ny-10023/1668075209031818929/view?agent_id=610d3f3370540700019b0833","18 West 70th Street, Unit 3A")</f>
        <v>18 West 70th Street, Unit 3A</v>
      </c>
      <c r="C4616" s="25" t="s">
        <v>364</v>
      </c>
      <c r="D4616" s="26" t="s">
        <v>23</v>
      </c>
      <c r="E4616" s="27" t="str">
        <f>HYPERLINK("https://www.compass.com/building/18-w-70th-st-manhattan-ny-10023/281957994957183205/","18 W 70th St")</f>
        <v>18 W 70th St</v>
      </c>
      <c r="F4616" s="25" t="s">
        <v>29</v>
      </c>
      <c r="G4616" s="28">
        <v>1500000.0</v>
      </c>
      <c r="H4616" s="29"/>
      <c r="I4616" s="28">
        <v>2124.0</v>
      </c>
      <c r="J4616" s="28">
        <v>0.0</v>
      </c>
      <c r="K4616" s="25" t="s">
        <v>25</v>
      </c>
      <c r="L4616" s="26">
        <v>4.0</v>
      </c>
      <c r="M4616" s="26">
        <v>2.0</v>
      </c>
      <c r="N4616" s="26">
        <v>1.0</v>
      </c>
      <c r="O4616" s="26">
        <v>0.0</v>
      </c>
      <c r="P4616" s="30"/>
      <c r="Q4616" s="35">
        <v>133.0</v>
      </c>
      <c r="R4616" s="32">
        <v>45687.0</v>
      </c>
      <c r="S4616" s="32">
        <v>45553.0</v>
      </c>
      <c r="T4616" s="29"/>
      <c r="U4616" s="33"/>
      <c r="V4616" s="1"/>
    </row>
    <row r="4617" ht="24.0" customHeight="1">
      <c r="A4617" s="1"/>
      <c r="B4617" s="24" t="str">
        <f>HYPERLINK("https://www.compass.com/listing/242-east-19th-street-unit-4b-manhattan-ny-10003/1410169381557263321/view?agent_id=610d3f3370540700019b0833","242 East 19th Street, Unit 4B")</f>
        <v>242 East 19th Street, Unit 4B</v>
      </c>
      <c r="C4617" s="25" t="s">
        <v>364</v>
      </c>
      <c r="D4617" s="26" t="s">
        <v>23</v>
      </c>
      <c r="E4617" s="27" t="str">
        <f t="shared" ref="E4617:E4618" si="202">HYPERLINK("https://www.compass.com/building/242-e-19th-st-manhattan-ny-10003/292784403124335077/","242 E 19th St")</f>
        <v>242 E 19th St</v>
      </c>
      <c r="F4617" s="25" t="s">
        <v>48</v>
      </c>
      <c r="G4617" s="28">
        <v>1645000.0</v>
      </c>
      <c r="H4617" s="28">
        <v>1371.0</v>
      </c>
      <c r="I4617" s="28">
        <v>2586.0</v>
      </c>
      <c r="J4617" s="28">
        <v>0.0</v>
      </c>
      <c r="K4617" s="25" t="s">
        <v>25</v>
      </c>
      <c r="L4617" s="26">
        <v>4.0</v>
      </c>
      <c r="M4617" s="26">
        <v>2.0</v>
      </c>
      <c r="N4617" s="26">
        <v>1.0</v>
      </c>
      <c r="O4617" s="26">
        <v>0.0</v>
      </c>
      <c r="P4617" s="34">
        <v>1200.0</v>
      </c>
      <c r="Q4617" s="35">
        <v>216.0</v>
      </c>
      <c r="R4617" s="32">
        <v>45636.0</v>
      </c>
      <c r="S4617" s="32">
        <v>45196.0</v>
      </c>
      <c r="T4617" s="29"/>
      <c r="U4617" s="33"/>
      <c r="V4617" s="1"/>
    </row>
    <row r="4618" ht="24.0" customHeight="1">
      <c r="A4618" s="1"/>
      <c r="B4618" s="24" t="str">
        <f>HYPERLINK("https://www.compass.com/listing/242-east-19th-street-unit-11b-manhattan-ny-10003/619524553854840481/view?agent_id=610d3f3370540700019b0833","242 East 19th Street, Unit 11B")</f>
        <v>242 East 19th Street, Unit 11B</v>
      </c>
      <c r="C4618" s="25" t="s">
        <v>364</v>
      </c>
      <c r="D4618" s="26" t="s">
        <v>23</v>
      </c>
      <c r="E4618" s="27" t="str">
        <f t="shared" si="202"/>
        <v>242 E 19th St</v>
      </c>
      <c r="F4618" s="25" t="s">
        <v>48</v>
      </c>
      <c r="G4618" s="28">
        <v>1575000.0</v>
      </c>
      <c r="H4618" s="29"/>
      <c r="I4618" s="28">
        <v>2459.0</v>
      </c>
      <c r="J4618" s="29"/>
      <c r="K4618" s="25" t="s">
        <v>25</v>
      </c>
      <c r="L4618" s="26">
        <v>5.0</v>
      </c>
      <c r="M4618" s="26">
        <v>2.0</v>
      </c>
      <c r="N4618" s="26">
        <v>1.0</v>
      </c>
      <c r="O4618" s="26">
        <v>0.0</v>
      </c>
      <c r="P4618" s="30"/>
      <c r="Q4618" s="35">
        <v>62.0</v>
      </c>
      <c r="R4618" s="32">
        <v>45636.0</v>
      </c>
      <c r="S4618" s="32">
        <v>44105.0</v>
      </c>
      <c r="T4618" s="29"/>
      <c r="U4618" s="33"/>
      <c r="V4618" s="1"/>
    </row>
    <row r="4619" ht="24.0" customHeight="1">
      <c r="A4619" s="1"/>
      <c r="B4619" s="24" t="str">
        <f>HYPERLINK("https://www.compass.com/listing/101-west-24th-street-unit-26b-manhattan-ny-10011/803315018934093313/view?agent_id=610d3f3370540700019b0833","101 West 24th Street, Unit 26B")</f>
        <v>101 West 24th Street, Unit 26B</v>
      </c>
      <c r="C4619" s="25" t="s">
        <v>364</v>
      </c>
      <c r="D4619" s="26" t="s">
        <v>23</v>
      </c>
      <c r="E4619" s="27" t="str">
        <f>HYPERLINK("https://www.compass.com/building/chelsea-stratus-manhattan-ny/294845224777812053/","Chelsea Stratus")</f>
        <v>Chelsea Stratus</v>
      </c>
      <c r="F4619" s="25" t="s">
        <v>27</v>
      </c>
      <c r="G4619" s="28">
        <v>3495000.0</v>
      </c>
      <c r="H4619" s="28">
        <v>2814.0</v>
      </c>
      <c r="I4619" s="28">
        <v>2998.0</v>
      </c>
      <c r="J4619" s="28">
        <v>22380.0</v>
      </c>
      <c r="K4619" s="25" t="s">
        <v>28</v>
      </c>
      <c r="L4619" s="26">
        <v>4.0</v>
      </c>
      <c r="M4619" s="26">
        <v>2.0</v>
      </c>
      <c r="N4619" s="26">
        <v>0.0</v>
      </c>
      <c r="O4619" s="26">
        <v>0.0</v>
      </c>
      <c r="P4619" s="34">
        <v>1242.0</v>
      </c>
      <c r="Q4619" s="35">
        <v>20.0</v>
      </c>
      <c r="R4619" s="32">
        <v>45636.0</v>
      </c>
      <c r="S4619" s="32">
        <v>43005.0</v>
      </c>
      <c r="T4619" s="29"/>
      <c r="U4619" s="33"/>
      <c r="V4619" s="1"/>
    </row>
    <row r="4620" ht="24.0" customHeight="1">
      <c r="A4620" s="1"/>
      <c r="B4620" s="24" t="str">
        <f>HYPERLINK("https://www.compass.com/listing/210-west-21st-street-unit-2fw-manhattan-ny-10011/1258135525693157737/view?agent_id=610d3f3370540700019b0833","210 West 21st Street, Unit 2FW")</f>
        <v>210 West 21st Street, Unit 2FW</v>
      </c>
      <c r="C4620" s="25" t="s">
        <v>370</v>
      </c>
      <c r="D4620" s="26" t="s">
        <v>23</v>
      </c>
      <c r="E4620" s="27" t="str">
        <f>HYPERLINK("https://www.compass.com/building/210-w-21st-st-manhattan-ny-10011/281906785541967365/","210 W 21st St")</f>
        <v>210 W 21st St</v>
      </c>
      <c r="F4620" s="25" t="s">
        <v>27</v>
      </c>
      <c r="G4620" s="28">
        <v>1150000.0</v>
      </c>
      <c r="H4620" s="29"/>
      <c r="I4620" s="28">
        <v>1777.0</v>
      </c>
      <c r="J4620" s="28">
        <v>0.0</v>
      </c>
      <c r="K4620" s="25" t="s">
        <v>25</v>
      </c>
      <c r="L4620" s="26">
        <v>5.0</v>
      </c>
      <c r="M4620" s="26">
        <v>2.0</v>
      </c>
      <c r="N4620" s="26">
        <v>1.0</v>
      </c>
      <c r="O4620" s="26">
        <v>0.0</v>
      </c>
      <c r="P4620" s="30"/>
      <c r="Q4620" s="35">
        <v>376.0</v>
      </c>
      <c r="R4620" s="32">
        <v>45363.0</v>
      </c>
      <c r="S4620" s="32">
        <v>44987.0</v>
      </c>
      <c r="T4620" s="29"/>
      <c r="U4620" s="33"/>
      <c r="V4620" s="1"/>
    </row>
    <row r="4621" ht="24.0" customHeight="1">
      <c r="A4621" s="1"/>
      <c r="B4621" s="24" t="str">
        <f>HYPERLINK("https://www.compass.com/listing/25-5th-avenue-unit-10f-manhattan-ny-10003/1166125222885898385/view?agent_id=610d3f3370540700019b0833","25 5th Avenue, Unit 10F")</f>
        <v>25 5th Avenue, Unit 10F</v>
      </c>
      <c r="C4621" s="25" t="s">
        <v>365</v>
      </c>
      <c r="D4621" s="26" t="s">
        <v>23</v>
      </c>
      <c r="E4621" s="27" t="str">
        <f>HYPERLINK("https://www.compass.com/building/25-5th-ave-manhattan-ny-10003/293532429275211765/","25 5th Ave")</f>
        <v>25 5th Ave</v>
      </c>
      <c r="F4621" s="25" t="s">
        <v>43</v>
      </c>
      <c r="G4621" s="28">
        <v>2750000.0</v>
      </c>
      <c r="H4621" s="29"/>
      <c r="I4621" s="28">
        <v>2531.0</v>
      </c>
      <c r="J4621" s="28">
        <v>13992.0</v>
      </c>
      <c r="K4621" s="25" t="s">
        <v>28</v>
      </c>
      <c r="L4621" s="26">
        <v>4.0</v>
      </c>
      <c r="M4621" s="26">
        <v>2.0</v>
      </c>
      <c r="N4621" s="26">
        <v>1.0</v>
      </c>
      <c r="O4621" s="30"/>
      <c r="P4621" s="30"/>
      <c r="Q4621" s="35">
        <v>26.0</v>
      </c>
      <c r="R4621" s="32">
        <v>44898.0</v>
      </c>
      <c r="S4621" s="32">
        <v>44860.0</v>
      </c>
      <c r="T4621" s="29"/>
      <c r="U4621" s="33"/>
      <c r="V4621" s="1"/>
    </row>
    <row r="4622" ht="24.0" customHeight="1">
      <c r="A4622" s="1"/>
      <c r="B4622" s="24" t="str">
        <f>HYPERLINK("https://www.compass.com/listing/501-513-west-19th-street-unit-7c-manhattan-ny-10011/134457039274391777/view?agent_id=610d3f3370540700019b0833","501-513 West 19th Street, Unit 7C")</f>
        <v>501-513 West 19th Street, Unit 7C</v>
      </c>
      <c r="C4622" s="25" t="s">
        <v>364</v>
      </c>
      <c r="D4622" s="26" t="s">
        <v>23</v>
      </c>
      <c r="E4622" s="27" t="str">
        <f>HYPERLINK("https://www.compass.com/building/501-513-w-19th-st-manhattan-ny-10011/567669713138445509/","501-513 W 19th St")</f>
        <v>501-513 W 19th St</v>
      </c>
      <c r="F4622" s="25" t="s">
        <v>27</v>
      </c>
      <c r="G4622" s="28">
        <v>3450000.0</v>
      </c>
      <c r="H4622" s="28">
        <v>2033.0</v>
      </c>
      <c r="I4622" s="28">
        <v>6182.0</v>
      </c>
      <c r="J4622" s="28">
        <v>43140.0</v>
      </c>
      <c r="K4622" s="25" t="s">
        <v>28</v>
      </c>
      <c r="L4622" s="26">
        <v>4.0</v>
      </c>
      <c r="M4622" s="26">
        <v>2.0</v>
      </c>
      <c r="N4622" s="30"/>
      <c r="O4622" s="30"/>
      <c r="P4622" s="34">
        <v>1697.0</v>
      </c>
      <c r="Q4622" s="35">
        <v>79.0</v>
      </c>
      <c r="R4622" s="32">
        <v>43582.0</v>
      </c>
      <c r="S4622" s="32">
        <v>43437.0</v>
      </c>
      <c r="T4622" s="28">
        <v>3450000.0</v>
      </c>
      <c r="U4622" s="32">
        <v>43580.0</v>
      </c>
      <c r="V4622" s="1"/>
    </row>
    <row r="4623" ht="24.0" customHeight="1">
      <c r="A4623" s="1"/>
      <c r="B4623" s="24" t="str">
        <f>HYPERLINK("https://www.compass.com/listing/399-east-8th-street-unit-phc-manhattan-ny-10009/1248184251531612553/view?agent_id=610d3f3370540700019b0833","399 E 8th St, Unit PHC")</f>
        <v>399 E 8th St, Unit PHC</v>
      </c>
      <c r="C4623" s="25" t="s">
        <v>364</v>
      </c>
      <c r="D4623" s="26" t="s">
        <v>23</v>
      </c>
      <c r="E4623" s="27" t="str">
        <f t="shared" ref="E4623:E4627" si="203">HYPERLINK("https://www.compass.com/building/three99-on-eighth-manhattan-ny/281899849236886213/","THREE99 On Eighth")</f>
        <v>THREE99 On Eighth</v>
      </c>
      <c r="F4623" s="25" t="s">
        <v>24</v>
      </c>
      <c r="G4623" s="28">
        <v>1275000.0</v>
      </c>
      <c r="H4623" s="29"/>
      <c r="I4623" s="28">
        <v>1639.0</v>
      </c>
      <c r="J4623" s="28">
        <v>8313.0</v>
      </c>
      <c r="K4623" s="25" t="s">
        <v>28</v>
      </c>
      <c r="L4623" s="26">
        <v>4.0</v>
      </c>
      <c r="M4623" s="26">
        <v>2.0</v>
      </c>
      <c r="N4623" s="26">
        <v>1.0</v>
      </c>
      <c r="O4623" s="30"/>
      <c r="P4623" s="30"/>
      <c r="Q4623" s="35">
        <v>42.0</v>
      </c>
      <c r="R4623" s="32">
        <v>43040.0</v>
      </c>
      <c r="S4623" s="32">
        <v>42902.0</v>
      </c>
      <c r="T4623" s="29"/>
      <c r="U4623" s="33"/>
      <c r="V4623" s="1"/>
    </row>
    <row r="4624" ht="24.0" customHeight="1">
      <c r="A4624" s="1"/>
      <c r="B4624" s="24" t="str">
        <f>HYPERLINK("https://www.compass.com/listing/399-east-8th-street-unit-7a-manhattan-ny-10009/1249400138921835681/view?agent_id=610d3f3370540700019b0833","399 E 8th St, Unit 7A")</f>
        <v>399 E 8th St, Unit 7A</v>
      </c>
      <c r="C4624" s="25" t="s">
        <v>364</v>
      </c>
      <c r="D4624" s="26" t="s">
        <v>23</v>
      </c>
      <c r="E4624" s="27" t="str">
        <f t="shared" si="203"/>
        <v>THREE99 On Eighth</v>
      </c>
      <c r="F4624" s="25" t="s">
        <v>24</v>
      </c>
      <c r="G4624" s="28">
        <v>1080000.0</v>
      </c>
      <c r="H4624" s="28">
        <v>1614.0</v>
      </c>
      <c r="I4624" s="28">
        <v>2036.0</v>
      </c>
      <c r="J4624" s="28">
        <v>16939.0</v>
      </c>
      <c r="K4624" s="25" t="s">
        <v>28</v>
      </c>
      <c r="L4624" s="26">
        <v>4.0</v>
      </c>
      <c r="M4624" s="26">
        <v>2.0</v>
      </c>
      <c r="N4624" s="26">
        <v>1.0</v>
      </c>
      <c r="O4624" s="26">
        <v>0.0</v>
      </c>
      <c r="P4624" s="26">
        <v>669.0</v>
      </c>
      <c r="Q4624" s="35">
        <v>120.0</v>
      </c>
      <c r="R4624" s="32">
        <v>43670.0</v>
      </c>
      <c r="S4624" s="32">
        <v>42523.0</v>
      </c>
      <c r="T4624" s="28">
        <v>1080000.0</v>
      </c>
      <c r="U4624" s="32">
        <v>42863.0</v>
      </c>
      <c r="V4624" s="1"/>
    </row>
    <row r="4625" ht="24.0" customHeight="1">
      <c r="A4625" s="1"/>
      <c r="B4625" s="24" t="str">
        <f>HYPERLINK("https://www.compass.com/listing/399-east-8th-street-unit-6d-manhattan-ny-10009/29513610963235505/view?agent_id=610d3f3370540700019b0833","399 East 8th Street, Unit 6D")</f>
        <v>399 East 8th Street, Unit 6D</v>
      </c>
      <c r="C4625" s="25" t="s">
        <v>364</v>
      </c>
      <c r="D4625" s="26" t="s">
        <v>23</v>
      </c>
      <c r="E4625" s="27" t="str">
        <f t="shared" si="203"/>
        <v>THREE99 On Eighth</v>
      </c>
      <c r="F4625" s="25" t="s">
        <v>24</v>
      </c>
      <c r="G4625" s="28">
        <v>1175000.0</v>
      </c>
      <c r="H4625" s="28">
        <v>2374.0</v>
      </c>
      <c r="I4625" s="28">
        <v>1580.0</v>
      </c>
      <c r="J4625" s="28">
        <v>10950.0</v>
      </c>
      <c r="K4625" s="25" t="s">
        <v>28</v>
      </c>
      <c r="L4625" s="26">
        <v>4.0</v>
      </c>
      <c r="M4625" s="26">
        <v>2.0</v>
      </c>
      <c r="N4625" s="26">
        <v>1.0</v>
      </c>
      <c r="O4625" s="26">
        <v>0.0</v>
      </c>
      <c r="P4625" s="26">
        <v>495.0</v>
      </c>
      <c r="Q4625" s="35">
        <v>167.0</v>
      </c>
      <c r="R4625" s="32">
        <v>45636.0</v>
      </c>
      <c r="S4625" s="32">
        <v>42734.0</v>
      </c>
      <c r="T4625" s="29"/>
      <c r="U4625" s="33"/>
      <c r="V4625" s="1"/>
    </row>
    <row r="4626" ht="24.0" customHeight="1">
      <c r="A4626" s="1"/>
      <c r="B4626" s="24" t="str">
        <f>HYPERLINK("https://www.compass.com/listing/399-east-8th-street-unit-phc-manhattan-ny-10009/4852283667445196465/view?agent_id=610d3f3370540700019b0833","399 East 8th Street, Unit PHC")</f>
        <v>399 East 8th Street, Unit PHC</v>
      </c>
      <c r="C4626" s="25" t="s">
        <v>364</v>
      </c>
      <c r="D4626" s="26" t="s">
        <v>23</v>
      </c>
      <c r="E4626" s="27" t="str">
        <f t="shared" si="203"/>
        <v>THREE99 On Eighth</v>
      </c>
      <c r="F4626" s="25" t="s">
        <v>24</v>
      </c>
      <c r="G4626" s="28">
        <v>1275000.0</v>
      </c>
      <c r="H4626" s="29"/>
      <c r="I4626" s="28">
        <v>1639.0</v>
      </c>
      <c r="J4626" s="28">
        <v>8313.0</v>
      </c>
      <c r="K4626" s="25" t="s">
        <v>28</v>
      </c>
      <c r="L4626" s="26">
        <v>4.0</v>
      </c>
      <c r="M4626" s="26">
        <v>2.0</v>
      </c>
      <c r="N4626" s="26">
        <v>1.0</v>
      </c>
      <c r="O4626" s="26">
        <v>0.0</v>
      </c>
      <c r="P4626" s="30"/>
      <c r="Q4626" s="31"/>
      <c r="R4626" s="32">
        <v>45636.0</v>
      </c>
      <c r="S4626" s="33"/>
      <c r="T4626" s="29"/>
      <c r="U4626" s="33"/>
      <c r="V4626" s="1"/>
    </row>
    <row r="4627" ht="24.0" customHeight="1">
      <c r="A4627" s="1"/>
      <c r="B4627" s="24" t="str">
        <f>HYPERLINK("https://www.compass.com/listing/399-east-8th-street-unit-4d-manhattan-ny-10009/803307266442861193/view?agent_id=610d3f3370540700019b0833","399 East 8th Street, Unit 4D")</f>
        <v>399 East 8th Street, Unit 4D</v>
      </c>
      <c r="C4627" s="25" t="s">
        <v>364</v>
      </c>
      <c r="D4627" s="26" t="s">
        <v>23</v>
      </c>
      <c r="E4627" s="27" t="str">
        <f t="shared" si="203"/>
        <v>THREE99 On Eighth</v>
      </c>
      <c r="F4627" s="25" t="s">
        <v>24</v>
      </c>
      <c r="G4627" s="28">
        <v>1100000.0</v>
      </c>
      <c r="H4627" s="28">
        <v>1501.0</v>
      </c>
      <c r="I4627" s="28">
        <v>1531.0</v>
      </c>
      <c r="J4627" s="28">
        <v>10605.0</v>
      </c>
      <c r="K4627" s="25" t="s">
        <v>28</v>
      </c>
      <c r="L4627" s="26">
        <v>4.0</v>
      </c>
      <c r="M4627" s="26">
        <v>2.0</v>
      </c>
      <c r="N4627" s="26">
        <v>1.0</v>
      </c>
      <c r="O4627" s="26">
        <v>0.0</v>
      </c>
      <c r="P4627" s="26">
        <v>733.0</v>
      </c>
      <c r="Q4627" s="35">
        <v>258.0</v>
      </c>
      <c r="R4627" s="32">
        <v>45636.0</v>
      </c>
      <c r="S4627" s="32">
        <v>42642.0</v>
      </c>
      <c r="T4627" s="29"/>
      <c r="U4627" s="33"/>
      <c r="V4627" s="1"/>
    </row>
    <row r="4628" ht="24.0" customHeight="1">
      <c r="A4628" s="1"/>
      <c r="B4628" s="24" t="str">
        <f>HYPERLINK("https://www.compass.com/listing/126-university-place-unit-4-manhattan-ny-10003/783638745012514985/view?agent_id=610d3f3370540700019b0833","126 University Place, Unit 4")</f>
        <v>126 University Place, Unit 4</v>
      </c>
      <c r="C4628" s="25" t="s">
        <v>364</v>
      </c>
      <c r="D4628" s="26" t="s">
        <v>23</v>
      </c>
      <c r="E4628" s="27" t="str">
        <f>HYPERLINK("https://www.compass.com/building/126-university-pl-manhattan-ny-10003/281889333277888357/","126 University Pl")</f>
        <v>126 University Pl</v>
      </c>
      <c r="F4628" s="25" t="s">
        <v>43</v>
      </c>
      <c r="G4628" s="28">
        <v>2995000.0</v>
      </c>
      <c r="H4628" s="28">
        <v>1548.0</v>
      </c>
      <c r="I4628" s="28">
        <v>2609.0</v>
      </c>
      <c r="J4628" s="28">
        <v>13740.0</v>
      </c>
      <c r="K4628" s="25" t="s">
        <v>28</v>
      </c>
      <c r="L4628" s="26">
        <v>7.0</v>
      </c>
      <c r="M4628" s="26">
        <v>2.0</v>
      </c>
      <c r="N4628" s="26">
        <v>0.0</v>
      </c>
      <c r="O4628" s="26">
        <v>0.0</v>
      </c>
      <c r="P4628" s="34">
        <v>1935.0</v>
      </c>
      <c r="Q4628" s="31"/>
      <c r="R4628" s="32">
        <v>44581.0</v>
      </c>
      <c r="S4628" s="33"/>
      <c r="T4628" s="29"/>
      <c r="U4628" s="33"/>
      <c r="V4628" s="1"/>
    </row>
    <row r="4629" ht="24.0" customHeight="1">
      <c r="A4629" s="1"/>
      <c r="B4629" s="24" t="str">
        <f>HYPERLINK("https://www.compass.com/listing/130-west-16th-street-unit-51-manhattan-ny-10011/1723387032990046361/view?agent_id=610d3f3370540700019b0833","130 West 16th Street, Unit 51")</f>
        <v>130 West 16th Street, Unit 51</v>
      </c>
      <c r="C4629" s="25" t="s">
        <v>365</v>
      </c>
      <c r="D4629" s="26" t="s">
        <v>23</v>
      </c>
      <c r="E4629" s="27" t="str">
        <f>HYPERLINK("https://www.compass.com/building/130-w-16th-st-manhattan-ny-10011/281905003180871461/","130 W 16th St")</f>
        <v>130 W 16th St</v>
      </c>
      <c r="F4629" s="25" t="s">
        <v>27</v>
      </c>
      <c r="G4629" s="28">
        <v>1225000.0</v>
      </c>
      <c r="H4629" s="29"/>
      <c r="I4629" s="28">
        <v>1567.0</v>
      </c>
      <c r="J4629" s="28">
        <v>0.0</v>
      </c>
      <c r="K4629" s="25" t="s">
        <v>25</v>
      </c>
      <c r="L4629" s="26">
        <v>4.0</v>
      </c>
      <c r="M4629" s="26">
        <v>2.0</v>
      </c>
      <c r="N4629" s="26">
        <v>1.0</v>
      </c>
      <c r="O4629" s="26">
        <v>0.0</v>
      </c>
      <c r="P4629" s="30"/>
      <c r="Q4629" s="35">
        <v>217.0</v>
      </c>
      <c r="R4629" s="32">
        <v>45822.0</v>
      </c>
      <c r="S4629" s="32">
        <v>45629.0</v>
      </c>
      <c r="T4629" s="29"/>
      <c r="U4629" s="33"/>
      <c r="V4629" s="1"/>
    </row>
    <row r="4630" ht="24.0" customHeight="1">
      <c r="A4630" s="1"/>
      <c r="B4630" s="24" t="str">
        <f>HYPERLINK("https://www.compass.com/listing/307-east-8th-street-unit-3a-manhattan-ny-10009/822515415622996681/view?agent_id=610d3f3370540700019b0833","307 East 8th Street, Unit 3A")</f>
        <v>307 East 8th Street, Unit 3A</v>
      </c>
      <c r="C4630" s="25" t="s">
        <v>364</v>
      </c>
      <c r="D4630" s="26" t="s">
        <v>23</v>
      </c>
      <c r="E4630" s="27" t="str">
        <f>HYPERLINK("https://www.compass.com/building/307-e-8th-st-manhattan-ny-10009/281899465583898901/","307 E 8th St")</f>
        <v>307 E 8th St</v>
      </c>
      <c r="F4630" s="25" t="s">
        <v>24</v>
      </c>
      <c r="G4630" s="28">
        <v>649000.0</v>
      </c>
      <c r="H4630" s="28">
        <v>883.0</v>
      </c>
      <c r="I4630" s="28">
        <v>1484.0</v>
      </c>
      <c r="J4630" s="29"/>
      <c r="K4630" s="25" t="s">
        <v>25</v>
      </c>
      <c r="L4630" s="26">
        <v>4.0</v>
      </c>
      <c r="M4630" s="26">
        <v>2.0</v>
      </c>
      <c r="N4630" s="26">
        <v>0.0</v>
      </c>
      <c r="O4630" s="26">
        <v>0.0</v>
      </c>
      <c r="P4630" s="26">
        <v>735.0</v>
      </c>
      <c r="Q4630" s="35">
        <v>0.0</v>
      </c>
      <c r="R4630" s="32">
        <v>44581.0</v>
      </c>
      <c r="S4630" s="32">
        <v>41537.0</v>
      </c>
      <c r="T4630" s="29"/>
      <c r="U4630" s="33"/>
      <c r="V4630" s="1"/>
    </row>
    <row r="4631" ht="24.0" customHeight="1">
      <c r="A4631" s="1"/>
      <c r="B4631" s="24" t="str">
        <f>HYPERLINK("https://www.compass.com/listing/156-bank-street-unit-1a-manhattan-ny-10014/1500619243918874473/view?agent_id=610d3f3370540700019b0833","156 Bank Street, Unit 1A")</f>
        <v>156 Bank Street, Unit 1A</v>
      </c>
      <c r="C4631" s="25" t="s">
        <v>364</v>
      </c>
      <c r="D4631" s="26" t="s">
        <v>23</v>
      </c>
      <c r="E4631" s="27" t="str">
        <f>HYPERLINK("https://www.compass.com/building/west-village-houses-manhattan-ny/282062615914516501/","West Village Houses")</f>
        <v>West Village Houses</v>
      </c>
      <c r="F4631" s="25" t="s">
        <v>26</v>
      </c>
      <c r="G4631" s="28">
        <v>1295000.0</v>
      </c>
      <c r="H4631" s="29"/>
      <c r="I4631" s="28">
        <v>1363.0</v>
      </c>
      <c r="J4631" s="28">
        <v>0.0</v>
      </c>
      <c r="K4631" s="25" t="s">
        <v>25</v>
      </c>
      <c r="L4631" s="26">
        <v>5.0</v>
      </c>
      <c r="M4631" s="26">
        <v>2.0</v>
      </c>
      <c r="N4631" s="26">
        <v>1.0</v>
      </c>
      <c r="O4631" s="26">
        <v>0.0</v>
      </c>
      <c r="P4631" s="30"/>
      <c r="Q4631" s="35">
        <v>127.0</v>
      </c>
      <c r="R4631" s="32">
        <v>45636.0</v>
      </c>
      <c r="S4631" s="32">
        <v>45329.0</v>
      </c>
      <c r="T4631" s="29"/>
      <c r="U4631" s="33"/>
      <c r="V4631" s="1"/>
    </row>
    <row r="4632" ht="24.0" customHeight="1">
      <c r="A4632" s="1"/>
      <c r="B4632" s="24" t="str">
        <f>HYPERLINK("https://www.compass.com/listing/151-west-21st-street-unit-6b-manhattan-ny-10011/29373340594542081/view?agent_id=610d3f3370540700019b0833","151 West 21st Street, Unit 6B")</f>
        <v>151 West 21st Street, Unit 6B</v>
      </c>
      <c r="C4632" s="25" t="s">
        <v>364</v>
      </c>
      <c r="D4632" s="26" t="s">
        <v>23</v>
      </c>
      <c r="E4632" s="27" t="str">
        <f>HYPERLINK("https://www.compass.com/building/chelsea-green-manhattan-ny/281905680519025221/","Chelsea Green")</f>
        <v>Chelsea Green</v>
      </c>
      <c r="F4632" s="25" t="s">
        <v>27</v>
      </c>
      <c r="G4632" s="28">
        <v>1875000.0</v>
      </c>
      <c r="H4632" s="28">
        <v>1456.0</v>
      </c>
      <c r="I4632" s="28">
        <v>2016.0</v>
      </c>
      <c r="J4632" s="28">
        <v>7140.0</v>
      </c>
      <c r="K4632" s="25" t="s">
        <v>28</v>
      </c>
      <c r="L4632" s="26">
        <v>3.0</v>
      </c>
      <c r="M4632" s="26">
        <v>2.0</v>
      </c>
      <c r="N4632" s="26">
        <v>0.0</v>
      </c>
      <c r="O4632" s="26">
        <v>0.0</v>
      </c>
      <c r="P4632" s="34">
        <v>1288.0</v>
      </c>
      <c r="Q4632" s="35">
        <v>0.0</v>
      </c>
      <c r="R4632" s="32">
        <v>44581.0</v>
      </c>
      <c r="S4632" s="32">
        <v>41506.0</v>
      </c>
      <c r="T4632" s="29"/>
      <c r="U4632" s="33"/>
      <c r="V4632" s="1"/>
    </row>
    <row r="4633" ht="24.0" customHeight="1">
      <c r="A4633" s="1"/>
      <c r="B4633" s="24" t="str">
        <f>HYPERLINK("https://www.compass.com/listing/450-west-17th-street-unit-1003-manhattan-ny-10011/70912906518138657/view?agent_id=610d3f3370540700019b0833","450 West 17th Street, Unit 1003")</f>
        <v>450 West 17th Street, Unit 1003</v>
      </c>
      <c r="C4633" s="25" t="s">
        <v>364</v>
      </c>
      <c r="D4633" s="26" t="s">
        <v>23</v>
      </c>
      <c r="E4633" s="27" t="str">
        <f>HYPERLINK("https://www.compass.com/building/the-caledonia-manhattan-ny/281910674349645621/","The Caledonia")</f>
        <v>The Caledonia</v>
      </c>
      <c r="F4633" s="25" t="s">
        <v>27</v>
      </c>
      <c r="G4633" s="28">
        <v>2795000.0</v>
      </c>
      <c r="H4633" s="28">
        <v>2948.0</v>
      </c>
      <c r="I4633" s="28">
        <v>1487.0</v>
      </c>
      <c r="J4633" s="28">
        <v>5364.0</v>
      </c>
      <c r="K4633" s="25" t="s">
        <v>28</v>
      </c>
      <c r="L4633" s="26">
        <v>4.0</v>
      </c>
      <c r="M4633" s="26">
        <v>2.0</v>
      </c>
      <c r="N4633" s="26">
        <v>0.0</v>
      </c>
      <c r="O4633" s="26">
        <v>0.0</v>
      </c>
      <c r="P4633" s="26">
        <v>948.0</v>
      </c>
      <c r="Q4633" s="35">
        <v>70.0</v>
      </c>
      <c r="R4633" s="32">
        <v>45636.0</v>
      </c>
      <c r="S4633" s="32">
        <v>42290.0</v>
      </c>
      <c r="T4633" s="29"/>
      <c r="U4633" s="33"/>
      <c r="V4633" s="1"/>
    </row>
    <row r="4634" ht="24.0" customHeight="1">
      <c r="A4634" s="1"/>
      <c r="B4634" s="24" t="str">
        <f>HYPERLINK("https://www.compass.com/listing/211-east-18th-street-unit-3t-manhattan-ny-10003/546183026378584985/view?agent_id=610d3f3370540700019b0833","211 East 18th Street, Unit 3T")</f>
        <v>211 East 18th Street, Unit 3T</v>
      </c>
      <c r="C4634" s="25" t="s">
        <v>364</v>
      </c>
      <c r="D4634" s="26" t="s">
        <v>23</v>
      </c>
      <c r="E4634" s="27" t="str">
        <f>HYPERLINK("https://www.compass.com/building/211-e-18th-st-manhattan-ny-10003/281890719654743205/","211 E 18th St")</f>
        <v>211 E 18th St</v>
      </c>
      <c r="F4634" s="25" t="s">
        <v>48</v>
      </c>
      <c r="G4634" s="28">
        <v>1250000.0</v>
      </c>
      <c r="H4634" s="29"/>
      <c r="I4634" s="28">
        <v>1828.0</v>
      </c>
      <c r="J4634" s="29"/>
      <c r="K4634" s="25" t="s">
        <v>25</v>
      </c>
      <c r="L4634" s="26">
        <v>4.0</v>
      </c>
      <c r="M4634" s="26">
        <v>2.0</v>
      </c>
      <c r="N4634" s="26">
        <v>1.0</v>
      </c>
      <c r="O4634" s="26">
        <v>0.0</v>
      </c>
      <c r="P4634" s="30"/>
      <c r="Q4634" s="35">
        <v>179.0</v>
      </c>
      <c r="R4634" s="32">
        <v>44581.0</v>
      </c>
      <c r="S4634" s="32">
        <v>44005.0</v>
      </c>
      <c r="T4634" s="29"/>
      <c r="U4634" s="33"/>
      <c r="V4634" s="1"/>
    </row>
    <row r="4635" ht="24.0" customHeight="1">
      <c r="A4635" s="1"/>
      <c r="B4635" s="24" t="str">
        <f>HYPERLINK("https://www.compass.com/listing/153-charles-street-manhattan-ny-10014/192573968702554481/view?agent_id=610d3f3370540700019b0833","153 Charles Street")</f>
        <v>153 Charles Street</v>
      </c>
      <c r="C4635" s="25" t="s">
        <v>370</v>
      </c>
      <c r="D4635" s="26" t="s">
        <v>23</v>
      </c>
      <c r="E4635" s="27" t="str">
        <f>HYPERLINK("https://www.compass.com/building/153-charles-st-manhattan-ny-10014/294836111285187877/","153 Charles St")</f>
        <v>153 Charles St</v>
      </c>
      <c r="F4635" s="25" t="s">
        <v>26</v>
      </c>
      <c r="G4635" s="28">
        <v>2495000.0</v>
      </c>
      <c r="H4635" s="28">
        <v>1782.0</v>
      </c>
      <c r="I4635" s="28">
        <v>1976.0</v>
      </c>
      <c r="J4635" s="29"/>
      <c r="K4635" s="25" t="s">
        <v>442</v>
      </c>
      <c r="L4635" s="26">
        <v>5.0</v>
      </c>
      <c r="M4635" s="26">
        <v>2.0</v>
      </c>
      <c r="N4635" s="26">
        <v>0.0</v>
      </c>
      <c r="O4635" s="26">
        <v>0.0</v>
      </c>
      <c r="P4635" s="34">
        <v>1400.0</v>
      </c>
      <c r="Q4635" s="35">
        <v>150.0</v>
      </c>
      <c r="R4635" s="32">
        <v>45636.0</v>
      </c>
      <c r="S4635" s="32">
        <v>42425.0</v>
      </c>
      <c r="T4635" s="29"/>
      <c r="U4635" s="33"/>
      <c r="V4635" s="1"/>
    </row>
    <row r="4636" ht="24.0" customHeight="1">
      <c r="A4636" s="1"/>
      <c r="B4636" s="24" t="str">
        <f>HYPERLINK("https://www.compass.com/listing/242-east-19th-street-unit-2b-manhattan-ny-10003/1425500960210933873/view?agent_id=610d3f3370540700019b0833","242 East 19th Street, Unit 2B")</f>
        <v>242 East 19th Street, Unit 2B</v>
      </c>
      <c r="C4636" s="25" t="s">
        <v>364</v>
      </c>
      <c r="D4636" s="26" t="s">
        <v>23</v>
      </c>
      <c r="E4636" s="27" t="str">
        <f>HYPERLINK("https://www.compass.com/building/242-e-19th-st-manhattan-ny-10003/292784403124335077/","242 E 19th St")</f>
        <v>242 E 19th St</v>
      </c>
      <c r="F4636" s="25" t="s">
        <v>48</v>
      </c>
      <c r="G4636" s="28">
        <v>1495000.0</v>
      </c>
      <c r="H4636" s="28">
        <v>1246.0</v>
      </c>
      <c r="I4636" s="28">
        <v>2529.0</v>
      </c>
      <c r="J4636" s="29"/>
      <c r="K4636" s="25" t="s">
        <v>25</v>
      </c>
      <c r="L4636" s="26">
        <v>4.0</v>
      </c>
      <c r="M4636" s="26">
        <v>2.0</v>
      </c>
      <c r="N4636" s="26">
        <v>1.0</v>
      </c>
      <c r="O4636" s="26">
        <v>0.0</v>
      </c>
      <c r="P4636" s="34">
        <v>1200.0</v>
      </c>
      <c r="Q4636" s="35">
        <v>5.0</v>
      </c>
      <c r="R4636" s="32">
        <v>45636.0</v>
      </c>
      <c r="S4636" s="32">
        <v>45218.0</v>
      </c>
      <c r="T4636" s="29"/>
      <c r="U4636" s="33"/>
      <c r="V4636" s="1"/>
    </row>
    <row r="4637" ht="24.0" customHeight="1">
      <c r="A4637" s="1"/>
      <c r="B4637" s="24" t="str">
        <f>HYPERLINK("https://www.compass.com/listing/618-washington-street-unit-2a-manhattan-ny-10014/1595098104388393329/view?agent_id=610d3f3370540700019b0833","618 Washington Street, Unit 2A")</f>
        <v>618 Washington Street, Unit 2A</v>
      </c>
      <c r="C4637" s="25" t="s">
        <v>364</v>
      </c>
      <c r="D4637" s="26" t="s">
        <v>23</v>
      </c>
      <c r="E4637" s="27" t="str">
        <f>HYPERLINK("https://www.compass.com/building/west-village-houses-manhattan-ny/282062788451403493/","West Village Houses")</f>
        <v>West Village Houses</v>
      </c>
      <c r="F4637" s="25" t="s">
        <v>26</v>
      </c>
      <c r="G4637" s="28">
        <v>1165000.0</v>
      </c>
      <c r="H4637" s="29"/>
      <c r="I4637" s="28">
        <v>1372.0</v>
      </c>
      <c r="J4637" s="28">
        <v>0.0</v>
      </c>
      <c r="K4637" s="25" t="s">
        <v>25</v>
      </c>
      <c r="L4637" s="26">
        <v>4.0</v>
      </c>
      <c r="M4637" s="26">
        <v>2.0</v>
      </c>
      <c r="N4637" s="26">
        <v>1.0</v>
      </c>
      <c r="O4637" s="26">
        <v>0.0</v>
      </c>
      <c r="P4637" s="30"/>
      <c r="Q4637" s="35">
        <v>207.0</v>
      </c>
      <c r="R4637" s="32">
        <v>45659.0</v>
      </c>
      <c r="S4637" s="32">
        <v>45452.0</v>
      </c>
      <c r="T4637" s="29"/>
      <c r="U4637" s="33"/>
      <c r="V4637" s="1"/>
    </row>
    <row r="4638" ht="24.0" customHeight="1">
      <c r="A4638" s="1"/>
      <c r="B4638" s="24" t="str">
        <f>HYPERLINK("https://www.compass.com/listing/25-charles-street-unit-1c-manhattan-ny-10014/1838896829371344809/view?agent_id=610d3f3370540700019b0833","25 Charles Street, Unit 1C")</f>
        <v>25 Charles Street, Unit 1C</v>
      </c>
      <c r="C4638" s="25" t="s">
        <v>364</v>
      </c>
      <c r="D4638" s="26" t="s">
        <v>23</v>
      </c>
      <c r="E4638" s="27" t="str">
        <f>HYPERLINK("https://www.compass.com/building/25-charles-st-manhattan-ny-10014/281931537656625045/","25 Charles St")</f>
        <v>25 Charles St</v>
      </c>
      <c r="F4638" s="25" t="s">
        <v>26</v>
      </c>
      <c r="G4638" s="28">
        <v>1100000.0</v>
      </c>
      <c r="H4638" s="29"/>
      <c r="I4638" s="28">
        <v>978.0</v>
      </c>
      <c r="J4638" s="28">
        <v>12.0</v>
      </c>
      <c r="K4638" s="25" t="s">
        <v>110</v>
      </c>
      <c r="L4638" s="26">
        <v>4.0</v>
      </c>
      <c r="M4638" s="26">
        <v>2.0</v>
      </c>
      <c r="N4638" s="26">
        <v>0.0</v>
      </c>
      <c r="O4638" s="26">
        <v>0.0</v>
      </c>
      <c r="P4638" s="30"/>
      <c r="Q4638" s="35">
        <v>124.0</v>
      </c>
      <c r="R4638" s="32">
        <v>45636.0</v>
      </c>
      <c r="S4638" s="32">
        <v>41849.0</v>
      </c>
      <c r="T4638" s="29"/>
      <c r="U4638" s="33"/>
      <c r="V4638" s="1"/>
    </row>
    <row r="4639" ht="24.0" customHeight="1">
      <c r="A4639" s="1"/>
      <c r="B4639" s="24" t="str">
        <f>HYPERLINK("https://www.compass.com/listing/428-west-20th-street-unit-ph5-manhattan-ny-10011/4703670844772075697/view?agent_id=610d3f3370540700019b0833","428 W 20th St, Unit PH5")</f>
        <v>428 W 20th St, Unit PH5</v>
      </c>
      <c r="C4639" s="25" t="s">
        <v>364</v>
      </c>
      <c r="D4639" s="26" t="s">
        <v>23</v>
      </c>
      <c r="E4639" s="27" t="str">
        <f>HYPERLINK("https://www.compass.com/building/428-w-20th-st-manhattan-ny-10011/281910295520110101/","428 W 20th St")</f>
        <v>428 W 20th St</v>
      </c>
      <c r="F4639" s="25" t="s">
        <v>27</v>
      </c>
      <c r="G4639" s="28">
        <v>1205417.0</v>
      </c>
      <c r="H4639" s="28">
        <v>1205.0</v>
      </c>
      <c r="I4639" s="28">
        <v>1110.0</v>
      </c>
      <c r="J4639" s="28">
        <v>7164.0</v>
      </c>
      <c r="K4639" s="25" t="s">
        <v>28</v>
      </c>
      <c r="L4639" s="26">
        <v>4.0</v>
      </c>
      <c r="M4639" s="26">
        <v>2.0</v>
      </c>
      <c r="N4639" s="30"/>
      <c r="O4639" s="30"/>
      <c r="P4639" s="34">
        <v>1000.0</v>
      </c>
      <c r="Q4639" s="35">
        <v>96.0</v>
      </c>
      <c r="R4639" s="32">
        <v>42477.0</v>
      </c>
      <c r="S4639" s="32">
        <v>40007.0</v>
      </c>
      <c r="T4639" s="29"/>
      <c r="U4639" s="33"/>
      <c r="V4639" s="1"/>
    </row>
    <row r="4640" ht="24.0" customHeight="1">
      <c r="A4640" s="1"/>
      <c r="B4640" s="24" t="str">
        <f>HYPERLINK("https://www.compass.com/listing/11-west-69th-street-unit-2a-manhattan-ny-10023/29391649234818977/view?agent_id=610d3f3370540700019b0833","11 West 69th Street, Unit 2A")</f>
        <v>11 West 69th Street, Unit 2A</v>
      </c>
      <c r="C4640" s="25" t="s">
        <v>370</v>
      </c>
      <c r="D4640" s="26" t="s">
        <v>23</v>
      </c>
      <c r="E4640" s="27" t="str">
        <f>HYPERLINK("https://www.compass.com/building/11-w-69th-st-manhattan-ny-10023/281956311179006533/","11 W 69th St")</f>
        <v>11 W 69th St</v>
      </c>
      <c r="F4640" s="25" t="s">
        <v>29</v>
      </c>
      <c r="G4640" s="28">
        <v>1830000.0</v>
      </c>
      <c r="H4640" s="29"/>
      <c r="I4640" s="28">
        <v>2668.0</v>
      </c>
      <c r="J4640" s="29"/>
      <c r="K4640" s="25" t="s">
        <v>25</v>
      </c>
      <c r="L4640" s="26">
        <v>4.0</v>
      </c>
      <c r="M4640" s="26">
        <v>2.0</v>
      </c>
      <c r="N4640" s="26">
        <v>0.0</v>
      </c>
      <c r="O4640" s="26">
        <v>0.0</v>
      </c>
      <c r="P4640" s="30"/>
      <c r="Q4640" s="35">
        <v>367.0</v>
      </c>
      <c r="R4640" s="32">
        <v>45636.0</v>
      </c>
      <c r="S4640" s="32">
        <v>42853.0</v>
      </c>
      <c r="T4640" s="29"/>
      <c r="U4640" s="33"/>
      <c r="V4640" s="1"/>
    </row>
    <row r="4641" ht="24.0" customHeight="1">
      <c r="A4641" s="1"/>
      <c r="B4641" s="24" t="str">
        <f>HYPERLINK("https://www.compass.com/listing/156-bank-street-unit-1a-manhattan-ny-10014/1190968974594150225/view?agent_id=610d3f3370540700019b0833","156 Bank Street, Unit 1A")</f>
        <v>156 Bank Street, Unit 1A</v>
      </c>
      <c r="C4641" s="25" t="s">
        <v>364</v>
      </c>
      <c r="D4641" s="26" t="s">
        <v>23</v>
      </c>
      <c r="E4641" s="27" t="str">
        <f>HYPERLINK("https://www.compass.com/building/west-village-houses-manhattan-ny/282062615914516501/","West Village Houses")</f>
        <v>West Village Houses</v>
      </c>
      <c r="F4641" s="25" t="s">
        <v>26</v>
      </c>
      <c r="G4641" s="28">
        <v>1100000.0</v>
      </c>
      <c r="H4641" s="29"/>
      <c r="I4641" s="28">
        <v>1363.0</v>
      </c>
      <c r="J4641" s="29"/>
      <c r="K4641" s="25" t="s">
        <v>25</v>
      </c>
      <c r="L4641" s="26">
        <v>5.0</v>
      </c>
      <c r="M4641" s="26">
        <v>2.0</v>
      </c>
      <c r="N4641" s="26">
        <v>1.0</v>
      </c>
      <c r="O4641" s="26">
        <v>0.0</v>
      </c>
      <c r="P4641" s="30"/>
      <c r="Q4641" s="35">
        <v>145.0</v>
      </c>
      <c r="R4641" s="32">
        <v>45636.0</v>
      </c>
      <c r="S4641" s="32">
        <v>44896.0</v>
      </c>
      <c r="T4641" s="29"/>
      <c r="U4641" s="33"/>
      <c r="V4641" s="1"/>
    </row>
    <row r="4642" ht="24.0" customHeight="1">
      <c r="A4642" s="1"/>
      <c r="B4642" s="24" t="str">
        <f>HYPERLINK("https://www.compass.com/listing/399-east-8th-street-unit-2a-manhattan-ny-10009/233168488385056897/view?agent_id=610d3f3370540700019b0833","399 E 8th St, Unit 2A")</f>
        <v>399 E 8th St, Unit 2A</v>
      </c>
      <c r="C4642" s="25" t="s">
        <v>364</v>
      </c>
      <c r="D4642" s="26" t="s">
        <v>23</v>
      </c>
      <c r="E4642" s="27" t="str">
        <f t="shared" ref="E4642:E4643" si="204">HYPERLINK("https://www.compass.com/building/three99-on-eighth-manhattan-ny/281899849236886213/","THREE99 On Eighth")</f>
        <v>THREE99 On Eighth</v>
      </c>
      <c r="F4642" s="25" t="s">
        <v>24</v>
      </c>
      <c r="G4642" s="28">
        <v>960000.0</v>
      </c>
      <c r="H4642" s="28">
        <v>1435.0</v>
      </c>
      <c r="I4642" s="28">
        <v>1395.0</v>
      </c>
      <c r="J4642" s="28">
        <v>9667.0</v>
      </c>
      <c r="K4642" s="25" t="s">
        <v>28</v>
      </c>
      <c r="L4642" s="26">
        <v>4.0</v>
      </c>
      <c r="M4642" s="26">
        <v>2.0</v>
      </c>
      <c r="N4642" s="26">
        <v>1.0</v>
      </c>
      <c r="O4642" s="30"/>
      <c r="P4642" s="26">
        <v>669.0</v>
      </c>
      <c r="Q4642" s="35">
        <v>264.0</v>
      </c>
      <c r="R4642" s="32">
        <v>42961.0</v>
      </c>
      <c r="S4642" s="32">
        <v>42523.0</v>
      </c>
      <c r="T4642" s="29"/>
      <c r="U4642" s="33"/>
      <c r="V4642" s="1"/>
    </row>
    <row r="4643" ht="24.0" customHeight="1">
      <c r="A4643" s="1"/>
      <c r="B4643" s="24" t="str">
        <f>HYPERLINK("https://www.compass.com/listing/399-east-8th-street-unit-3a-manhattan-ny-10009/490411360453291625/view?agent_id=610d3f3370540700019b0833","399 East 8th Street, Unit 3A")</f>
        <v>399 East 8th Street, Unit 3A</v>
      </c>
      <c r="C4643" s="25" t="s">
        <v>364</v>
      </c>
      <c r="D4643" s="26" t="s">
        <v>23</v>
      </c>
      <c r="E4643" s="27" t="str">
        <f t="shared" si="204"/>
        <v>THREE99 On Eighth</v>
      </c>
      <c r="F4643" s="25" t="s">
        <v>24</v>
      </c>
      <c r="G4643" s="28">
        <v>999000.0</v>
      </c>
      <c r="H4643" s="28">
        <v>1493.0</v>
      </c>
      <c r="I4643" s="28">
        <v>1955.0</v>
      </c>
      <c r="J4643" s="28">
        <v>16266.0</v>
      </c>
      <c r="K4643" s="25" t="s">
        <v>28</v>
      </c>
      <c r="L4643" s="26">
        <v>4.0</v>
      </c>
      <c r="M4643" s="26">
        <v>2.0</v>
      </c>
      <c r="N4643" s="26">
        <v>1.0</v>
      </c>
      <c r="O4643" s="26">
        <v>0.0</v>
      </c>
      <c r="P4643" s="26">
        <v>669.0</v>
      </c>
      <c r="Q4643" s="35">
        <v>119.0</v>
      </c>
      <c r="R4643" s="32">
        <v>45636.0</v>
      </c>
      <c r="S4643" s="32">
        <v>42523.0</v>
      </c>
      <c r="T4643" s="29"/>
      <c r="U4643" s="33"/>
      <c r="V4643" s="1"/>
    </row>
    <row r="4644" ht="24.0" customHeight="1">
      <c r="A4644" s="1"/>
      <c r="B4644" s="24" t="str">
        <f>HYPERLINK("https://www.compass.com/listing/200-chambers-street-unit-7a-manhattan-ny-10007/380645979522166081/view?agent_id=610d3f3370540700019b0833","200 Chambers Street, Unit 7A")</f>
        <v>200 Chambers Street, Unit 7A</v>
      </c>
      <c r="C4644" s="25" t="s">
        <v>364</v>
      </c>
      <c r="D4644" s="26" t="s">
        <v>23</v>
      </c>
      <c r="E4644" s="27" t="str">
        <f>HYPERLINK("https://www.compass.com/building/200-chambers-st-manhattan-ny-10007/281896823650526357/","200 Chambers St")</f>
        <v>200 Chambers St</v>
      </c>
      <c r="F4644" s="25" t="s">
        <v>60</v>
      </c>
      <c r="G4644" s="28">
        <v>5750000.0</v>
      </c>
      <c r="H4644" s="28">
        <v>2054.0</v>
      </c>
      <c r="I4644" s="28">
        <v>4101.0</v>
      </c>
      <c r="J4644" s="28">
        <v>17796.0</v>
      </c>
      <c r="K4644" s="25" t="s">
        <v>28</v>
      </c>
      <c r="L4644" s="26">
        <v>6.0</v>
      </c>
      <c r="M4644" s="26">
        <v>2.0</v>
      </c>
      <c r="N4644" s="26">
        <v>0.0</v>
      </c>
      <c r="O4644" s="26">
        <v>0.0</v>
      </c>
      <c r="P4644" s="34">
        <v>2800.0</v>
      </c>
      <c r="Q4644" s="35">
        <v>66.0</v>
      </c>
      <c r="R4644" s="32">
        <v>45636.0</v>
      </c>
      <c r="S4644" s="32">
        <v>41291.0</v>
      </c>
      <c r="T4644" s="29"/>
      <c r="U4644" s="33"/>
      <c r="V4644" s="1"/>
    </row>
    <row r="4645" ht="24.0" customHeight="1">
      <c r="A4645" s="1"/>
      <c r="B4645" s="24" t="str">
        <f>HYPERLINK("https://www.compass.com/listing/2-5th-avenue-unit-9lk-manhattan-ny-10011/4852276618531440721/view?agent_id=610d3f3370540700019b0833","2 5th Avenue, Unit 9LK")</f>
        <v>2 5th Avenue, Unit 9LK</v>
      </c>
      <c r="C4645" s="25" t="s">
        <v>364</v>
      </c>
      <c r="D4645" s="26" t="s">
        <v>23</v>
      </c>
      <c r="E4645" s="27" t="str">
        <f>HYPERLINK("https://www.compass.com/building/2-5th-ave-manhattan-ny-10011/281906423137324709/","2 5th Ave")</f>
        <v>2 5th Ave</v>
      </c>
      <c r="F4645" s="25" t="s">
        <v>43</v>
      </c>
      <c r="G4645" s="28">
        <v>2275000.0</v>
      </c>
      <c r="H4645" s="29"/>
      <c r="I4645" s="28">
        <v>2270.0</v>
      </c>
      <c r="J4645" s="29"/>
      <c r="K4645" s="25" t="s">
        <v>25</v>
      </c>
      <c r="L4645" s="26">
        <v>5.0</v>
      </c>
      <c r="M4645" s="26">
        <v>2.0</v>
      </c>
      <c r="N4645" s="26">
        <v>0.0</v>
      </c>
      <c r="O4645" s="26">
        <v>0.0</v>
      </c>
      <c r="P4645" s="30"/>
      <c r="Q4645" s="35">
        <v>1718.0</v>
      </c>
      <c r="R4645" s="32">
        <v>42936.0</v>
      </c>
      <c r="S4645" s="32">
        <v>41218.0</v>
      </c>
      <c r="T4645" s="29"/>
      <c r="U4645" s="33"/>
      <c r="V4645" s="1"/>
    </row>
    <row r="4646" ht="24.0" customHeight="1">
      <c r="A4646" s="1"/>
      <c r="B4646" s="24" t="str">
        <f>HYPERLINK("https://www.compass.com/listing/221-west-20th-street-unit-3w-manhattan-ny-10011/1838983848311047921/view?agent_id=610d3f3370540700019b0833","221 West 20th Street, Unit 3W")</f>
        <v>221 West 20th Street, Unit 3W</v>
      </c>
      <c r="C4646" s="25" t="s">
        <v>364</v>
      </c>
      <c r="D4646" s="26" t="s">
        <v>23</v>
      </c>
      <c r="E4646" s="27" t="str">
        <f>HYPERLINK("https://www.compass.com/building/221-w-20th-st-manhattan-ny-10011/281907046368958485/","221 W 20th St")</f>
        <v>221 W 20th St</v>
      </c>
      <c r="F4646" s="25" t="s">
        <v>27</v>
      </c>
      <c r="G4646" s="28">
        <v>998000.0</v>
      </c>
      <c r="H4646" s="28">
        <v>1331.0</v>
      </c>
      <c r="I4646" s="28">
        <v>1009.0</v>
      </c>
      <c r="J4646" s="29"/>
      <c r="K4646" s="25" t="s">
        <v>25</v>
      </c>
      <c r="L4646" s="26">
        <v>4.0</v>
      </c>
      <c r="M4646" s="26">
        <v>2.0</v>
      </c>
      <c r="N4646" s="26">
        <v>1.0</v>
      </c>
      <c r="O4646" s="26">
        <v>0.0</v>
      </c>
      <c r="P4646" s="26">
        <v>750.0</v>
      </c>
      <c r="Q4646" s="35">
        <v>115.0</v>
      </c>
      <c r="R4646" s="32">
        <v>45636.0</v>
      </c>
      <c r="S4646" s="32">
        <v>43533.0</v>
      </c>
      <c r="T4646" s="29"/>
      <c r="U4646" s="33"/>
      <c r="V4646" s="1"/>
    </row>
    <row r="4647" ht="24.0" customHeight="1">
      <c r="A4647" s="1"/>
      <c r="B4647" s="24" t="str">
        <f>HYPERLINK("https://www.compass.com/listing/399-east-8th-street-unit-2d-manhattan-ny-10009/1133823943568541345/view?agent_id=610d3f3370540700019b0833","399 East 8th Street, Unit 2D")</f>
        <v>399 East 8th Street, Unit 2D</v>
      </c>
      <c r="C4647" s="25" t="s">
        <v>364</v>
      </c>
      <c r="D4647" s="26" t="s">
        <v>23</v>
      </c>
      <c r="E4647" s="27" t="str">
        <f>HYPERLINK("https://www.compass.com/building/three99-on-eighth-manhattan-ny/281899849236886213/","THREE99 On Eighth")</f>
        <v>THREE99 On Eighth</v>
      </c>
      <c r="F4647" s="25" t="s">
        <v>24</v>
      </c>
      <c r="G4647" s="28">
        <v>950000.0</v>
      </c>
      <c r="H4647" s="28">
        <v>1296.0</v>
      </c>
      <c r="I4647" s="28">
        <v>578.0</v>
      </c>
      <c r="J4647" s="28">
        <v>6360.0</v>
      </c>
      <c r="K4647" s="25" t="s">
        <v>28</v>
      </c>
      <c r="L4647" s="26">
        <v>4.0</v>
      </c>
      <c r="M4647" s="26">
        <v>2.0</v>
      </c>
      <c r="N4647" s="26">
        <v>1.0</v>
      </c>
      <c r="O4647" s="26">
        <v>0.0</v>
      </c>
      <c r="P4647" s="26">
        <v>733.0</v>
      </c>
      <c r="Q4647" s="35">
        <v>119.0</v>
      </c>
      <c r="R4647" s="32">
        <v>44582.0</v>
      </c>
      <c r="S4647" s="32">
        <v>44463.0</v>
      </c>
      <c r="T4647" s="29"/>
      <c r="U4647" s="33"/>
      <c r="V4647" s="1"/>
    </row>
    <row r="4648" ht="24.0" customHeight="1">
      <c r="A4648" s="1"/>
      <c r="B4648" s="24" t="str">
        <f>HYPERLINK("https://www.compass.com/listing/327-west-11th-street-unit-3r-manhattan-ny-10014/1838875057737355153/view?agent_id=610d3f3370540700019b0833","327 West 11th Street, Unit 3R")</f>
        <v>327 West 11th Street, Unit 3R</v>
      </c>
      <c r="C4648" s="25" t="s">
        <v>364</v>
      </c>
      <c r="D4648" s="26" t="s">
        <v>23</v>
      </c>
      <c r="E4648" s="27" t="str">
        <f>HYPERLINK("https://www.compass.com/building/327-w-11th-st-manhattan-ny-10014/282060578833334917/","327 W 11th St")</f>
        <v>327 W 11th St</v>
      </c>
      <c r="F4648" s="25" t="s">
        <v>26</v>
      </c>
      <c r="G4648" s="28">
        <v>1950000.0</v>
      </c>
      <c r="H4648" s="28">
        <v>2438.0</v>
      </c>
      <c r="I4648" s="28">
        <v>1838.0</v>
      </c>
      <c r="J4648" s="29"/>
      <c r="K4648" s="25" t="s">
        <v>25</v>
      </c>
      <c r="L4648" s="26">
        <v>4.0</v>
      </c>
      <c r="M4648" s="26">
        <v>2.0</v>
      </c>
      <c r="N4648" s="26">
        <v>0.0</v>
      </c>
      <c r="O4648" s="26">
        <v>0.0</v>
      </c>
      <c r="P4648" s="26">
        <v>800.0</v>
      </c>
      <c r="Q4648" s="35">
        <v>769.0</v>
      </c>
      <c r="R4648" s="32">
        <v>45636.0</v>
      </c>
      <c r="S4648" s="32">
        <v>42108.0</v>
      </c>
      <c r="T4648" s="29"/>
      <c r="U4648" s="33"/>
      <c r="V4648" s="1"/>
    </row>
    <row r="4649" ht="24.0" customHeight="1">
      <c r="A4649" s="1"/>
      <c r="B4649" s="24" t="str">
        <f>HYPERLINK("https://www.compass.com/listing/121-west-20th-street-unit-5e-manhattan-ny-10011/29373176748236577/view?agent_id=610d3f3370540700019b0833","121 West 20th Street, Unit 5E")</f>
        <v>121 West 20th Street, Unit 5E</v>
      </c>
      <c r="C4649" s="25" t="s">
        <v>364</v>
      </c>
      <c r="D4649" s="26" t="s">
        <v>23</v>
      </c>
      <c r="E4649" s="27" t="str">
        <f>HYPERLINK("https://www.compass.com/building/121-w-20th-st-manhattan-ny-10011/281904745642215397/","121 W 20th St")</f>
        <v>121 W 20th St</v>
      </c>
      <c r="F4649" s="25" t="s">
        <v>27</v>
      </c>
      <c r="G4649" s="28">
        <v>2850000.0</v>
      </c>
      <c r="H4649" s="28">
        <v>1686.0</v>
      </c>
      <c r="I4649" s="28">
        <v>3105.0</v>
      </c>
      <c r="J4649" s="28">
        <v>20124.0</v>
      </c>
      <c r="K4649" s="25" t="s">
        <v>28</v>
      </c>
      <c r="L4649" s="26">
        <v>4.0</v>
      </c>
      <c r="M4649" s="26">
        <v>2.0</v>
      </c>
      <c r="N4649" s="26">
        <v>0.0</v>
      </c>
      <c r="O4649" s="26">
        <v>0.0</v>
      </c>
      <c r="P4649" s="34">
        <v>1690.0</v>
      </c>
      <c r="Q4649" s="35">
        <v>170.0</v>
      </c>
      <c r="R4649" s="32">
        <v>45636.0</v>
      </c>
      <c r="S4649" s="32">
        <v>41472.0</v>
      </c>
      <c r="T4649" s="29"/>
      <c r="U4649" s="33"/>
      <c r="V4649" s="1"/>
    </row>
    <row r="4650" ht="24.0" customHeight="1">
      <c r="A4650" s="1"/>
      <c r="B4650" s="24" t="str">
        <f>HYPERLINK("https://www.compass.com/listing/8-east-12th-street-unit-5-manhattan-ny-10003/921040597015434953/view?agent_id=610d3f3370540700019b0833","8 East 12th Street, Unit 5")</f>
        <v>8 East 12th Street, Unit 5</v>
      </c>
      <c r="C4650" s="25" t="s">
        <v>364</v>
      </c>
      <c r="D4650" s="26" t="s">
        <v>23</v>
      </c>
      <c r="E4650" s="27" t="str">
        <f>HYPERLINK("https://www.compass.com/building/8-e-12th-st-manhattan-ny-10003/281894871034240933/","8 E 12th St")</f>
        <v>8 E 12th St</v>
      </c>
      <c r="F4650" s="25" t="s">
        <v>43</v>
      </c>
      <c r="G4650" s="28">
        <v>4850000.0</v>
      </c>
      <c r="H4650" s="28">
        <v>2082.0</v>
      </c>
      <c r="I4650" s="28">
        <v>3358.0</v>
      </c>
      <c r="J4650" s="28">
        <v>16296.0</v>
      </c>
      <c r="K4650" s="25" t="s">
        <v>28</v>
      </c>
      <c r="L4650" s="26">
        <v>5.0</v>
      </c>
      <c r="M4650" s="26">
        <v>2.0</v>
      </c>
      <c r="N4650" s="26">
        <v>0.0</v>
      </c>
      <c r="O4650" s="26">
        <v>0.0</v>
      </c>
      <c r="P4650" s="34">
        <v>2330.0</v>
      </c>
      <c r="Q4650" s="35">
        <v>206.0</v>
      </c>
      <c r="R4650" s="32">
        <v>45636.0</v>
      </c>
      <c r="S4650" s="32">
        <v>42418.0</v>
      </c>
      <c r="T4650" s="29"/>
      <c r="U4650" s="33"/>
      <c r="V4650" s="1"/>
    </row>
    <row r="4651" ht="24.0" customHeight="1">
      <c r="A4651" s="1"/>
      <c r="B4651" s="24" t="str">
        <f>HYPERLINK("https://www.compass.com/listing/200-west-24th-street-unit-phb-manhattan-ny-10011/29372341209385585/view?agent_id=610d3f3370540700019b0833","200 West 24th Street, Unit PHB")</f>
        <v>200 West 24th Street, Unit PHB</v>
      </c>
      <c r="C4651" s="25" t="s">
        <v>364</v>
      </c>
      <c r="D4651" s="26" t="s">
        <v>23</v>
      </c>
      <c r="E4651" s="27" t="str">
        <f>HYPERLINK("https://www.compass.com/building/200-w-24th-st-manhattan-ny-10011/281906475247359285/","200 W 24th St")</f>
        <v>200 W 24th St</v>
      </c>
      <c r="F4651" s="25" t="s">
        <v>27</v>
      </c>
      <c r="G4651" s="28">
        <v>1998000.0</v>
      </c>
      <c r="H4651" s="28">
        <v>1635.0</v>
      </c>
      <c r="I4651" s="28">
        <v>2595.0</v>
      </c>
      <c r="J4651" s="28">
        <v>13104.0</v>
      </c>
      <c r="K4651" s="25" t="s">
        <v>28</v>
      </c>
      <c r="L4651" s="26">
        <v>4.0</v>
      </c>
      <c r="M4651" s="26">
        <v>2.0</v>
      </c>
      <c r="N4651" s="26">
        <v>0.0</v>
      </c>
      <c r="O4651" s="26">
        <v>0.0</v>
      </c>
      <c r="P4651" s="34">
        <v>1222.0</v>
      </c>
      <c r="Q4651" s="35">
        <v>94.0</v>
      </c>
      <c r="R4651" s="32">
        <v>44581.0</v>
      </c>
      <c r="S4651" s="32">
        <v>41289.0</v>
      </c>
      <c r="T4651" s="29"/>
      <c r="U4651" s="33"/>
      <c r="V4651" s="1"/>
    </row>
    <row r="4652" ht="24.0" customHeight="1">
      <c r="A4652" s="1"/>
      <c r="B4652" s="24" t="str">
        <f>HYPERLINK("https://www.compass.com/listing/60-west-13th-street-unit-2b-manhattan-ny-10011/70917289901421777/view?agent_id=610d3f3370540700019b0833","60 W 13th St, Unit 2B")</f>
        <v>60 W 13th St, Unit 2B</v>
      </c>
      <c r="C4652" s="25" t="s">
        <v>364</v>
      </c>
      <c r="D4652" s="26" t="s">
        <v>23</v>
      </c>
      <c r="E4652" s="27" t="str">
        <f>HYPERLINK("https://www.compass.com/building/village-house-condominium-manhattan-ny/281911923413378437/","Village House Condominium")</f>
        <v>Village House Condominium</v>
      </c>
      <c r="F4652" s="25" t="s">
        <v>43</v>
      </c>
      <c r="G4652" s="28">
        <v>1325000.0</v>
      </c>
      <c r="H4652" s="28">
        <v>1472.0</v>
      </c>
      <c r="I4652" s="28">
        <v>1295.0</v>
      </c>
      <c r="J4652" s="28">
        <v>7884.0</v>
      </c>
      <c r="K4652" s="25" t="s">
        <v>28</v>
      </c>
      <c r="L4652" s="26">
        <v>4.0</v>
      </c>
      <c r="M4652" s="26">
        <v>2.0</v>
      </c>
      <c r="N4652" s="30"/>
      <c r="O4652" s="30"/>
      <c r="P4652" s="26">
        <v>900.0</v>
      </c>
      <c r="Q4652" s="35">
        <v>84.0</v>
      </c>
      <c r="R4652" s="32">
        <v>42476.0</v>
      </c>
      <c r="S4652" s="32">
        <v>39211.0</v>
      </c>
      <c r="T4652" s="29"/>
      <c r="U4652" s="33"/>
      <c r="V4652" s="1"/>
    </row>
    <row r="4653" ht="24.0" customHeight="1">
      <c r="A4653" s="1"/>
      <c r="B4653" s="24" t="str">
        <f>HYPERLINK("https://www.compass.com/listing/20-bethune-street-unit-3d-manhattan-ny-10014/4852305828788575761/view?agent_id=610d3f3370540700019b0833","20 Bethune Street, Unit 3D")</f>
        <v>20 Bethune Street, Unit 3D</v>
      </c>
      <c r="C4653" s="25" t="s">
        <v>364</v>
      </c>
      <c r="D4653" s="26" t="s">
        <v>23</v>
      </c>
      <c r="E4653" s="27" t="str">
        <f>HYPERLINK("https://www.compass.com/building/20-bethune-st-manhattan-ny-10014/281930814516673301/","20 Bethune St")</f>
        <v>20 Bethune St</v>
      </c>
      <c r="F4653" s="25" t="s">
        <v>26</v>
      </c>
      <c r="G4653" s="28">
        <v>1600000.0</v>
      </c>
      <c r="H4653" s="28">
        <v>1455.0</v>
      </c>
      <c r="I4653" s="28">
        <v>1958.0</v>
      </c>
      <c r="J4653" s="29"/>
      <c r="K4653" s="25" t="s">
        <v>25</v>
      </c>
      <c r="L4653" s="26">
        <v>4.0</v>
      </c>
      <c r="M4653" s="26">
        <v>2.0</v>
      </c>
      <c r="N4653" s="26">
        <v>0.0</v>
      </c>
      <c r="O4653" s="26">
        <v>0.0</v>
      </c>
      <c r="P4653" s="34">
        <v>1100.0</v>
      </c>
      <c r="Q4653" s="35">
        <v>88.0</v>
      </c>
      <c r="R4653" s="32">
        <v>44581.0</v>
      </c>
      <c r="S4653" s="32">
        <v>41404.0</v>
      </c>
      <c r="T4653" s="29"/>
      <c r="U4653" s="33"/>
      <c r="V4653" s="1"/>
    </row>
    <row r="4654" ht="24.0" customHeight="1">
      <c r="A4654" s="1"/>
      <c r="B4654" s="24" t="str">
        <f>HYPERLINK("https://www.compass.com/listing/49-downing-street-unit-3-manhattan-ny-10014/14532937437425377/view?agent_id=610d3f3370540700019b0833","49 Downing Street, Unit 3")</f>
        <v>49 Downing Street, Unit 3</v>
      </c>
      <c r="C4654" s="25" t="s">
        <v>364</v>
      </c>
      <c r="D4654" s="26" t="s">
        <v>23</v>
      </c>
      <c r="E4654" s="27" t="str">
        <f>HYPERLINK("https://www.compass.com/building/stable-49-manhattan-ny/281934205267528325/","Stable 49 ")</f>
        <v>Stable 49 </v>
      </c>
      <c r="F4654" s="25" t="s">
        <v>26</v>
      </c>
      <c r="G4654" s="28">
        <v>1500000.0</v>
      </c>
      <c r="H4654" s="28">
        <v>1250.0</v>
      </c>
      <c r="I4654" s="28">
        <v>1751.0</v>
      </c>
      <c r="J4654" s="29"/>
      <c r="K4654" s="25" t="s">
        <v>25</v>
      </c>
      <c r="L4654" s="26">
        <v>4.0</v>
      </c>
      <c r="M4654" s="26">
        <v>2.0</v>
      </c>
      <c r="N4654" s="26">
        <v>0.0</v>
      </c>
      <c r="O4654" s="26">
        <v>0.0</v>
      </c>
      <c r="P4654" s="34">
        <v>1200.0</v>
      </c>
      <c r="Q4654" s="35">
        <v>348.0</v>
      </c>
      <c r="R4654" s="32">
        <v>45636.0</v>
      </c>
      <c r="S4654" s="32">
        <v>42530.0</v>
      </c>
      <c r="T4654" s="29"/>
      <c r="U4654" s="33"/>
      <c r="V4654" s="1"/>
    </row>
    <row r="4655" ht="24.0" customHeight="1">
      <c r="A4655" s="1"/>
      <c r="B4655" s="24" t="str">
        <f>HYPERLINK("https://www.compass.com/listing/88-bleecker-street-unit-6f-manhattan-ny-10012/79376726223825921/view?agent_id=610d3f3370540700019b0833","88 Bleecker St, Unit 6F")</f>
        <v>88 Bleecker St, Unit 6F</v>
      </c>
      <c r="C4655" s="25" t="s">
        <v>364</v>
      </c>
      <c r="D4655" s="26" t="s">
        <v>23</v>
      </c>
      <c r="E4655" s="27" t="str">
        <f>HYPERLINK("https://www.compass.com/building/atrium-manhattan-ny/281916134603650677/","Atrium")</f>
        <v>Atrium</v>
      </c>
      <c r="F4655" s="25" t="s">
        <v>43</v>
      </c>
      <c r="G4655" s="28">
        <v>879000.0</v>
      </c>
      <c r="H4655" s="29"/>
      <c r="I4655" s="29"/>
      <c r="J4655" s="29"/>
      <c r="K4655" s="25" t="s">
        <v>25</v>
      </c>
      <c r="L4655" s="26">
        <v>5.0</v>
      </c>
      <c r="M4655" s="26">
        <v>2.0</v>
      </c>
      <c r="N4655" s="30"/>
      <c r="O4655" s="30"/>
      <c r="P4655" s="30"/>
      <c r="Q4655" s="35">
        <v>30.0</v>
      </c>
      <c r="R4655" s="32">
        <v>42478.0</v>
      </c>
      <c r="S4655" s="32">
        <v>40308.0</v>
      </c>
      <c r="T4655" s="29"/>
      <c r="U4655" s="33"/>
      <c r="V4655" s="1"/>
    </row>
    <row r="4656" ht="24.0" customHeight="1">
      <c r="A4656" s="1"/>
      <c r="B4656" s="24" t="str">
        <f>HYPERLINK("https://www.compass.com/listing/55-avenue-c-unit-2-manhattan-ny-10009/990625206539873033/view?agent_id=610d3f3370540700019b0833","55 Avenue C, Unit 2")</f>
        <v>55 Avenue C, Unit 2</v>
      </c>
      <c r="C4656" s="25" t="s">
        <v>364</v>
      </c>
      <c r="D4656" s="26" t="s">
        <v>23</v>
      </c>
      <c r="E4656" s="27" t="str">
        <f>HYPERLINK("https://www.compass.com/building/55-avenue-c-manhattan-ny-10009/389270682556089877/","55 Avenue C")</f>
        <v>55 Avenue C</v>
      </c>
      <c r="F4656" s="25" t="s">
        <v>24</v>
      </c>
      <c r="G4656" s="28">
        <v>799000.0</v>
      </c>
      <c r="H4656" s="28">
        <v>1065.0</v>
      </c>
      <c r="I4656" s="28">
        <v>300.0</v>
      </c>
      <c r="J4656" s="29"/>
      <c r="K4656" s="25" t="s">
        <v>25</v>
      </c>
      <c r="L4656" s="26">
        <v>4.0</v>
      </c>
      <c r="M4656" s="26">
        <v>2.0</v>
      </c>
      <c r="N4656" s="26">
        <v>1.0</v>
      </c>
      <c r="O4656" s="26">
        <v>0.0</v>
      </c>
      <c r="P4656" s="26">
        <v>750.0</v>
      </c>
      <c r="Q4656" s="35">
        <v>325.0</v>
      </c>
      <c r="R4656" s="32">
        <v>45636.0</v>
      </c>
      <c r="S4656" s="32">
        <v>44618.0</v>
      </c>
      <c r="T4656" s="29"/>
      <c r="U4656" s="33"/>
      <c r="V4656" s="1"/>
    </row>
    <row r="4657" ht="24.0" customHeight="1">
      <c r="A4657" s="1"/>
      <c r="B4657" s="24" t="str">
        <f>HYPERLINK("https://www.compass.com/listing/525-west-22nd-street-unit-5b-manhattan-ny-10011/79383522925694753/view?agent_id=610d3f3370540700019b0833","525 W 22nd St, Unit 5B")</f>
        <v>525 W 22nd St, Unit 5B</v>
      </c>
      <c r="C4657" s="25" t="s">
        <v>364</v>
      </c>
      <c r="D4657" s="26" t="s">
        <v>23</v>
      </c>
      <c r="E4657" s="27" t="str">
        <f>HYPERLINK("https://www.compass.com/building/the-spears-building-manhattan-ny/281911579581113413/","The Spears Building")</f>
        <v>The Spears Building</v>
      </c>
      <c r="F4657" s="25" t="s">
        <v>27</v>
      </c>
      <c r="G4657" s="28">
        <v>1825000.0</v>
      </c>
      <c r="H4657" s="28">
        <v>1521.0</v>
      </c>
      <c r="I4657" s="28">
        <v>1672.0</v>
      </c>
      <c r="J4657" s="28">
        <v>10368.0</v>
      </c>
      <c r="K4657" s="25" t="s">
        <v>28</v>
      </c>
      <c r="L4657" s="26">
        <v>5.0</v>
      </c>
      <c r="M4657" s="26">
        <v>2.0</v>
      </c>
      <c r="N4657" s="30"/>
      <c r="O4657" s="30"/>
      <c r="P4657" s="34">
        <v>1200.0</v>
      </c>
      <c r="Q4657" s="35">
        <v>15.0</v>
      </c>
      <c r="R4657" s="32">
        <v>42477.0</v>
      </c>
      <c r="S4657" s="32">
        <v>41116.0</v>
      </c>
      <c r="T4657" s="29"/>
      <c r="U4657" s="33"/>
      <c r="V4657" s="1"/>
    </row>
    <row r="4658" ht="24.0" customHeight="1">
      <c r="A4658" s="1"/>
      <c r="B4658" s="24" t="str">
        <f>HYPERLINK("https://www.compass.com/listing/2-5th-avenue-unit-4d-manhattan-ny-10011/29506610342666337/view?agent_id=610d3f3370540700019b0833","2 5th Avenue, Unit 4D")</f>
        <v>2 5th Avenue, Unit 4D</v>
      </c>
      <c r="C4658" s="25" t="s">
        <v>370</v>
      </c>
      <c r="D4658" s="26" t="s">
        <v>23</v>
      </c>
      <c r="E4658" s="27" t="str">
        <f>HYPERLINK("https://www.compass.com/building/2-5th-ave-manhattan-ny-10011/281906423137324709/","2 5th Ave")</f>
        <v>2 5th Ave</v>
      </c>
      <c r="F4658" s="25" t="s">
        <v>43</v>
      </c>
      <c r="G4658" s="28">
        <v>2200000.0</v>
      </c>
      <c r="H4658" s="29"/>
      <c r="I4658" s="28">
        <v>2000.0</v>
      </c>
      <c r="J4658" s="29"/>
      <c r="K4658" s="25" t="s">
        <v>25</v>
      </c>
      <c r="L4658" s="26">
        <v>5.0</v>
      </c>
      <c r="M4658" s="26">
        <v>2.0</v>
      </c>
      <c r="N4658" s="26">
        <v>0.0</v>
      </c>
      <c r="O4658" s="26">
        <v>0.0</v>
      </c>
      <c r="P4658" s="30"/>
      <c r="Q4658" s="35">
        <v>0.0</v>
      </c>
      <c r="R4658" s="32">
        <v>44234.0</v>
      </c>
      <c r="S4658" s="32">
        <v>41486.0</v>
      </c>
      <c r="T4658" s="29"/>
      <c r="U4658" s="33"/>
      <c r="V4658" s="1"/>
    </row>
    <row r="4659" ht="24.0" customHeight="1">
      <c r="A4659" s="1"/>
      <c r="B4659" s="24" t="str">
        <f>HYPERLINK("https://www.compass.com/listing/200-chambers-street-unit-12c-manhattan-ny-10007/70911013821716353/view?agent_id=610d3f3370540700019b0833","200 Chambers Street, Unit 12C")</f>
        <v>200 Chambers Street, Unit 12C</v>
      </c>
      <c r="C4659" s="25" t="s">
        <v>370</v>
      </c>
      <c r="D4659" s="26" t="s">
        <v>23</v>
      </c>
      <c r="E4659" s="27" t="str">
        <f t="shared" ref="E4659:E4660" si="205">HYPERLINK("https://www.compass.com/building/200-chambers-st-manhattan-ny-10007/281896823650526357/","200 Chambers St")</f>
        <v>200 Chambers St</v>
      </c>
      <c r="F4659" s="25" t="s">
        <v>60</v>
      </c>
      <c r="G4659" s="28">
        <v>2395000.0</v>
      </c>
      <c r="H4659" s="28">
        <v>1561.0</v>
      </c>
      <c r="I4659" s="28">
        <v>0.0</v>
      </c>
      <c r="J4659" s="29"/>
      <c r="K4659" s="25" t="s">
        <v>28</v>
      </c>
      <c r="L4659" s="26">
        <v>4.0</v>
      </c>
      <c r="M4659" s="26">
        <v>2.0</v>
      </c>
      <c r="N4659" s="26">
        <v>0.0</v>
      </c>
      <c r="O4659" s="26">
        <v>0.0</v>
      </c>
      <c r="P4659" s="34">
        <v>1534.0</v>
      </c>
      <c r="Q4659" s="35">
        <v>0.0</v>
      </c>
      <c r="R4659" s="32">
        <v>44581.0</v>
      </c>
      <c r="S4659" s="32">
        <v>41511.0</v>
      </c>
      <c r="T4659" s="29"/>
      <c r="U4659" s="33"/>
      <c r="V4659" s="1"/>
    </row>
    <row r="4660" ht="24.0" customHeight="1">
      <c r="A4660" s="1"/>
      <c r="B4660" s="24" t="str">
        <f>HYPERLINK("https://www.compass.com/listing/200-chambers-street-unit-19g-manhattan-ny-10007/920325765584768601/view?agent_id=610d3f3370540700019b0833","200 Chambers Street, Unit 19G")</f>
        <v>200 Chambers Street, Unit 19G</v>
      </c>
      <c r="C4660" s="25" t="s">
        <v>364</v>
      </c>
      <c r="D4660" s="26" t="s">
        <v>23</v>
      </c>
      <c r="E4660" s="27" t="str">
        <f t="shared" si="205"/>
        <v>200 Chambers St</v>
      </c>
      <c r="F4660" s="25" t="s">
        <v>60</v>
      </c>
      <c r="G4660" s="28">
        <v>2349000.0</v>
      </c>
      <c r="H4660" s="28">
        <v>1746.0</v>
      </c>
      <c r="I4660" s="28">
        <v>1955.0</v>
      </c>
      <c r="J4660" s="28">
        <v>8352.0</v>
      </c>
      <c r="K4660" s="25" t="s">
        <v>28</v>
      </c>
      <c r="L4660" s="26">
        <v>4.0</v>
      </c>
      <c r="M4660" s="26">
        <v>2.0</v>
      </c>
      <c r="N4660" s="26">
        <v>0.0</v>
      </c>
      <c r="O4660" s="26">
        <v>0.0</v>
      </c>
      <c r="P4660" s="34">
        <v>1345.0</v>
      </c>
      <c r="Q4660" s="31"/>
      <c r="R4660" s="32">
        <v>44581.0</v>
      </c>
      <c r="S4660" s="33"/>
      <c r="T4660" s="29"/>
      <c r="U4660" s="33"/>
      <c r="V4660" s="1"/>
    </row>
    <row r="4661" ht="24.0" customHeight="1">
      <c r="A4661" s="1"/>
      <c r="B4661" s="24" t="str">
        <f>HYPERLINK("https://www.compass.com/listing/399-east-8th-street-unit-4d-manhattan-ny-10009/1838930889107982625/view?agent_id=610d3f3370540700019b0833","399 East 8th Street, Unit 4D")</f>
        <v>399 East 8th Street, Unit 4D</v>
      </c>
      <c r="C4661" s="25" t="s">
        <v>364</v>
      </c>
      <c r="D4661" s="26" t="s">
        <v>23</v>
      </c>
      <c r="E4661" s="27" t="str">
        <f>HYPERLINK("https://www.compass.com/building/three99-on-eighth-manhattan-ny/281899849236886213/","THREE99 On Eighth")</f>
        <v>THREE99 On Eighth</v>
      </c>
      <c r="F4661" s="25" t="s">
        <v>24</v>
      </c>
      <c r="G4661" s="28">
        <v>1155000.0</v>
      </c>
      <c r="H4661" s="28">
        <v>1816.0</v>
      </c>
      <c r="I4661" s="28">
        <v>600.0</v>
      </c>
      <c r="J4661" s="28">
        <v>612.0</v>
      </c>
      <c r="K4661" s="25" t="s">
        <v>28</v>
      </c>
      <c r="L4661" s="26">
        <v>5.0</v>
      </c>
      <c r="M4661" s="26">
        <v>2.0</v>
      </c>
      <c r="N4661" s="26">
        <v>1.0</v>
      </c>
      <c r="O4661" s="26">
        <v>0.0</v>
      </c>
      <c r="P4661" s="26">
        <v>636.0</v>
      </c>
      <c r="Q4661" s="35">
        <v>186.0</v>
      </c>
      <c r="R4661" s="32">
        <v>45636.0</v>
      </c>
      <c r="S4661" s="32">
        <v>43607.0</v>
      </c>
      <c r="T4661" s="29"/>
      <c r="U4661" s="33"/>
      <c r="V4661" s="1"/>
    </row>
    <row r="4662" ht="24.0" customHeight="1">
      <c r="A4662" s="1"/>
      <c r="B4662" s="24" t="str">
        <f>HYPERLINK("https://www.compass.com/listing/119-west-71st-street-unit-2c-manhattan-ny-10023/1032698404534514193/view?agent_id=610d3f3370540700019b0833","119 West 71st Street, Unit 2C")</f>
        <v>119 West 71st Street, Unit 2C</v>
      </c>
      <c r="C4662" s="25" t="s">
        <v>364</v>
      </c>
      <c r="D4662" s="26" t="s">
        <v>23</v>
      </c>
      <c r="E4662" s="27" t="str">
        <f>HYPERLINK("https://www.compass.com/building/119-w-71st-st-manhattan-ny-10023/281924166259613605/","119 W 71st St")</f>
        <v>119 W 71st St</v>
      </c>
      <c r="F4662" s="25" t="s">
        <v>29</v>
      </c>
      <c r="G4662" s="28">
        <v>1375000.0</v>
      </c>
      <c r="H4662" s="29"/>
      <c r="I4662" s="28">
        <v>2131.0</v>
      </c>
      <c r="J4662" s="29"/>
      <c r="K4662" s="25" t="s">
        <v>25</v>
      </c>
      <c r="L4662" s="26">
        <v>5.0</v>
      </c>
      <c r="M4662" s="26">
        <v>2.0</v>
      </c>
      <c r="N4662" s="26">
        <v>1.0</v>
      </c>
      <c r="O4662" s="26">
        <v>0.0</v>
      </c>
      <c r="P4662" s="30"/>
      <c r="Q4662" s="35">
        <v>2.0</v>
      </c>
      <c r="R4662" s="32">
        <v>44679.0</v>
      </c>
      <c r="S4662" s="32">
        <v>44676.0</v>
      </c>
      <c r="T4662" s="29"/>
      <c r="U4662" s="33"/>
      <c r="V4662" s="1"/>
    </row>
    <row r="4663" ht="24.0" customHeight="1">
      <c r="A4663" s="1"/>
      <c r="B4663" s="24" t="str">
        <f>HYPERLINK("https://www.compass.com/listing/140-west-71st-street-unit-8bc-manhattan-ny-10023/763827636150088449/view?agent_id=610d3f3370540700019b0833","140 West 71st Street, Unit 8BC")</f>
        <v>140 West 71st Street, Unit 8BC</v>
      </c>
      <c r="C4663" s="25" t="s">
        <v>364</v>
      </c>
      <c r="D4663" s="26" t="s">
        <v>23</v>
      </c>
      <c r="E4663" s="27" t="str">
        <f>HYPERLINK("https://www.compass.com/building/140-w-71st-st-manhattan-ny-10023/281957130553071013/","140 W 71st St")</f>
        <v>140 W 71st St</v>
      </c>
      <c r="F4663" s="25" t="s">
        <v>29</v>
      </c>
      <c r="G4663" s="28">
        <v>1050000.0</v>
      </c>
      <c r="H4663" s="29"/>
      <c r="I4663" s="28">
        <v>3490.0</v>
      </c>
      <c r="J4663" s="29"/>
      <c r="K4663" s="25" t="s">
        <v>110</v>
      </c>
      <c r="L4663" s="26">
        <v>5.0</v>
      </c>
      <c r="M4663" s="26">
        <v>2.0</v>
      </c>
      <c r="N4663" s="26">
        <v>1.0</v>
      </c>
      <c r="O4663" s="26">
        <v>0.0</v>
      </c>
      <c r="P4663" s="30"/>
      <c r="Q4663" s="35">
        <v>0.0</v>
      </c>
      <c r="R4663" s="32">
        <v>45378.0</v>
      </c>
      <c r="S4663" s="32">
        <v>44421.0</v>
      </c>
      <c r="T4663" s="29"/>
      <c r="U4663" s="33"/>
      <c r="V4663" s="1"/>
    </row>
    <row r="4664" ht="24.0" customHeight="1">
      <c r="A4664" s="1"/>
      <c r="B4664" s="24" t="str">
        <f>HYPERLINK("https://www.compass.com/listing/12-east-14th-street-unit-2f-manhattan-ny-10003/4703678664691172017/view?agent_id=610d3f3370540700019b0833","12 E 14th St, Unit 2F")</f>
        <v>12 E 14th St, Unit 2F</v>
      </c>
      <c r="C4664" s="25" t="s">
        <v>364</v>
      </c>
      <c r="D4664" s="26" t="s">
        <v>23</v>
      </c>
      <c r="E4664" s="27" t="str">
        <f>HYPERLINK("https://www.compass.com/building/12-e-14th-st-manhattan-ny-10003/294839876410976485/","12 E 14th St")</f>
        <v>12 E 14th St</v>
      </c>
      <c r="F4664" s="25" t="s">
        <v>43</v>
      </c>
      <c r="G4664" s="28">
        <v>875000.0</v>
      </c>
      <c r="H4664" s="28">
        <v>673.0</v>
      </c>
      <c r="I4664" s="28">
        <v>1345.0</v>
      </c>
      <c r="J4664" s="29"/>
      <c r="K4664" s="25" t="s">
        <v>25</v>
      </c>
      <c r="L4664" s="26">
        <v>4.0</v>
      </c>
      <c r="M4664" s="26">
        <v>2.0</v>
      </c>
      <c r="N4664" s="30"/>
      <c r="O4664" s="30"/>
      <c r="P4664" s="34">
        <v>1300.0</v>
      </c>
      <c r="Q4664" s="35">
        <v>881.0</v>
      </c>
      <c r="R4664" s="32">
        <v>42475.0</v>
      </c>
      <c r="S4664" s="32">
        <v>37898.0</v>
      </c>
      <c r="T4664" s="29"/>
      <c r="U4664" s="33"/>
      <c r="V4664" s="1"/>
    </row>
    <row r="4665" ht="24.0" customHeight="1">
      <c r="A4665" s="1"/>
      <c r="B4665" s="24" t="str">
        <f>HYPERLINK("https://www.compass.com/listing/243-west-98th-street-unit-3e-manhattan-ny-10025/1249489395967565665/view?agent_id=610d3f3370540700019b0833","243 West 98th Street, Unit 3E")</f>
        <v>243 West 98th Street, Unit 3E</v>
      </c>
      <c r="C4665" s="25" t="s">
        <v>370</v>
      </c>
      <c r="D4665" s="26" t="s">
        <v>23</v>
      </c>
      <c r="E4665" s="27" t="str">
        <f>HYPERLINK("https://www.compass.com/building/243-w-98th-st-manhattan-ny-10025/281969852573372197/","243 W 98th St")</f>
        <v>243 W 98th St</v>
      </c>
      <c r="F4665" s="25" t="s">
        <v>29</v>
      </c>
      <c r="G4665" s="28">
        <v>1595000.0</v>
      </c>
      <c r="H4665" s="28">
        <v>1276.0</v>
      </c>
      <c r="I4665" s="28">
        <v>1526.0</v>
      </c>
      <c r="J4665" s="28">
        <v>8700.0</v>
      </c>
      <c r="K4665" s="25" t="s">
        <v>28</v>
      </c>
      <c r="L4665" s="26">
        <v>6.0</v>
      </c>
      <c r="M4665" s="26">
        <v>2.0</v>
      </c>
      <c r="N4665" s="30"/>
      <c r="O4665" s="30"/>
      <c r="P4665" s="34">
        <v>1250.0</v>
      </c>
      <c r="Q4665" s="35">
        <v>84.0</v>
      </c>
      <c r="R4665" s="32">
        <v>43781.0</v>
      </c>
      <c r="S4665" s="32">
        <v>43697.0</v>
      </c>
      <c r="T4665" s="29"/>
      <c r="U4665" s="33"/>
      <c r="V4665" s="1"/>
    </row>
    <row r="4666" ht="24.0" customHeight="1">
      <c r="A4666" s="1"/>
      <c r="B4666" s="24" t="str">
        <f>HYPERLINK("https://www.compass.com/listing/399-east-8th-street-unit-4d-manhattan-ny-10009/1838965260439057081/view?agent_id=610d3f3370540700019b0833","399 East 8th Street, Unit 4D")</f>
        <v>399 East 8th Street, Unit 4D</v>
      </c>
      <c r="C4666" s="25" t="s">
        <v>364</v>
      </c>
      <c r="D4666" s="26" t="s">
        <v>23</v>
      </c>
      <c r="E4666" s="27" t="str">
        <f t="shared" ref="E4666:E4667" si="206">HYPERLINK("https://www.compass.com/building/three99-on-eighth-manhattan-ny/281899849236886213/","THREE99 On Eighth")</f>
        <v>THREE99 On Eighth</v>
      </c>
      <c r="F4666" s="25" t="s">
        <v>24</v>
      </c>
      <c r="G4666" s="28">
        <v>1025000.0</v>
      </c>
      <c r="H4666" s="28">
        <v>1398.0</v>
      </c>
      <c r="I4666" s="28">
        <v>697.0</v>
      </c>
      <c r="J4666" s="28">
        <v>612.0</v>
      </c>
      <c r="K4666" s="25" t="s">
        <v>28</v>
      </c>
      <c r="L4666" s="26">
        <v>4.0</v>
      </c>
      <c r="M4666" s="26">
        <v>2.0</v>
      </c>
      <c r="N4666" s="26">
        <v>1.0</v>
      </c>
      <c r="O4666" s="26">
        <v>0.0</v>
      </c>
      <c r="P4666" s="26">
        <v>733.0</v>
      </c>
      <c r="Q4666" s="35">
        <v>122.0</v>
      </c>
      <c r="R4666" s="32">
        <v>45636.0</v>
      </c>
      <c r="S4666" s="32">
        <v>43451.0</v>
      </c>
      <c r="T4666" s="29"/>
      <c r="U4666" s="33"/>
      <c r="V4666" s="1"/>
    </row>
    <row r="4667" ht="24.0" customHeight="1">
      <c r="A4667" s="1"/>
      <c r="B4667" s="24" t="str">
        <f>HYPERLINK("https://www.compass.com/listing/399-east-8th-street-unit-2d-manhattan-ny-10009/565858116062099977/view?agent_id=610d3f3370540700019b0833","399 East 8th Street, Unit 2D")</f>
        <v>399 East 8th Street, Unit 2D</v>
      </c>
      <c r="C4667" s="25" t="s">
        <v>364</v>
      </c>
      <c r="D4667" s="26" t="s">
        <v>23</v>
      </c>
      <c r="E4667" s="27" t="str">
        <f t="shared" si="206"/>
        <v>THREE99 On Eighth</v>
      </c>
      <c r="F4667" s="25" t="s">
        <v>24</v>
      </c>
      <c r="G4667" s="28">
        <v>1020000.0</v>
      </c>
      <c r="H4667" s="28">
        <v>1392.0</v>
      </c>
      <c r="I4667" s="28">
        <v>680.0</v>
      </c>
      <c r="J4667" s="28">
        <v>600.0</v>
      </c>
      <c r="K4667" s="25" t="s">
        <v>28</v>
      </c>
      <c r="L4667" s="26">
        <v>4.0</v>
      </c>
      <c r="M4667" s="26">
        <v>2.0</v>
      </c>
      <c r="N4667" s="26">
        <v>1.0</v>
      </c>
      <c r="O4667" s="26">
        <v>0.0</v>
      </c>
      <c r="P4667" s="26">
        <v>733.0</v>
      </c>
      <c r="Q4667" s="35">
        <v>58.0</v>
      </c>
      <c r="R4667" s="32">
        <v>44581.0</v>
      </c>
      <c r="S4667" s="32">
        <v>44032.0</v>
      </c>
      <c r="T4667" s="29"/>
      <c r="U4667" s="33"/>
      <c r="V4667" s="1"/>
    </row>
    <row r="4668" ht="24.0" customHeight="1">
      <c r="A4668" s="1"/>
      <c r="B4668" s="24" t="str">
        <f>HYPERLINK("https://www.compass.com/listing/780-west-end-avenue-unit-phb-manhattan-ny-10025/315619675731814993/view?agent_id=610d3f3370540700019b0833","780 West End Avenue, Unit PHB")</f>
        <v>780 West End Avenue, Unit PHB</v>
      </c>
      <c r="C4668" s="25" t="s">
        <v>364</v>
      </c>
      <c r="D4668" s="26" t="s">
        <v>23</v>
      </c>
      <c r="E4668" s="27" t="str">
        <f>HYPERLINK("https://www.compass.com/building/780-west-end-ave-manhattan-ny-10025/281973209274867205/","780 West End Ave")</f>
        <v>780 West End Ave</v>
      </c>
      <c r="F4668" s="25" t="s">
        <v>29</v>
      </c>
      <c r="G4668" s="28">
        <v>1718000.0</v>
      </c>
      <c r="H4668" s="28">
        <v>1636.0</v>
      </c>
      <c r="I4668" s="28">
        <v>1630.0</v>
      </c>
      <c r="J4668" s="28">
        <v>7200.0</v>
      </c>
      <c r="K4668" s="25" t="s">
        <v>28</v>
      </c>
      <c r="L4668" s="26">
        <v>3.0</v>
      </c>
      <c r="M4668" s="26">
        <v>2.0</v>
      </c>
      <c r="N4668" s="30"/>
      <c r="O4668" s="30"/>
      <c r="P4668" s="34">
        <v>1050.0</v>
      </c>
      <c r="Q4668" s="35">
        <v>223.0</v>
      </c>
      <c r="R4668" s="32">
        <v>43942.0</v>
      </c>
      <c r="S4668" s="32">
        <v>43686.0</v>
      </c>
      <c r="T4668" s="29"/>
      <c r="U4668" s="33"/>
      <c r="V4668" s="1"/>
    </row>
    <row r="4669" ht="24.0" customHeight="1">
      <c r="A4669" s="1"/>
      <c r="B4669" s="24" t="str">
        <f>HYPERLINK("https://www.compass.com/listing/200-west-24th-street-unit-7a-manhattan-ny-10011/29372335765091601/view?agent_id=610d3f3370540700019b0833","200 West 24th Street, Unit 7A")</f>
        <v>200 West 24th Street, Unit 7A</v>
      </c>
      <c r="C4669" s="25" t="s">
        <v>370</v>
      </c>
      <c r="D4669" s="26" t="s">
        <v>23</v>
      </c>
      <c r="E4669" s="27" t="str">
        <f>HYPERLINK("https://www.compass.com/building/200-w-24th-st-manhattan-ny-10011/281906475247359285/","200 W 24th St")</f>
        <v>200 W 24th St</v>
      </c>
      <c r="F4669" s="25" t="s">
        <v>27</v>
      </c>
      <c r="G4669" s="28">
        <v>2000000.0</v>
      </c>
      <c r="H4669" s="28">
        <v>1484.0</v>
      </c>
      <c r="I4669" s="28">
        <v>2475.0</v>
      </c>
      <c r="J4669" s="28">
        <v>13500.0</v>
      </c>
      <c r="K4669" s="25" t="s">
        <v>28</v>
      </c>
      <c r="L4669" s="26">
        <v>4.0</v>
      </c>
      <c r="M4669" s="26">
        <v>2.0</v>
      </c>
      <c r="N4669" s="26">
        <v>0.0</v>
      </c>
      <c r="O4669" s="26">
        <v>0.0</v>
      </c>
      <c r="P4669" s="34">
        <v>1348.0</v>
      </c>
      <c r="Q4669" s="35">
        <v>107.0</v>
      </c>
      <c r="R4669" s="32">
        <v>44581.0</v>
      </c>
      <c r="S4669" s="32">
        <v>41671.0</v>
      </c>
      <c r="T4669" s="29"/>
      <c r="U4669" s="33"/>
      <c r="V4669" s="1"/>
    </row>
    <row r="4670" ht="24.0" customHeight="1">
      <c r="A4670" s="1"/>
      <c r="B4670" s="24" t="str">
        <f>HYPERLINK("https://www.compass.com/listing/59-west-71st-street-unit-7c-manhattan-ny-10023/29391739403901729/view?agent_id=610d3f3370540700019b0833","59 West 71st Street, Unit 7C")</f>
        <v>59 West 71st Street, Unit 7C</v>
      </c>
      <c r="C4670" s="25" t="s">
        <v>364</v>
      </c>
      <c r="D4670" s="26" t="s">
        <v>23</v>
      </c>
      <c r="E4670" s="27" t="str">
        <f>HYPERLINK("https://www.compass.com/building/59-w-71st-st-manhattan-ny-10023/281961080698252741/","59 W 71st St")</f>
        <v>59 W 71st St</v>
      </c>
      <c r="F4670" s="25" t="s">
        <v>29</v>
      </c>
      <c r="G4670" s="28">
        <v>1400000.0</v>
      </c>
      <c r="H4670" s="29"/>
      <c r="I4670" s="28">
        <v>1535.0</v>
      </c>
      <c r="J4670" s="29"/>
      <c r="K4670" s="25" t="s">
        <v>25</v>
      </c>
      <c r="L4670" s="26">
        <v>4.0</v>
      </c>
      <c r="M4670" s="26">
        <v>2.0</v>
      </c>
      <c r="N4670" s="26">
        <v>0.0</v>
      </c>
      <c r="O4670" s="26">
        <v>0.0</v>
      </c>
      <c r="P4670" s="30"/>
      <c r="Q4670" s="35">
        <v>198.0</v>
      </c>
      <c r="R4670" s="32">
        <v>45636.0</v>
      </c>
      <c r="S4670" s="32">
        <v>42463.0</v>
      </c>
      <c r="T4670" s="29"/>
      <c r="U4670" s="33"/>
      <c r="V4670" s="1"/>
    </row>
    <row r="4671" ht="24.0" customHeight="1">
      <c r="A4671" s="1"/>
      <c r="B4671" s="24" t="str">
        <f>HYPERLINK("https://www.compass.com/listing/415-st-johns-place-unit-1d-brooklyn-ny-11238/1359543790162552561/view?agent_id=610d3f3370540700019b0833","415 St Johns Place, Unit 1D")</f>
        <v>415 St Johns Place, Unit 1D</v>
      </c>
      <c r="C4671" s="25" t="s">
        <v>364</v>
      </c>
      <c r="D4671" s="26" t="s">
        <v>23</v>
      </c>
      <c r="E4671" s="27" t="str">
        <f>HYPERLINK("https://www.compass.com/building/seminole-arms-brooklyn-ny/293529161518076581/","Seminole Arms")</f>
        <v>Seminole Arms</v>
      </c>
      <c r="F4671" s="25" t="s">
        <v>39</v>
      </c>
      <c r="G4671" s="28">
        <v>857500.0</v>
      </c>
      <c r="H4671" s="29"/>
      <c r="I4671" s="28">
        <v>863.0</v>
      </c>
      <c r="J4671" s="29"/>
      <c r="K4671" s="25" t="s">
        <v>25</v>
      </c>
      <c r="L4671" s="26">
        <v>4.0</v>
      </c>
      <c r="M4671" s="26">
        <v>2.0</v>
      </c>
      <c r="N4671" s="30"/>
      <c r="O4671" s="30"/>
      <c r="P4671" s="30"/>
      <c r="Q4671" s="35">
        <v>22.0</v>
      </c>
      <c r="R4671" s="32">
        <v>45183.0</v>
      </c>
      <c r="S4671" s="32">
        <v>45127.0</v>
      </c>
      <c r="T4671" s="28">
        <v>857500.0</v>
      </c>
      <c r="U4671" s="32">
        <v>45190.0</v>
      </c>
      <c r="V4671" s="1"/>
    </row>
    <row r="4672" ht="24.0" customHeight="1">
      <c r="A4672" s="1"/>
      <c r="B4672" s="24" t="str">
        <f>HYPERLINK("https://www.compass.com/listing/279-prospect-place-unit-1-brooklyn-ny-11238/78644718648499457/view?agent_id=610d3f3370540700019b0833","279 Prospect Place, Unit 1")</f>
        <v>279 Prospect Place, Unit 1</v>
      </c>
      <c r="C4672" s="25" t="s">
        <v>364</v>
      </c>
      <c r="D4672" s="26" t="s">
        <v>23</v>
      </c>
      <c r="E4672" s="27" t="str">
        <f>HYPERLINK("https://www.compass.com/building/279-prospect-pl-brooklyn-ny-11238/293420431745022885/","279 Prospect Pl")</f>
        <v>279 Prospect Pl</v>
      </c>
      <c r="F4672" s="25" t="s">
        <v>39</v>
      </c>
      <c r="G4672" s="28">
        <v>825000.0</v>
      </c>
      <c r="H4672" s="29"/>
      <c r="I4672" s="28">
        <v>700.0</v>
      </c>
      <c r="J4672" s="29"/>
      <c r="K4672" s="25" t="s">
        <v>25</v>
      </c>
      <c r="L4672" s="26">
        <v>4.0</v>
      </c>
      <c r="M4672" s="26">
        <v>2.0</v>
      </c>
      <c r="N4672" s="26">
        <v>1.0</v>
      </c>
      <c r="O4672" s="26">
        <v>0.0</v>
      </c>
      <c r="P4672" s="30"/>
      <c r="Q4672" s="35">
        <v>238.0</v>
      </c>
      <c r="R4672" s="32">
        <v>45636.0</v>
      </c>
      <c r="S4672" s="32">
        <v>43360.0</v>
      </c>
      <c r="T4672" s="29"/>
      <c r="U4672" s="33"/>
      <c r="V4672" s="1"/>
    </row>
    <row r="4673" ht="24.0" customHeight="1">
      <c r="A4673" s="1"/>
      <c r="B4673" s="24" t="str">
        <f>HYPERLINK("https://www.compass.com/listing/46-west-71st-street-unit-1b-manhattan-ny-10023/29391721695549713/view?agent_id=610d3f3370540700019b0833","46 West 71st Street, Unit 1B")</f>
        <v>46 West 71st Street, Unit 1B</v>
      </c>
      <c r="C4673" s="25" t="s">
        <v>364</v>
      </c>
      <c r="D4673" s="26" t="s">
        <v>23</v>
      </c>
      <c r="E4673" s="27" t="str">
        <f>HYPERLINK("https://www.compass.com/building/46-w-71st-st-manhattan-ny-10023/281960702137148821/","46 W 71st St")</f>
        <v>46 W 71st St</v>
      </c>
      <c r="F4673" s="25" t="s">
        <v>29</v>
      </c>
      <c r="G4673" s="28">
        <v>950000.0</v>
      </c>
      <c r="H4673" s="29"/>
      <c r="I4673" s="28">
        <v>1168.0</v>
      </c>
      <c r="J4673" s="29"/>
      <c r="K4673" s="25" t="s">
        <v>25</v>
      </c>
      <c r="L4673" s="26">
        <v>4.0</v>
      </c>
      <c r="M4673" s="26">
        <v>2.0</v>
      </c>
      <c r="N4673" s="26">
        <v>1.0</v>
      </c>
      <c r="O4673" s="26">
        <v>0.0</v>
      </c>
      <c r="P4673" s="30"/>
      <c r="Q4673" s="35">
        <v>320.0</v>
      </c>
      <c r="R4673" s="32">
        <v>45636.0</v>
      </c>
      <c r="S4673" s="32">
        <v>41948.0</v>
      </c>
      <c r="T4673" s="29"/>
      <c r="U4673" s="33"/>
      <c r="V4673" s="1"/>
    </row>
    <row r="4674" ht="24.0" customHeight="1">
      <c r="A4674" s="1"/>
      <c r="B4674" s="24" t="str">
        <f>HYPERLINK("https://www.compass.com/listing/111-morton-street-unit-3a-manhattan-ny-10014/424579123037346513/view?agent_id=610d3f3370540700019b0833","111 Morton Street, Unit 3A")</f>
        <v>111 Morton Street, Unit 3A</v>
      </c>
      <c r="C4674" s="25" t="s">
        <v>364</v>
      </c>
      <c r="D4674" s="26" t="s">
        <v>23</v>
      </c>
      <c r="E4674" s="27" t="str">
        <f>HYPERLINK("https://www.compass.com/building/west-village-houses-manhattan-ny/282064797581743765/","West Village Houses")</f>
        <v>West Village Houses</v>
      </c>
      <c r="F4674" s="25" t="s">
        <v>26</v>
      </c>
      <c r="G4674" s="28">
        <v>1599000.0</v>
      </c>
      <c r="H4674" s="29"/>
      <c r="I4674" s="28">
        <v>1107.0</v>
      </c>
      <c r="J4674" s="29"/>
      <c r="K4674" s="25" t="s">
        <v>25</v>
      </c>
      <c r="L4674" s="26">
        <v>4.0</v>
      </c>
      <c r="M4674" s="26">
        <v>2.0</v>
      </c>
      <c r="N4674" s="26">
        <v>1.0</v>
      </c>
      <c r="O4674" s="26">
        <v>0.0</v>
      </c>
      <c r="P4674" s="30"/>
      <c r="Q4674" s="35">
        <v>119.0</v>
      </c>
      <c r="R4674" s="32">
        <v>45636.0</v>
      </c>
      <c r="S4674" s="32">
        <v>43836.0</v>
      </c>
      <c r="T4674" s="29"/>
      <c r="U4674" s="33"/>
      <c r="V4674" s="1"/>
    </row>
    <row r="4675" ht="24.0" customHeight="1">
      <c r="A4675" s="1"/>
      <c r="B4675" s="24" t="str">
        <f>HYPERLINK("https://www.compass.com/listing/146-west-16th-street-unit-3a-manhattan-ny-10011/921954874530319633/view?agent_id=610d3f3370540700019b0833","146 West 16th Street, Unit 3A")</f>
        <v>146 West 16th Street, Unit 3A</v>
      </c>
      <c r="C4675" s="25" t="s">
        <v>370</v>
      </c>
      <c r="D4675" s="26" t="s">
        <v>23</v>
      </c>
      <c r="E4675" s="27" t="str">
        <f>HYPERLINK("https://www.compass.com/building/146-w-16th-st-manhattan-ny-10011/281905488092746117/","146 W 16th St")</f>
        <v>146 W 16th St</v>
      </c>
      <c r="F4675" s="25" t="s">
        <v>27</v>
      </c>
      <c r="G4675" s="28">
        <v>1400000.0</v>
      </c>
      <c r="H4675" s="29"/>
      <c r="I4675" s="28">
        <v>1303.0</v>
      </c>
      <c r="J4675" s="29"/>
      <c r="K4675" s="25" t="s">
        <v>25</v>
      </c>
      <c r="L4675" s="26">
        <v>4.0</v>
      </c>
      <c r="M4675" s="26">
        <v>2.0</v>
      </c>
      <c r="N4675" s="26">
        <v>0.0</v>
      </c>
      <c r="O4675" s="26">
        <v>0.0</v>
      </c>
      <c r="P4675" s="30"/>
      <c r="Q4675" s="35">
        <v>180.0</v>
      </c>
      <c r="R4675" s="32">
        <v>45636.0</v>
      </c>
      <c r="S4675" s="32">
        <v>42880.0</v>
      </c>
      <c r="T4675" s="29"/>
      <c r="U4675" s="33"/>
      <c r="V4675" s="1"/>
    </row>
    <row r="4676" ht="24.0" customHeight="1">
      <c r="A4676" s="1"/>
      <c r="B4676" s="24" t="str">
        <f>HYPERLINK("https://www.compass.com/listing/252-west-17th-street-unit-7b-manhattan-ny-10011/4852267129749120737/view?agent_id=610d3f3370540700019b0833","252 West 17th Street, Unit 7B")</f>
        <v>252 West 17th Street, Unit 7B</v>
      </c>
      <c r="C4676" s="25" t="s">
        <v>364</v>
      </c>
      <c r="D4676" s="26" t="s">
        <v>23</v>
      </c>
      <c r="E4676" s="27" t="str">
        <f>HYPERLINK("https://www.compass.com/building/252-w-17th-st-manhattan-ny-10011/281907973234643957/","252 W 17th St")</f>
        <v>252 W 17th St</v>
      </c>
      <c r="F4676" s="25" t="s">
        <v>27</v>
      </c>
      <c r="G4676" s="28">
        <v>2249000.0</v>
      </c>
      <c r="H4676" s="28">
        <v>1874.0</v>
      </c>
      <c r="I4676" s="28">
        <v>2392.0</v>
      </c>
      <c r="J4676" s="28">
        <v>16068.0</v>
      </c>
      <c r="K4676" s="25" t="s">
        <v>28</v>
      </c>
      <c r="L4676" s="26">
        <v>5.0</v>
      </c>
      <c r="M4676" s="26">
        <v>2.0</v>
      </c>
      <c r="N4676" s="26">
        <v>0.0</v>
      </c>
      <c r="O4676" s="26">
        <v>0.0</v>
      </c>
      <c r="P4676" s="34">
        <v>1200.0</v>
      </c>
      <c r="Q4676" s="35">
        <v>584.0</v>
      </c>
      <c r="R4676" s="32">
        <v>45636.0</v>
      </c>
      <c r="S4676" s="32">
        <v>42294.0</v>
      </c>
      <c r="T4676" s="29"/>
      <c r="U4676" s="33"/>
      <c r="V4676" s="1"/>
    </row>
    <row r="4677" ht="24.0" customHeight="1">
      <c r="A4677" s="1"/>
      <c r="B4677" s="24" t="str">
        <f>HYPERLINK("https://www.compass.com/listing/24-west-69th-street-unit-6b-manhattan-ny-10023/1861848799561352553/view?agent_id=610d3f3370540700019b0833","24 W 69th St, Unit 6B")</f>
        <v>24 W 69th St, Unit 6B</v>
      </c>
      <c r="C4677" s="25" t="s">
        <v>364</v>
      </c>
      <c r="D4677" s="26" t="s">
        <v>23</v>
      </c>
      <c r="E4677" s="27" t="str">
        <f>HYPERLINK("https://www.compass.com/building/24-w-69th-st-manhattan-ny-10023/281958774552470405/","24 W 69th St")</f>
        <v>24 W 69th St</v>
      </c>
      <c r="F4677" s="25" t="s">
        <v>29</v>
      </c>
      <c r="G4677" s="28">
        <v>1500000.0</v>
      </c>
      <c r="H4677" s="29"/>
      <c r="I4677" s="28">
        <v>1724.0</v>
      </c>
      <c r="J4677" s="28">
        <v>0.0</v>
      </c>
      <c r="K4677" s="25" t="s">
        <v>25</v>
      </c>
      <c r="L4677" s="26">
        <v>5.0</v>
      </c>
      <c r="M4677" s="26">
        <v>2.0</v>
      </c>
      <c r="N4677" s="26">
        <v>1.0</v>
      </c>
      <c r="O4677" s="26">
        <v>0.0</v>
      </c>
      <c r="P4677" s="30"/>
      <c r="Q4677" s="35">
        <v>483.0</v>
      </c>
      <c r="R4677" s="32">
        <v>43475.0</v>
      </c>
      <c r="S4677" s="32">
        <v>42902.0</v>
      </c>
      <c r="T4677" s="29"/>
      <c r="U4677" s="33"/>
      <c r="V4677" s="1"/>
    </row>
    <row r="4678" ht="24.0" customHeight="1">
      <c r="A4678" s="1"/>
      <c r="B4678" s="24" t="str">
        <f>HYPERLINK("https://www.compass.com/listing/447-west-18th-street-unit-7a-manhattan-ny-10011/29512072928720561/view?agent_id=610d3f3370540700019b0833","447 W 18th St, Unit 7A")</f>
        <v>447 W 18th St, Unit 7A</v>
      </c>
      <c r="C4678" s="25" t="s">
        <v>364</v>
      </c>
      <c r="D4678" s="26" t="s">
        <v>23</v>
      </c>
      <c r="E4678" s="27" t="str">
        <f>HYPERLINK("https://www.compass.com/building/chelsea-modern-manhattan-ny/281910591621193429/","Chelsea Modern")</f>
        <v>Chelsea Modern</v>
      </c>
      <c r="F4678" s="25" t="s">
        <v>27</v>
      </c>
      <c r="G4678" s="28">
        <v>2350000.0</v>
      </c>
      <c r="H4678" s="28">
        <v>1632.0</v>
      </c>
      <c r="I4678" s="28">
        <v>3162.0</v>
      </c>
      <c r="J4678" s="28">
        <v>21924.0</v>
      </c>
      <c r="K4678" s="25" t="s">
        <v>28</v>
      </c>
      <c r="L4678" s="26">
        <v>4.0</v>
      </c>
      <c r="M4678" s="26">
        <v>2.0</v>
      </c>
      <c r="N4678" s="26">
        <v>0.0</v>
      </c>
      <c r="O4678" s="26">
        <v>0.0</v>
      </c>
      <c r="P4678" s="34">
        <v>1440.0</v>
      </c>
      <c r="Q4678" s="35">
        <v>104.0</v>
      </c>
      <c r="R4678" s="32">
        <v>45636.0</v>
      </c>
      <c r="S4678" s="32">
        <v>43265.0</v>
      </c>
      <c r="T4678" s="29"/>
      <c r="U4678" s="33"/>
      <c r="V4678" s="1"/>
    </row>
    <row r="4679" ht="24.0" customHeight="1">
      <c r="A4679" s="1"/>
      <c r="B4679" s="24" t="str">
        <f>HYPERLINK("https://www.compass.com/listing/31-1st-place-unit-4-brooklyn-ny-11231/79503409513855585/view?agent_id=610d3f3370540700019b0833","31 1st Pl, Unit 4")</f>
        <v>31 1st Pl, Unit 4</v>
      </c>
      <c r="C4679" s="25" t="s">
        <v>364</v>
      </c>
      <c r="D4679" s="26" t="s">
        <v>23</v>
      </c>
      <c r="E4679" s="27" t="str">
        <f>HYPERLINK("https://www.compass.com/building/31-1st-pl-brooklyn-ny-11231/282500382620465109/","31 1st Pl")</f>
        <v>31 1st Pl</v>
      </c>
      <c r="F4679" s="25" t="s">
        <v>65</v>
      </c>
      <c r="G4679" s="28">
        <v>1055000.0</v>
      </c>
      <c r="H4679" s="29"/>
      <c r="I4679" s="28">
        <v>1096.0</v>
      </c>
      <c r="J4679" s="29"/>
      <c r="K4679" s="25" t="s">
        <v>25</v>
      </c>
      <c r="L4679" s="26">
        <v>4.0</v>
      </c>
      <c r="M4679" s="26">
        <v>2.0</v>
      </c>
      <c r="N4679" s="30"/>
      <c r="O4679" s="30"/>
      <c r="P4679" s="30"/>
      <c r="Q4679" s="31"/>
      <c r="R4679" s="32">
        <v>42478.0</v>
      </c>
      <c r="S4679" s="33"/>
      <c r="T4679" s="29"/>
      <c r="U4679" s="33"/>
      <c r="V4679" s="1"/>
    </row>
    <row r="4680" ht="24.0" customHeight="1">
      <c r="A4680" s="1"/>
      <c r="B4680" s="24" t="str">
        <f>HYPERLINK("https://www.compass.com/listing/234-west-21st-street-unit-52-manhattan-ny-10011/4852306968372582465/view?agent_id=610d3f3370540700019b0833","234 W 21st St, Unit 52")</f>
        <v>234 W 21st St, Unit 52</v>
      </c>
      <c r="C4680" s="25" t="s">
        <v>364</v>
      </c>
      <c r="D4680" s="26" t="s">
        <v>23</v>
      </c>
      <c r="E4680" s="27" t="str">
        <f>HYPERLINK("https://www.compass.com/building/234-west-21st-street-manhattan-ny/281907472074035573/","234 West 21st Street")</f>
        <v>234 West 21st Street</v>
      </c>
      <c r="F4680" s="25" t="s">
        <v>27</v>
      </c>
      <c r="G4680" s="28">
        <v>1350000.0</v>
      </c>
      <c r="H4680" s="28">
        <v>1227.0</v>
      </c>
      <c r="I4680" s="28">
        <v>905.0</v>
      </c>
      <c r="J4680" s="29"/>
      <c r="K4680" s="25" t="s">
        <v>25</v>
      </c>
      <c r="L4680" s="26">
        <v>5.0</v>
      </c>
      <c r="M4680" s="26">
        <v>2.0</v>
      </c>
      <c r="N4680" s="26">
        <v>1.0</v>
      </c>
      <c r="O4680" s="26">
        <v>0.0</v>
      </c>
      <c r="P4680" s="34">
        <v>1100.0</v>
      </c>
      <c r="Q4680" s="35">
        <v>125.0</v>
      </c>
      <c r="R4680" s="32">
        <v>45636.0</v>
      </c>
      <c r="S4680" s="32">
        <v>42578.0</v>
      </c>
      <c r="T4680" s="29"/>
      <c r="U4680" s="33"/>
      <c r="V4680" s="1"/>
    </row>
    <row r="4681" ht="24.0" customHeight="1">
      <c r="A4681" s="1"/>
      <c r="B4681" s="24" t="str">
        <f>HYPERLINK("https://www.compass.com/listing/200-chambers-street-unit-7ef-manhattan-ny-10007/337731225703353937/view?agent_id=610d3f3370540700019b0833","200 Chambers St, Unit 7EF")</f>
        <v>200 Chambers St, Unit 7EF</v>
      </c>
      <c r="C4681" s="25" t="s">
        <v>364</v>
      </c>
      <c r="D4681" s="26" t="s">
        <v>23</v>
      </c>
      <c r="E4681" s="27" t="str">
        <f t="shared" ref="E4681:E4682" si="207">HYPERLINK("https://www.compass.com/building/200-chambers-st-manhattan-ny-10007/281896823650526357/","200 Chambers St")</f>
        <v>200 Chambers St</v>
      </c>
      <c r="F4681" s="25" t="s">
        <v>60</v>
      </c>
      <c r="G4681" s="28">
        <v>2850000.0</v>
      </c>
      <c r="H4681" s="28">
        <v>1900.0</v>
      </c>
      <c r="I4681" s="28">
        <v>2219.0</v>
      </c>
      <c r="J4681" s="28">
        <v>4848.0</v>
      </c>
      <c r="K4681" s="25" t="s">
        <v>28</v>
      </c>
      <c r="L4681" s="26">
        <v>4.0</v>
      </c>
      <c r="M4681" s="26">
        <v>2.0</v>
      </c>
      <c r="N4681" s="26">
        <v>0.0</v>
      </c>
      <c r="O4681" s="26">
        <v>0.0</v>
      </c>
      <c r="P4681" s="34">
        <v>1500.0</v>
      </c>
      <c r="Q4681" s="35">
        <v>154.0</v>
      </c>
      <c r="R4681" s="32">
        <v>45636.0</v>
      </c>
      <c r="S4681" s="32">
        <v>41562.0</v>
      </c>
      <c r="T4681" s="29"/>
      <c r="U4681" s="33"/>
      <c r="V4681" s="1"/>
    </row>
    <row r="4682" ht="24.0" customHeight="1">
      <c r="A4682" s="1"/>
      <c r="B4682" s="24" t="str">
        <f>HYPERLINK("https://www.compass.com/listing/200-chambers-street-unit-6ef-manhattan-ny-10007/4852268045088855345/view?agent_id=610d3f3370540700019b0833","200 Chambers St, Unit 6EF")</f>
        <v>200 Chambers St, Unit 6EF</v>
      </c>
      <c r="C4682" s="25" t="s">
        <v>364</v>
      </c>
      <c r="D4682" s="26" t="s">
        <v>23</v>
      </c>
      <c r="E4682" s="27" t="str">
        <f t="shared" si="207"/>
        <v>200 Chambers St</v>
      </c>
      <c r="F4682" s="25" t="s">
        <v>60</v>
      </c>
      <c r="G4682" s="28">
        <v>2700000.0</v>
      </c>
      <c r="H4682" s="28">
        <v>1800.0</v>
      </c>
      <c r="I4682" s="28">
        <v>1846.0</v>
      </c>
      <c r="J4682" s="28">
        <v>5976.0</v>
      </c>
      <c r="K4682" s="25" t="s">
        <v>28</v>
      </c>
      <c r="L4682" s="26">
        <v>4.0</v>
      </c>
      <c r="M4682" s="26">
        <v>2.0</v>
      </c>
      <c r="N4682" s="26">
        <v>0.0</v>
      </c>
      <c r="O4682" s="26">
        <v>0.0</v>
      </c>
      <c r="P4682" s="34">
        <v>1500.0</v>
      </c>
      <c r="Q4682" s="35">
        <v>154.0</v>
      </c>
      <c r="R4682" s="32">
        <v>44581.0</v>
      </c>
      <c r="S4682" s="32">
        <v>41562.0</v>
      </c>
      <c r="T4682" s="29"/>
      <c r="U4682" s="33"/>
      <c r="V4682" s="1"/>
    </row>
    <row r="4683" ht="24.0" customHeight="1">
      <c r="A4683" s="1"/>
      <c r="B4683" s="24" t="str">
        <f>HYPERLINK("https://www.compass.com/listing/85-west-broadway-unit-10w-manhattan-ny-10007/793159643974336305/view?agent_id=610d3f3370540700019b0833","85 W Broadway, Unit 10W")</f>
        <v>85 W Broadway, Unit 10W</v>
      </c>
      <c r="C4683" s="25" t="s">
        <v>364</v>
      </c>
      <c r="D4683" s="26" t="s">
        <v>23</v>
      </c>
      <c r="E4683" s="27" t="str">
        <f>HYPERLINK("https://www.compass.com/building/smyth-tribeca-manhattan-ny/281897206967969253/","Smyth Tribeca")</f>
        <v>Smyth Tribeca</v>
      </c>
      <c r="F4683" s="25" t="s">
        <v>60</v>
      </c>
      <c r="G4683" s="28">
        <v>2175000.0</v>
      </c>
      <c r="H4683" s="28">
        <v>2083.0</v>
      </c>
      <c r="I4683" s="28">
        <v>2408.0</v>
      </c>
      <c r="J4683" s="28">
        <v>8652.0</v>
      </c>
      <c r="K4683" s="25" t="s">
        <v>28</v>
      </c>
      <c r="L4683" s="26">
        <v>4.0</v>
      </c>
      <c r="M4683" s="26">
        <v>2.0</v>
      </c>
      <c r="N4683" s="26">
        <v>0.0</v>
      </c>
      <c r="O4683" s="26">
        <v>0.0</v>
      </c>
      <c r="P4683" s="34">
        <v>1044.0</v>
      </c>
      <c r="Q4683" s="35">
        <v>84.0</v>
      </c>
      <c r="R4683" s="32">
        <v>44581.0</v>
      </c>
      <c r="S4683" s="32">
        <v>43087.0</v>
      </c>
      <c r="T4683" s="29"/>
      <c r="U4683" s="33"/>
      <c r="V4683" s="1"/>
    </row>
    <row r="4684" ht="24.0" customHeight="1">
      <c r="A4684" s="1"/>
      <c r="B4684" s="24" t="str">
        <f>HYPERLINK("https://www.compass.com/listing/325-west-16th-street-unit-3w-manhattan-ny-10011/1266061817973201665/view?agent_id=610d3f3370540700019b0833","325 W 16th St, Unit 3W")</f>
        <v>325 W 16th St, Unit 3W</v>
      </c>
      <c r="C4684" s="25" t="s">
        <v>370</v>
      </c>
      <c r="D4684" s="26" t="s">
        <v>23</v>
      </c>
      <c r="E4684" s="27" t="str">
        <f>HYPERLINK("https://www.compass.com/building/325-w-16th-st-manhattan-ny-10011/307456113481939061/","325 W 16th St")</f>
        <v>325 W 16th St</v>
      </c>
      <c r="F4684" s="25" t="s">
        <v>27</v>
      </c>
      <c r="G4684" s="28">
        <v>1350000.0</v>
      </c>
      <c r="H4684" s="29"/>
      <c r="I4684" s="28">
        <v>1400.0</v>
      </c>
      <c r="J4684" s="29"/>
      <c r="K4684" s="25" t="s">
        <v>25</v>
      </c>
      <c r="L4684" s="26">
        <v>3.0</v>
      </c>
      <c r="M4684" s="26">
        <v>2.0</v>
      </c>
      <c r="N4684" s="26">
        <v>1.0</v>
      </c>
      <c r="O4684" s="26">
        <v>0.0</v>
      </c>
      <c r="P4684" s="30"/>
      <c r="Q4684" s="35">
        <v>143.0</v>
      </c>
      <c r="R4684" s="32">
        <v>45636.0</v>
      </c>
      <c r="S4684" s="32">
        <v>44998.0</v>
      </c>
      <c r="T4684" s="29"/>
      <c r="U4684" s="33"/>
      <c r="V4684" s="1"/>
    </row>
    <row r="4685" ht="24.0" customHeight="1">
      <c r="A4685" s="1"/>
      <c r="B4685" s="24" t="str">
        <f>HYPERLINK("https://www.compass.com/listing/65-morton-street-unit-m6n-manhattan-ny-10014/29366324295681569/view?agent_id=610d3f3370540700019b0833","65 Morton St, Unit M6N")</f>
        <v>65 Morton St, Unit M6N</v>
      </c>
      <c r="C4685" s="25" t="s">
        <v>364</v>
      </c>
      <c r="D4685" s="26" t="s">
        <v>23</v>
      </c>
      <c r="E4685" s="27" t="str">
        <f>HYPERLINK("https://www.compass.com/building/65-morton-st-manhattan-ny-10014/282065049390978901/","65 Morton St")</f>
        <v>65 Morton St</v>
      </c>
      <c r="F4685" s="25" t="s">
        <v>26</v>
      </c>
      <c r="G4685" s="28">
        <v>1095000.0</v>
      </c>
      <c r="H4685" s="29"/>
      <c r="I4685" s="28">
        <v>1027.0</v>
      </c>
      <c r="J4685" s="29"/>
      <c r="K4685" s="25" t="s">
        <v>25</v>
      </c>
      <c r="L4685" s="26">
        <v>4.0</v>
      </c>
      <c r="M4685" s="26">
        <v>2.0</v>
      </c>
      <c r="N4685" s="26">
        <v>0.0</v>
      </c>
      <c r="O4685" s="26">
        <v>0.0</v>
      </c>
      <c r="P4685" s="30"/>
      <c r="Q4685" s="35">
        <v>43.0</v>
      </c>
      <c r="R4685" s="32">
        <v>45636.0</v>
      </c>
      <c r="S4685" s="32">
        <v>42110.0</v>
      </c>
      <c r="T4685" s="29"/>
      <c r="U4685" s="33"/>
      <c r="V4685" s="1"/>
    </row>
    <row r="4686" ht="24.0" customHeight="1">
      <c r="A4686" s="1"/>
      <c r="B4686" s="24" t="str">
        <f>HYPERLINK("https://www.compass.com/listing/175-west-12th-street-unit-19b-manhattan-ny-10011/1860491808593248529/view?agent_id=610d3f3370540700019b0833","175 W 12th St, Unit 19B")</f>
        <v>175 W 12th St, Unit 19B</v>
      </c>
      <c r="C4686" s="25" t="s">
        <v>364</v>
      </c>
      <c r="D4686" s="26" t="s">
        <v>23</v>
      </c>
      <c r="E4686" s="27" t="str">
        <f>HYPERLINK("https://www.compass.com/building/century-towers-manhattan-ny/281906200671441957/","Century Towers")</f>
        <v>Century Towers</v>
      </c>
      <c r="F4686" s="25" t="s">
        <v>26</v>
      </c>
      <c r="G4686" s="28">
        <v>1899000.0</v>
      </c>
      <c r="H4686" s="28">
        <v>1920.0</v>
      </c>
      <c r="I4686" s="28">
        <v>2056.0</v>
      </c>
      <c r="J4686" s="28">
        <v>15046.0</v>
      </c>
      <c r="K4686" s="25" t="s">
        <v>28</v>
      </c>
      <c r="L4686" s="26">
        <v>4.0</v>
      </c>
      <c r="M4686" s="26">
        <v>2.0</v>
      </c>
      <c r="N4686" s="26">
        <v>1.0</v>
      </c>
      <c r="O4686" s="26">
        <v>0.0</v>
      </c>
      <c r="P4686" s="26">
        <v>989.0</v>
      </c>
      <c r="Q4686" s="35">
        <v>62.0</v>
      </c>
      <c r="R4686" s="32">
        <v>43535.0</v>
      </c>
      <c r="S4686" s="32">
        <v>43382.0</v>
      </c>
      <c r="T4686" s="29"/>
      <c r="U4686" s="33"/>
      <c r="V4686" s="1"/>
    </row>
    <row r="4687" ht="24.0" customHeight="1">
      <c r="A4687" s="1"/>
      <c r="B4687" s="24" t="str">
        <f>HYPERLINK("https://www.compass.com/listing/246-west-17th-street-unit-5b-manhattan-ny-10011/921961122600507897/view?agent_id=610d3f3370540700019b0833","246 W 17th St, Unit 5B")</f>
        <v>246 W 17th St, Unit 5B</v>
      </c>
      <c r="C4687" s="25" t="s">
        <v>364</v>
      </c>
      <c r="D4687" s="26" t="s">
        <v>23</v>
      </c>
      <c r="E4687" s="27" t="str">
        <f>HYPERLINK("https://www.compass.com/building/246-west-17th-street-manhattan-ny/281907841273453509/","246 West 17th Street")</f>
        <v>246 West 17th Street</v>
      </c>
      <c r="F4687" s="25" t="s">
        <v>27</v>
      </c>
      <c r="G4687" s="28">
        <v>3100000.0</v>
      </c>
      <c r="H4687" s="28">
        <v>2027.0</v>
      </c>
      <c r="I4687" s="28">
        <v>3218.0</v>
      </c>
      <c r="J4687" s="28">
        <v>16644.0</v>
      </c>
      <c r="K4687" s="25" t="s">
        <v>28</v>
      </c>
      <c r="L4687" s="26">
        <v>4.0</v>
      </c>
      <c r="M4687" s="26">
        <v>2.0</v>
      </c>
      <c r="N4687" s="26">
        <v>0.0</v>
      </c>
      <c r="O4687" s="26">
        <v>0.0</v>
      </c>
      <c r="P4687" s="34">
        <v>1529.0</v>
      </c>
      <c r="Q4687" s="35">
        <v>0.0</v>
      </c>
      <c r="R4687" s="32">
        <v>44581.0</v>
      </c>
      <c r="S4687" s="32">
        <v>43215.0</v>
      </c>
      <c r="T4687" s="29"/>
      <c r="U4687" s="33"/>
      <c r="V4687" s="1"/>
    </row>
    <row r="4688" ht="24.0" customHeight="1">
      <c r="A4688" s="1"/>
      <c r="B4688" s="24" t="str">
        <f>HYPERLINK("https://www.compass.com/listing/126-west-22nd-street-unit-11s-manhattan-ny-10011/70924199555838449/view?agent_id=610d3f3370540700019b0833","126 W 22nd St, Unit 11S")</f>
        <v>126 W 22nd St, Unit 11S</v>
      </c>
      <c r="C4688" s="25" t="s">
        <v>370</v>
      </c>
      <c r="D4688" s="26" t="s">
        <v>23</v>
      </c>
      <c r="E4688" s="27" t="str">
        <f>HYPERLINK("https://www.compass.com/building/126-w-22nd-st-manhattan-ny-10011/281904910209926693/","126 W 22nd St")</f>
        <v>126 W 22nd St</v>
      </c>
      <c r="F4688" s="25" t="s">
        <v>27</v>
      </c>
      <c r="G4688" s="28">
        <v>3900000.0</v>
      </c>
      <c r="H4688" s="28">
        <v>1805.0</v>
      </c>
      <c r="I4688" s="28">
        <v>3604.0</v>
      </c>
      <c r="J4688" s="28">
        <v>24744.0</v>
      </c>
      <c r="K4688" s="25" t="s">
        <v>28</v>
      </c>
      <c r="L4688" s="26">
        <v>4.0</v>
      </c>
      <c r="M4688" s="26">
        <v>2.0</v>
      </c>
      <c r="N4688" s="26">
        <v>0.0</v>
      </c>
      <c r="O4688" s="26">
        <v>0.0</v>
      </c>
      <c r="P4688" s="34">
        <v>2161.0</v>
      </c>
      <c r="Q4688" s="35">
        <v>206.0</v>
      </c>
      <c r="R4688" s="32">
        <v>45636.0</v>
      </c>
      <c r="S4688" s="32">
        <v>42395.0</v>
      </c>
      <c r="T4688" s="29"/>
      <c r="U4688" s="33"/>
      <c r="V4688" s="1"/>
    </row>
    <row r="4689" ht="24.0" customHeight="1">
      <c r="A4689" s="1"/>
      <c r="B4689" s="24" t="str">
        <f>HYPERLINK("https://www.compass.com/listing/200-chambers-street-unit-8g-manhattan-ny-10007/50868160139630465/view?agent_id=610d3f3370540700019b0833","200 Chambers St, Unit 8G")</f>
        <v>200 Chambers St, Unit 8G</v>
      </c>
      <c r="C4689" s="25" t="s">
        <v>370</v>
      </c>
      <c r="D4689" s="26" t="s">
        <v>23</v>
      </c>
      <c r="E4689" s="27" t="str">
        <f>HYPERLINK("https://www.compass.com/building/200-chambers-st-manhattan-ny-10007/281896823650526357/","200 Chambers St")</f>
        <v>200 Chambers St</v>
      </c>
      <c r="F4689" s="25" t="s">
        <v>60</v>
      </c>
      <c r="G4689" s="28">
        <v>3598000.0</v>
      </c>
      <c r="H4689" s="28">
        <v>2675.0</v>
      </c>
      <c r="I4689" s="28">
        <v>3424.0</v>
      </c>
      <c r="J4689" s="28">
        <v>19908.0</v>
      </c>
      <c r="K4689" s="25" t="s">
        <v>28</v>
      </c>
      <c r="L4689" s="26">
        <v>4.0</v>
      </c>
      <c r="M4689" s="26">
        <v>2.0</v>
      </c>
      <c r="N4689" s="26">
        <v>0.0</v>
      </c>
      <c r="O4689" s="26">
        <v>0.0</v>
      </c>
      <c r="P4689" s="34">
        <v>1345.0</v>
      </c>
      <c r="Q4689" s="35">
        <v>169.0</v>
      </c>
      <c r="R4689" s="32">
        <v>45636.0</v>
      </c>
      <c r="S4689" s="32">
        <v>42514.0</v>
      </c>
      <c r="T4689" s="29"/>
      <c r="U4689" s="33"/>
      <c r="V4689" s="1"/>
    </row>
    <row r="4690" ht="24.0" customHeight="1">
      <c r="A4690" s="1"/>
      <c r="B4690" s="24" t="str">
        <f>HYPERLINK("https://www.compass.com/listing/260-west-end-avenue-unit-2c-manhattan-ny-10023/1838876396869355801/view?agent_id=610d3f3370540700019b0833","260 West End Ave, Unit 2C")</f>
        <v>260 West End Ave, Unit 2C</v>
      </c>
      <c r="C4690" s="25" t="s">
        <v>364</v>
      </c>
      <c r="D4690" s="26" t="s">
        <v>23</v>
      </c>
      <c r="E4690" s="27" t="str">
        <f>HYPERLINK("https://www.compass.com/building/260-west-end-ave-manhattan-ny-10023/281959225071050533/","260 West End Ave")</f>
        <v>260 West End Ave</v>
      </c>
      <c r="F4690" s="25" t="s">
        <v>29</v>
      </c>
      <c r="G4690" s="28">
        <v>988000.0</v>
      </c>
      <c r="H4690" s="28">
        <v>1292.0</v>
      </c>
      <c r="I4690" s="28">
        <v>2196.0</v>
      </c>
      <c r="J4690" s="29"/>
      <c r="K4690" s="25" t="s">
        <v>25</v>
      </c>
      <c r="L4690" s="26">
        <v>3.0</v>
      </c>
      <c r="M4690" s="26">
        <v>2.0</v>
      </c>
      <c r="N4690" s="26">
        <v>1.0</v>
      </c>
      <c r="O4690" s="26">
        <v>0.0</v>
      </c>
      <c r="P4690" s="26">
        <v>765.0</v>
      </c>
      <c r="Q4690" s="35">
        <v>1142.0</v>
      </c>
      <c r="R4690" s="32">
        <v>44581.0</v>
      </c>
      <c r="S4690" s="32">
        <v>43157.0</v>
      </c>
      <c r="T4690" s="29"/>
      <c r="U4690" s="33"/>
      <c r="V4690" s="1"/>
    </row>
    <row r="4691" ht="24.0" customHeight="1">
      <c r="A4691" s="1"/>
      <c r="B4691" s="24" t="str">
        <f>HYPERLINK("https://www.compass.com/listing/101-west-24th-street-unit-35c-manhattan-ny-10011/192565880289309889/view?agent_id=610d3f3370540700019b0833","101 W 24th St, Unit 35C")</f>
        <v>101 W 24th St, Unit 35C</v>
      </c>
      <c r="C4691" s="25" t="s">
        <v>370</v>
      </c>
      <c r="D4691" s="26" t="s">
        <v>23</v>
      </c>
      <c r="E4691" s="27" t="str">
        <f>HYPERLINK("https://www.compass.com/building/chelsea-stratus-manhattan-ny/294845224777812053/","Chelsea Stratus")</f>
        <v>Chelsea Stratus</v>
      </c>
      <c r="F4691" s="25" t="s">
        <v>27</v>
      </c>
      <c r="G4691" s="28">
        <v>3500000.0</v>
      </c>
      <c r="H4691" s="28">
        <v>2092.0</v>
      </c>
      <c r="I4691" s="28">
        <v>2476.0</v>
      </c>
      <c r="J4691" s="28">
        <v>11172.0</v>
      </c>
      <c r="K4691" s="25" t="s">
        <v>28</v>
      </c>
      <c r="L4691" s="26">
        <v>5.0</v>
      </c>
      <c r="M4691" s="26">
        <v>2.0</v>
      </c>
      <c r="N4691" s="26">
        <v>0.0</v>
      </c>
      <c r="O4691" s="26">
        <v>0.0</v>
      </c>
      <c r="P4691" s="34">
        <v>1673.0</v>
      </c>
      <c r="Q4691" s="35">
        <v>57.0</v>
      </c>
      <c r="R4691" s="32">
        <v>45636.0</v>
      </c>
      <c r="S4691" s="32">
        <v>42495.0</v>
      </c>
      <c r="T4691" s="29"/>
      <c r="U4691" s="33"/>
      <c r="V4691" s="1"/>
    </row>
    <row r="4692" ht="24.0" customHeight="1">
      <c r="A4692" s="1"/>
      <c r="B4692" s="24" t="str">
        <f>HYPERLINK("https://www.compass.com/listing/263-west-end-avenue-unit-5a-manhattan-ny-10023/1809612054168834801/view?agent_id=610d3f3370540700019b0833","263 West End Ave, Unit 5A")</f>
        <v>263 West End Ave, Unit 5A</v>
      </c>
      <c r="C4692" s="25" t="s">
        <v>370</v>
      </c>
      <c r="D4692" s="26" t="s">
        <v>23</v>
      </c>
      <c r="E4692" s="27" t="str">
        <f>HYPERLINK("https://www.compass.com/building/riverside-towers-manhattan-ny/281959247779012421/","Riverside Towers")</f>
        <v>Riverside Towers</v>
      </c>
      <c r="F4692" s="25" t="s">
        <v>29</v>
      </c>
      <c r="G4692" s="28">
        <v>1675000.0</v>
      </c>
      <c r="H4692" s="29"/>
      <c r="I4692" s="28">
        <v>2301.0</v>
      </c>
      <c r="J4692" s="29"/>
      <c r="K4692" s="25" t="s">
        <v>25</v>
      </c>
      <c r="L4692" s="26">
        <v>4.0</v>
      </c>
      <c r="M4692" s="26">
        <v>2.0</v>
      </c>
      <c r="N4692" s="26">
        <v>0.0</v>
      </c>
      <c r="O4692" s="26">
        <v>0.0</v>
      </c>
      <c r="P4692" s="30"/>
      <c r="Q4692" s="35">
        <v>221.0</v>
      </c>
      <c r="R4692" s="32">
        <v>45636.0</v>
      </c>
      <c r="S4692" s="32">
        <v>42695.0</v>
      </c>
      <c r="T4692" s="29"/>
      <c r="U4692" s="33"/>
      <c r="V4692" s="1"/>
    </row>
    <row r="4693" ht="24.0" customHeight="1">
      <c r="A4693" s="1"/>
      <c r="B4693" s="24" t="str">
        <f>HYPERLINK("https://www.compass.com/listing/223-west-21st-street-unit-1m-manhattan-ny-10011/601392649645543145/view?agent_id=610d3f3370540700019b0833","223 W 21st St, Unit 1M")</f>
        <v>223 W 21st St, Unit 1M</v>
      </c>
      <c r="C4693" s="25" t="s">
        <v>364</v>
      </c>
      <c r="D4693" s="26" t="s">
        <v>23</v>
      </c>
      <c r="E4693" s="27" t="str">
        <f>HYPERLINK("https://www.compass.com/building/223-w-21st-st-manhattan-ny-10011/281907120062877637/","223 W 21st St")</f>
        <v>223 W 21st St</v>
      </c>
      <c r="F4693" s="25" t="s">
        <v>27</v>
      </c>
      <c r="G4693" s="28">
        <v>945000.0</v>
      </c>
      <c r="H4693" s="28">
        <v>1350.0</v>
      </c>
      <c r="I4693" s="28">
        <v>1235.0</v>
      </c>
      <c r="J4693" s="29"/>
      <c r="K4693" s="25" t="s">
        <v>25</v>
      </c>
      <c r="L4693" s="26">
        <v>4.0</v>
      </c>
      <c r="M4693" s="26">
        <v>2.0</v>
      </c>
      <c r="N4693" s="26">
        <v>1.0</v>
      </c>
      <c r="O4693" s="26">
        <v>0.0</v>
      </c>
      <c r="P4693" s="26">
        <v>700.0</v>
      </c>
      <c r="Q4693" s="35">
        <v>96.0</v>
      </c>
      <c r="R4693" s="32">
        <v>45636.0</v>
      </c>
      <c r="S4693" s="32">
        <v>44075.0</v>
      </c>
      <c r="T4693" s="29"/>
      <c r="U4693" s="33"/>
      <c r="V4693" s="1"/>
    </row>
    <row r="4694" ht="24.0" customHeight="1">
      <c r="A4694" s="1"/>
      <c r="B4694" s="24" t="str">
        <f>HYPERLINK("https://www.compass.com/listing/382-west-street-unit-3a-manhattan-ny-10014/1128603270766874977/view?agent_id=610d3f3370540700019b0833","382 West St, Unit 3A")</f>
        <v>382 West St, Unit 3A</v>
      </c>
      <c r="C4694" s="25" t="s">
        <v>370</v>
      </c>
      <c r="D4694" s="26" t="s">
        <v>23</v>
      </c>
      <c r="E4694" s="27" t="str">
        <f>HYPERLINK("https://www.compass.com/building/west-village-houses-manhattan-ny/282065036036312437/","West Village Houses")</f>
        <v>West Village Houses</v>
      </c>
      <c r="F4694" s="25" t="s">
        <v>26</v>
      </c>
      <c r="G4694" s="28">
        <v>1499000.0</v>
      </c>
      <c r="H4694" s="29"/>
      <c r="I4694" s="28">
        <v>1252.0</v>
      </c>
      <c r="J4694" s="29"/>
      <c r="K4694" s="25" t="s">
        <v>25</v>
      </c>
      <c r="L4694" s="26">
        <v>5.0</v>
      </c>
      <c r="M4694" s="26">
        <v>2.0</v>
      </c>
      <c r="N4694" s="26">
        <v>1.0</v>
      </c>
      <c r="O4694" s="26">
        <v>0.0</v>
      </c>
      <c r="P4694" s="30"/>
      <c r="Q4694" s="35">
        <v>160.0</v>
      </c>
      <c r="R4694" s="32">
        <v>45636.0</v>
      </c>
      <c r="S4694" s="32">
        <v>44825.0</v>
      </c>
      <c r="T4694" s="29"/>
      <c r="U4694" s="33"/>
      <c r="V4694" s="1"/>
    </row>
    <row r="4695" ht="24.0" customHeight="1">
      <c r="A4695" s="1"/>
      <c r="B4695" s="24" t="str">
        <f>HYPERLINK("https://www.compass.com/listing/50-west-67th-street-unit-4f-manhattan-ny-10023/921105971484186481/view?agent_id=610d3f3370540700019b0833","50 W 67th St, Unit 4F")</f>
        <v>50 W 67th St, Unit 4F</v>
      </c>
      <c r="C4695" s="25" t="s">
        <v>364</v>
      </c>
      <c r="D4695" s="26" t="s">
        <v>23</v>
      </c>
      <c r="E4695" s="27" t="str">
        <f>HYPERLINK("https://www.compass.com/building/the-musicians-building-manhattan-ny/281960839760651365/","The Musician's Building")</f>
        <v>The Musician's Building</v>
      </c>
      <c r="F4695" s="25" t="s">
        <v>29</v>
      </c>
      <c r="G4695" s="28">
        <v>1225000.0</v>
      </c>
      <c r="H4695" s="29"/>
      <c r="I4695" s="28">
        <v>2400.0</v>
      </c>
      <c r="J4695" s="29"/>
      <c r="K4695" s="25" t="s">
        <v>25</v>
      </c>
      <c r="L4695" s="26">
        <v>4.0</v>
      </c>
      <c r="M4695" s="26">
        <v>2.0</v>
      </c>
      <c r="N4695" s="26">
        <v>1.0</v>
      </c>
      <c r="O4695" s="26">
        <v>0.0</v>
      </c>
      <c r="P4695" s="30"/>
      <c r="Q4695" s="31"/>
      <c r="R4695" s="32">
        <v>45636.0</v>
      </c>
      <c r="S4695" s="33"/>
      <c r="T4695" s="29"/>
      <c r="U4695" s="33"/>
      <c r="V4695" s="1"/>
    </row>
    <row r="4696" ht="24.0" customHeight="1">
      <c r="A4696" s="1"/>
      <c r="B4696" s="24" t="str">
        <f>HYPERLINK("https://www.compass.com/listing/200-chambers-street-unit-25c-manhattan-ny-10007/50845231582556897/view?agent_id=610d3f3370540700019b0833","200 Chambers St, Unit 25C")</f>
        <v>200 Chambers St, Unit 25C</v>
      </c>
      <c r="C4696" s="25" t="s">
        <v>370</v>
      </c>
      <c r="D4696" s="26" t="s">
        <v>23</v>
      </c>
      <c r="E4696" s="27" t="str">
        <f t="shared" ref="E4696:E4697" si="208">HYPERLINK("https://www.compass.com/building/200-chambers-st-manhattan-ny-10007/281896823650526357/","200 Chambers St")</f>
        <v>200 Chambers St</v>
      </c>
      <c r="F4696" s="25" t="s">
        <v>60</v>
      </c>
      <c r="G4696" s="28">
        <v>3195000.0</v>
      </c>
      <c r="H4696" s="28">
        <v>2071.0</v>
      </c>
      <c r="I4696" s="28">
        <v>1391.0</v>
      </c>
      <c r="J4696" s="28">
        <v>2268.0</v>
      </c>
      <c r="K4696" s="25" t="s">
        <v>28</v>
      </c>
      <c r="L4696" s="26">
        <v>5.0</v>
      </c>
      <c r="M4696" s="26">
        <v>2.0</v>
      </c>
      <c r="N4696" s="26">
        <v>0.0</v>
      </c>
      <c r="O4696" s="26">
        <v>0.0</v>
      </c>
      <c r="P4696" s="34">
        <v>1543.0</v>
      </c>
      <c r="Q4696" s="35">
        <v>0.0</v>
      </c>
      <c r="R4696" s="32">
        <v>44581.0</v>
      </c>
      <c r="S4696" s="32">
        <v>41538.0</v>
      </c>
      <c r="T4696" s="29"/>
      <c r="U4696" s="33"/>
      <c r="V4696" s="1"/>
    </row>
    <row r="4697" ht="24.0" customHeight="1">
      <c r="A4697" s="1"/>
      <c r="B4697" s="24" t="str">
        <f>HYPERLINK("https://www.compass.com/listing/200-chambers-street-unit-14c-manhattan-ny-10007/70911182743089521/view?agent_id=610d3f3370540700019b0833","200 Chambers St, Unit 14C")</f>
        <v>200 Chambers St, Unit 14C</v>
      </c>
      <c r="C4697" s="25" t="s">
        <v>370</v>
      </c>
      <c r="D4697" s="26" t="s">
        <v>23</v>
      </c>
      <c r="E4697" s="27" t="str">
        <f t="shared" si="208"/>
        <v>200 Chambers St</v>
      </c>
      <c r="F4697" s="25" t="s">
        <v>60</v>
      </c>
      <c r="G4697" s="28">
        <v>3600000.0</v>
      </c>
      <c r="H4697" s="28">
        <v>2347.0</v>
      </c>
      <c r="I4697" s="28">
        <v>2271.0</v>
      </c>
      <c r="J4697" s="28">
        <v>10008.0</v>
      </c>
      <c r="K4697" s="25" t="s">
        <v>28</v>
      </c>
      <c r="L4697" s="26">
        <v>4.0</v>
      </c>
      <c r="M4697" s="26">
        <v>2.0</v>
      </c>
      <c r="N4697" s="26">
        <v>0.0</v>
      </c>
      <c r="O4697" s="26">
        <v>0.0</v>
      </c>
      <c r="P4697" s="34">
        <v>1534.0</v>
      </c>
      <c r="Q4697" s="35">
        <v>61.0</v>
      </c>
      <c r="R4697" s="32">
        <v>45636.0</v>
      </c>
      <c r="S4697" s="32">
        <v>41507.0</v>
      </c>
      <c r="T4697" s="29"/>
      <c r="U4697" s="33"/>
      <c r="V4697" s="1"/>
    </row>
    <row r="4698" ht="24.0" customHeight="1">
      <c r="A4698" s="1"/>
      <c r="B4698" s="24" t="str">
        <f>HYPERLINK("https://www.compass.com/listing/101-warren-street-unit-2340-manhattan-ny-10007/801624151361792993/view?agent_id=610d3f3370540700019b0833","101 Warren St, Unit 2340")</f>
        <v>101 Warren St, Unit 2340</v>
      </c>
      <c r="C4698" s="25" t="s">
        <v>364</v>
      </c>
      <c r="D4698" s="26" t="s">
        <v>23</v>
      </c>
      <c r="E4698" s="27" t="str">
        <f>HYPERLINK("https://www.compass.com/building/99-101-warren-manhattan-ny/307460833541810581/","99-101 Warren")</f>
        <v>99-101 Warren</v>
      </c>
      <c r="F4698" s="25" t="s">
        <v>60</v>
      </c>
      <c r="G4698" s="28">
        <v>3775000.0</v>
      </c>
      <c r="H4698" s="28">
        <v>2157.0</v>
      </c>
      <c r="I4698" s="28">
        <v>2455.0</v>
      </c>
      <c r="J4698" s="28">
        <v>9168.0</v>
      </c>
      <c r="K4698" s="25" t="s">
        <v>28</v>
      </c>
      <c r="L4698" s="26">
        <v>4.0</v>
      </c>
      <c r="M4698" s="26">
        <v>2.0</v>
      </c>
      <c r="N4698" s="26">
        <v>0.0</v>
      </c>
      <c r="O4698" s="26">
        <v>0.0</v>
      </c>
      <c r="P4698" s="34">
        <v>1750.0</v>
      </c>
      <c r="Q4698" s="35">
        <v>69.0</v>
      </c>
      <c r="R4698" s="32">
        <v>44581.0</v>
      </c>
      <c r="S4698" s="32">
        <v>41782.0</v>
      </c>
      <c r="T4698" s="29"/>
      <c r="U4698" s="33"/>
      <c r="V4698" s="1"/>
    </row>
    <row r="4699" ht="24.0" customHeight="1">
      <c r="A4699" s="1"/>
      <c r="B4699" s="24" t="str">
        <f>HYPERLINK("https://www.compass.com/listing/46-commerce-street-unit-3-manhattan-ny-10014/4852330098784747105/view?agent_id=610d3f3370540700019b0833","46 Commerce St, Unit 3")</f>
        <v>46 Commerce St, Unit 3</v>
      </c>
      <c r="C4699" s="25" t="s">
        <v>370</v>
      </c>
      <c r="D4699" s="26" t="s">
        <v>23</v>
      </c>
      <c r="E4699" s="27" t="str">
        <f>HYPERLINK("https://www.compass.com/building/46-commerce-st-manhattan-ny-10014/281934078272389925/","46 Commerce St")</f>
        <v>46 Commerce St</v>
      </c>
      <c r="F4699" s="25" t="s">
        <v>26</v>
      </c>
      <c r="G4699" s="28">
        <v>2490000.0</v>
      </c>
      <c r="H4699" s="29"/>
      <c r="I4699" s="28">
        <v>2400.0</v>
      </c>
      <c r="J4699" s="29"/>
      <c r="K4699" s="25" t="s">
        <v>25</v>
      </c>
      <c r="L4699" s="26">
        <v>4.0</v>
      </c>
      <c r="M4699" s="26">
        <v>2.0</v>
      </c>
      <c r="N4699" s="26">
        <v>0.0</v>
      </c>
      <c r="O4699" s="26">
        <v>0.0</v>
      </c>
      <c r="P4699" s="30"/>
      <c r="Q4699" s="35">
        <v>0.0</v>
      </c>
      <c r="R4699" s="32">
        <v>44581.0</v>
      </c>
      <c r="S4699" s="32">
        <v>41513.0</v>
      </c>
      <c r="T4699" s="29"/>
      <c r="U4699" s="33"/>
      <c r="V4699" s="1"/>
    </row>
    <row r="4700" ht="24.0" customHeight="1">
      <c r="A4700" s="1"/>
      <c r="B4700" s="24" t="str">
        <f>HYPERLINK("https://www.compass.com/listing/250-west-16th-street-unit-2fl1h-manhattan-ny-10011/29359437894450241/view?agent_id=610d3f3370540700019b0833","250 W 16th St, Unit 2FL1H")</f>
        <v>250 W 16th St, Unit 2FL1H</v>
      </c>
      <c r="C4700" s="25" t="s">
        <v>364</v>
      </c>
      <c r="D4700" s="26" t="s">
        <v>23</v>
      </c>
      <c r="E4700" s="27" t="str">
        <f>HYPERLINK("https://www.compass.com/building/250-w-16th-st-manhattan-ny-10011/292803072139226981/","250 W 16th St")</f>
        <v>250 W 16th St</v>
      </c>
      <c r="F4700" s="25" t="s">
        <v>27</v>
      </c>
      <c r="G4700" s="28">
        <v>1150000.0</v>
      </c>
      <c r="H4700" s="28">
        <v>1211.0</v>
      </c>
      <c r="I4700" s="28">
        <v>1525.0</v>
      </c>
      <c r="J4700" s="29"/>
      <c r="K4700" s="25" t="s">
        <v>25</v>
      </c>
      <c r="L4700" s="26">
        <v>5.0</v>
      </c>
      <c r="M4700" s="26">
        <v>2.0</v>
      </c>
      <c r="N4700" s="26">
        <v>1.0</v>
      </c>
      <c r="O4700" s="26">
        <v>0.0</v>
      </c>
      <c r="P4700" s="26">
        <v>950.0</v>
      </c>
      <c r="Q4700" s="35">
        <v>119.0</v>
      </c>
      <c r="R4700" s="32">
        <v>45636.0</v>
      </c>
      <c r="S4700" s="32">
        <v>42873.0</v>
      </c>
      <c r="T4700" s="29"/>
      <c r="U4700" s="33"/>
      <c r="V4700" s="1"/>
    </row>
    <row r="4701" ht="24.0" customHeight="1">
      <c r="A4701" s="1"/>
      <c r="B4701" s="24" t="str">
        <f>HYPERLINK("https://www.compass.com/listing/340-west-19th-street-unit-11-manhattan-ny-10011/1521100298825873537/view?agent_id=610d3f3370540700019b0833","340 W 19th St, Unit 11")</f>
        <v>340 W 19th St, Unit 11</v>
      </c>
      <c r="C4701" s="25" t="s">
        <v>364</v>
      </c>
      <c r="D4701" s="26" t="s">
        <v>23</v>
      </c>
      <c r="E4701" s="27" t="str">
        <f>HYPERLINK("https://www.compass.com/building/340-w-19th-st-manhattan-ny-10011/281909205378554757/","340 W 19th St")</f>
        <v>340 W 19th St</v>
      </c>
      <c r="F4701" s="25" t="s">
        <v>27</v>
      </c>
      <c r="G4701" s="28">
        <v>950000.0</v>
      </c>
      <c r="H4701" s="29"/>
      <c r="I4701" s="28">
        <v>1344.0</v>
      </c>
      <c r="J4701" s="28">
        <v>0.0</v>
      </c>
      <c r="K4701" s="25" t="s">
        <v>25</v>
      </c>
      <c r="L4701" s="26">
        <v>5.0</v>
      </c>
      <c r="M4701" s="26">
        <v>2.0</v>
      </c>
      <c r="N4701" s="26">
        <v>1.0</v>
      </c>
      <c r="O4701" s="26">
        <v>0.0</v>
      </c>
      <c r="P4701" s="30"/>
      <c r="Q4701" s="35">
        <v>102.0</v>
      </c>
      <c r="R4701" s="32">
        <v>45636.0</v>
      </c>
      <c r="S4701" s="32">
        <v>45350.0</v>
      </c>
      <c r="T4701" s="29"/>
      <c r="U4701" s="33"/>
      <c r="V4701" s="1"/>
    </row>
    <row r="4702" ht="24.0" customHeight="1">
      <c r="A4702" s="1"/>
      <c r="B4702" s="24" t="str">
        <f>HYPERLINK("https://www.compass.com/listing/10-manhattan-avenue-unit-2a-manhattan-ny-10025/207513534525866865/view?agent_id=610d3f3370540700019b0833","10 Manhattan Ave, Unit 2A")</f>
        <v>10 Manhattan Ave, Unit 2A</v>
      </c>
      <c r="C4702" s="25" t="s">
        <v>364</v>
      </c>
      <c r="D4702" s="26" t="s">
        <v>23</v>
      </c>
      <c r="E4702" s="27" t="str">
        <f>HYPERLINK("https://www.compass.com/building/10-manhattan-ave-manhattan-ny-10025/281968140726912805/","10 Manhattan Ave")</f>
        <v>10 Manhattan Ave</v>
      </c>
      <c r="F4702" s="25" t="s">
        <v>29</v>
      </c>
      <c r="G4702" s="28">
        <v>1490000.0</v>
      </c>
      <c r="H4702" s="29"/>
      <c r="I4702" s="28">
        <v>934.0</v>
      </c>
      <c r="J4702" s="28">
        <v>4476.0</v>
      </c>
      <c r="K4702" s="25" t="s">
        <v>28</v>
      </c>
      <c r="L4702" s="26">
        <v>5.0</v>
      </c>
      <c r="M4702" s="26">
        <v>2.0</v>
      </c>
      <c r="N4702" s="30"/>
      <c r="O4702" s="30"/>
      <c r="P4702" s="30"/>
      <c r="Q4702" s="35">
        <v>1.0</v>
      </c>
      <c r="R4702" s="32">
        <v>43539.0</v>
      </c>
      <c r="S4702" s="32">
        <v>43538.0</v>
      </c>
      <c r="T4702" s="29"/>
      <c r="U4702" s="33"/>
      <c r="V4702" s="1"/>
    </row>
    <row r="4703" ht="24.0" customHeight="1">
      <c r="A4703" s="1"/>
      <c r="B4703" s="24" t="str">
        <f>HYPERLINK("https://www.compass.com/listing/101-warren-street-unit-3040-manhattan-ny-10007/803312619523648937/view?agent_id=610d3f3370540700019b0833","101 Warren St, Unit 3040")</f>
        <v>101 Warren St, Unit 3040</v>
      </c>
      <c r="C4703" s="25" t="s">
        <v>364</v>
      </c>
      <c r="D4703" s="26" t="s">
        <v>23</v>
      </c>
      <c r="E4703" s="27" t="str">
        <f>HYPERLINK("https://www.compass.com/building/99-101-warren-manhattan-ny/307460833541810581/","99-101 Warren")</f>
        <v>99-101 Warren</v>
      </c>
      <c r="F4703" s="25" t="s">
        <v>60</v>
      </c>
      <c r="G4703" s="28">
        <v>3500000.0</v>
      </c>
      <c r="H4703" s="28">
        <v>2198.0</v>
      </c>
      <c r="I4703" s="28">
        <v>2026.0</v>
      </c>
      <c r="J4703" s="28">
        <v>4152.0</v>
      </c>
      <c r="K4703" s="25" t="s">
        <v>28</v>
      </c>
      <c r="L4703" s="26">
        <v>6.0</v>
      </c>
      <c r="M4703" s="26">
        <v>2.0</v>
      </c>
      <c r="N4703" s="26">
        <v>0.0</v>
      </c>
      <c r="O4703" s="26">
        <v>0.0</v>
      </c>
      <c r="P4703" s="34">
        <v>1592.0</v>
      </c>
      <c r="Q4703" s="35">
        <v>686.0</v>
      </c>
      <c r="R4703" s="32">
        <v>44581.0</v>
      </c>
      <c r="S4703" s="32">
        <v>41242.0</v>
      </c>
      <c r="T4703" s="29"/>
      <c r="U4703" s="33"/>
      <c r="V4703" s="1"/>
    </row>
    <row r="4704" ht="24.0" customHeight="1">
      <c r="A4704" s="1"/>
      <c r="B4704" s="24" t="str">
        <f>HYPERLINK("https://www.compass.com/listing/305-west-16th-street-unit-5e-manhattan-ny-10011/1809622466612306065/view?agent_id=610d3f3370540700019b0833","305 W 16th St, Unit 5E")</f>
        <v>305 W 16th St, Unit 5E</v>
      </c>
      <c r="C4704" s="25" t="s">
        <v>370</v>
      </c>
      <c r="D4704" s="26" t="s">
        <v>23</v>
      </c>
      <c r="E4704" s="27" t="str">
        <f>HYPERLINK("https://www.compass.com/building/305w16-manhattan-ny/292799532029207445/","305W16")</f>
        <v>305W16</v>
      </c>
      <c r="F4704" s="25" t="s">
        <v>27</v>
      </c>
      <c r="G4704" s="28">
        <v>1975000.0</v>
      </c>
      <c r="H4704" s="28">
        <v>2032.0</v>
      </c>
      <c r="I4704" s="28">
        <v>1910.0</v>
      </c>
      <c r="J4704" s="29"/>
      <c r="K4704" s="25" t="s">
        <v>49</v>
      </c>
      <c r="L4704" s="26">
        <v>4.0</v>
      </c>
      <c r="M4704" s="26">
        <v>2.0</v>
      </c>
      <c r="N4704" s="26">
        <v>0.0</v>
      </c>
      <c r="O4704" s="26">
        <v>0.0</v>
      </c>
      <c r="P4704" s="26">
        <v>972.0</v>
      </c>
      <c r="Q4704" s="35">
        <v>46.0</v>
      </c>
      <c r="R4704" s="32">
        <v>45636.0</v>
      </c>
      <c r="S4704" s="32">
        <v>41760.0</v>
      </c>
      <c r="T4704" s="29"/>
      <c r="U4704" s="33"/>
      <c r="V4704" s="1"/>
    </row>
    <row r="4705" ht="24.0" customHeight="1">
      <c r="A4705" s="1"/>
      <c r="B4705" s="24" t="str">
        <f>HYPERLINK("https://www.compass.com/listing/24-west-69th-street-unit-6b-manhattan-ny-10023/1838929354562697697/view?agent_id=610d3f3370540700019b0833","24 W 69th St, Unit 6B")</f>
        <v>24 W 69th St, Unit 6B</v>
      </c>
      <c r="C4705" s="25" t="s">
        <v>364</v>
      </c>
      <c r="D4705" s="26" t="s">
        <v>23</v>
      </c>
      <c r="E4705" s="27" t="str">
        <f>HYPERLINK("https://www.compass.com/building/24-w-69th-st-manhattan-ny-10023/281958774552470405/","24 W 69th St")</f>
        <v>24 W 69th St</v>
      </c>
      <c r="F4705" s="25" t="s">
        <v>29</v>
      </c>
      <c r="G4705" s="28">
        <v>1500000.0</v>
      </c>
      <c r="H4705" s="29"/>
      <c r="I4705" s="28">
        <v>1724.0</v>
      </c>
      <c r="J4705" s="29"/>
      <c r="K4705" s="25" t="s">
        <v>25</v>
      </c>
      <c r="L4705" s="26">
        <v>4.0</v>
      </c>
      <c r="M4705" s="26">
        <v>2.0</v>
      </c>
      <c r="N4705" s="26">
        <v>1.0</v>
      </c>
      <c r="O4705" s="26">
        <v>0.0</v>
      </c>
      <c r="P4705" s="30"/>
      <c r="Q4705" s="31"/>
      <c r="R4705" s="32">
        <v>45636.0</v>
      </c>
      <c r="S4705" s="33"/>
      <c r="T4705" s="29"/>
      <c r="U4705" s="33"/>
      <c r="V4705" s="1"/>
    </row>
    <row r="4706" ht="24.0" customHeight="1">
      <c r="A4706" s="1"/>
      <c r="B4706" s="24" t="str">
        <f>HYPERLINK("https://www.compass.com/listing/12-east-12th-street-unit-12sw-manhattan-ny-10003/1861886543481959521/view?agent_id=610d3f3370540700019b0833","12 E 12th St, Unit 12SW")</f>
        <v>12 E 12th St, Unit 12SW</v>
      </c>
      <c r="C4706" s="25" t="s">
        <v>364</v>
      </c>
      <c r="D4706" s="26" t="s">
        <v>23</v>
      </c>
      <c r="E4706" s="27" t="str">
        <f t="shared" ref="E4706:E4707" si="209">HYPERLINK("https://www.compass.com/building/12-e-12th-st-manhattan-ny-10003/281889149491875493/","12 E 12th St")</f>
        <v>12 E 12th St</v>
      </c>
      <c r="F4706" s="25" t="s">
        <v>43</v>
      </c>
      <c r="G4706" s="28">
        <v>3550000.0</v>
      </c>
      <c r="H4706" s="29"/>
      <c r="I4706" s="28">
        <v>1939.0</v>
      </c>
      <c r="J4706" s="28">
        <v>10800.0</v>
      </c>
      <c r="K4706" s="25" t="s">
        <v>28</v>
      </c>
      <c r="L4706" s="26">
        <v>6.0</v>
      </c>
      <c r="M4706" s="26">
        <v>2.0</v>
      </c>
      <c r="N4706" s="30"/>
      <c r="O4706" s="30"/>
      <c r="P4706" s="30"/>
      <c r="Q4706" s="31"/>
      <c r="R4706" s="32">
        <v>42476.0</v>
      </c>
      <c r="S4706" s="33"/>
      <c r="T4706" s="29"/>
      <c r="U4706" s="33"/>
      <c r="V4706" s="1"/>
    </row>
    <row r="4707" ht="24.0" customHeight="1">
      <c r="A4707" s="1"/>
      <c r="B4707" s="24" t="str">
        <f>HYPERLINK("https://www.compass.com/listing/12-east-12th-street-unit-12sw-manhattan-ny-10003/29365620181070993/view?agent_id=610d3f3370540700019b0833","12 E 12th St, Unit 12SW")</f>
        <v>12 E 12th St, Unit 12SW</v>
      </c>
      <c r="C4707" s="25" t="s">
        <v>370</v>
      </c>
      <c r="D4707" s="26" t="s">
        <v>23</v>
      </c>
      <c r="E4707" s="27" t="str">
        <f t="shared" si="209"/>
        <v>12 E 12th St</v>
      </c>
      <c r="F4707" s="25" t="s">
        <v>43</v>
      </c>
      <c r="G4707" s="28">
        <v>3550000.0</v>
      </c>
      <c r="H4707" s="29"/>
      <c r="I4707" s="28">
        <v>1939.0</v>
      </c>
      <c r="J4707" s="28">
        <v>10800.0</v>
      </c>
      <c r="K4707" s="25" t="s">
        <v>28</v>
      </c>
      <c r="L4707" s="26">
        <v>6.0</v>
      </c>
      <c r="M4707" s="26">
        <v>2.0</v>
      </c>
      <c r="N4707" s="26">
        <v>0.0</v>
      </c>
      <c r="O4707" s="26">
        <v>0.0</v>
      </c>
      <c r="P4707" s="30"/>
      <c r="Q4707" s="35">
        <v>0.0</v>
      </c>
      <c r="R4707" s="32">
        <v>44581.0</v>
      </c>
      <c r="S4707" s="32">
        <v>41538.0</v>
      </c>
      <c r="T4707" s="29"/>
      <c r="U4707" s="33"/>
      <c r="V4707" s="1"/>
    </row>
    <row r="4708" ht="24.0" customHeight="1">
      <c r="A4708" s="1"/>
      <c r="B4708" s="24" t="str">
        <f>HYPERLINK("https://www.compass.com/listing/8-west-13th-street-unit-4f-manhattan-ny-10011/4703717375944456481/view?agent_id=610d3f3370540700019b0833","8 W 13th St, Unit 4F")</f>
        <v>8 W 13th St, Unit 4F</v>
      </c>
      <c r="C4708" s="25" t="s">
        <v>364</v>
      </c>
      <c r="D4708" s="26" t="s">
        <v>23</v>
      </c>
      <c r="E4708" s="27" t="str">
        <f>HYPERLINK("https://www.compass.com/building/8-w-13th-st-manhattan-ny-10011/281912131761237253/","8 W 13th St")</f>
        <v>8 W 13th St</v>
      </c>
      <c r="F4708" s="25" t="s">
        <v>43</v>
      </c>
      <c r="G4708" s="28">
        <v>1225000.0</v>
      </c>
      <c r="H4708" s="28">
        <v>1065.0</v>
      </c>
      <c r="I4708" s="28">
        <v>938.0</v>
      </c>
      <c r="J4708" s="29"/>
      <c r="K4708" s="25" t="s">
        <v>25</v>
      </c>
      <c r="L4708" s="26">
        <v>4.0</v>
      </c>
      <c r="M4708" s="26">
        <v>2.0</v>
      </c>
      <c r="N4708" s="30"/>
      <c r="O4708" s="30"/>
      <c r="P4708" s="34">
        <v>1150.0</v>
      </c>
      <c r="Q4708" s="35">
        <v>354.0</v>
      </c>
      <c r="R4708" s="32">
        <v>42476.0</v>
      </c>
      <c r="S4708" s="32">
        <v>39576.0</v>
      </c>
      <c r="T4708" s="29"/>
      <c r="U4708" s="33"/>
      <c r="V4708" s="1"/>
    </row>
    <row r="4709" ht="24.0" customHeight="1">
      <c r="A4709" s="1"/>
      <c r="B4709" s="24" t="str">
        <f>HYPERLINK("https://www.compass.com/listing/33-5th-avenue-unit-6a-manhattan-ny-10003/1838894318115716249/view?agent_id=610d3f3370540700019b0833","33 5th Ave, Unit 6A")</f>
        <v>33 5th Ave, Unit 6A</v>
      </c>
      <c r="C4709" s="25" t="s">
        <v>364</v>
      </c>
      <c r="D4709" s="26" t="s">
        <v>23</v>
      </c>
      <c r="E4709" s="27" t="str">
        <f t="shared" ref="E4709:E4712" si="210">HYPERLINK("https://www.compass.com/building/33-5th-ave-manhattan-ny-10003/281892710195928629/","33 5th Ave")</f>
        <v>33 5th Ave</v>
      </c>
      <c r="F4709" s="25" t="s">
        <v>43</v>
      </c>
      <c r="G4709" s="28">
        <v>1595000.0</v>
      </c>
      <c r="H4709" s="28">
        <v>1387.0</v>
      </c>
      <c r="I4709" s="28">
        <v>1832.0</v>
      </c>
      <c r="J4709" s="28">
        <v>0.0</v>
      </c>
      <c r="K4709" s="25" t="s">
        <v>25</v>
      </c>
      <c r="L4709" s="26">
        <v>4.0</v>
      </c>
      <c r="M4709" s="26">
        <v>2.0</v>
      </c>
      <c r="N4709" s="30"/>
      <c r="O4709" s="30"/>
      <c r="P4709" s="34">
        <v>1150.0</v>
      </c>
      <c r="Q4709" s="31"/>
      <c r="R4709" s="32">
        <v>41537.0</v>
      </c>
      <c r="S4709" s="33"/>
      <c r="T4709" s="29"/>
      <c r="U4709" s="33"/>
      <c r="V4709" s="1"/>
    </row>
    <row r="4710" ht="24.0" customHeight="1">
      <c r="A4710" s="1"/>
      <c r="B4710" s="24" t="str">
        <f>HYPERLINK("https://www.compass.com/listing/33-5th-avenue-unit-6a-manhattan-ny-10003/29365438852962545/view?agent_id=610d3f3370540700019b0833","33 5th Ave, Unit 6A")</f>
        <v>33 5th Ave, Unit 6A</v>
      </c>
      <c r="C4710" s="25" t="s">
        <v>364</v>
      </c>
      <c r="D4710" s="26" t="s">
        <v>23</v>
      </c>
      <c r="E4710" s="27" t="str">
        <f t="shared" si="210"/>
        <v>33 5th Ave</v>
      </c>
      <c r="F4710" s="25" t="s">
        <v>43</v>
      </c>
      <c r="G4710" s="28">
        <v>1390000.0</v>
      </c>
      <c r="H4710" s="28">
        <v>1209.0</v>
      </c>
      <c r="I4710" s="29"/>
      <c r="J4710" s="29"/>
      <c r="K4710" s="25" t="s">
        <v>25</v>
      </c>
      <c r="L4710" s="26">
        <v>4.0</v>
      </c>
      <c r="M4710" s="26">
        <v>2.0</v>
      </c>
      <c r="N4710" s="30"/>
      <c r="O4710" s="30"/>
      <c r="P4710" s="34">
        <v>1150.0</v>
      </c>
      <c r="Q4710" s="35">
        <v>589.0</v>
      </c>
      <c r="R4710" s="32">
        <v>42476.0</v>
      </c>
      <c r="S4710" s="32">
        <v>38190.0</v>
      </c>
      <c r="T4710" s="29"/>
      <c r="U4710" s="33"/>
      <c r="V4710" s="1"/>
    </row>
    <row r="4711" ht="24.0" customHeight="1">
      <c r="A4711" s="1"/>
      <c r="B4711" s="24" t="str">
        <f>HYPERLINK("https://www.compass.com/listing/33-5th-avenue-unit-6a-manhattan-ny-10003/29365438852962561/view?agent_id=610d3f3370540700019b0833","33 5th Ave, Unit 6A")</f>
        <v>33 5th Ave, Unit 6A</v>
      </c>
      <c r="C4711" s="25" t="s">
        <v>364</v>
      </c>
      <c r="D4711" s="26" t="s">
        <v>23</v>
      </c>
      <c r="E4711" s="27" t="str">
        <f t="shared" si="210"/>
        <v>33 5th Ave</v>
      </c>
      <c r="F4711" s="25" t="s">
        <v>43</v>
      </c>
      <c r="G4711" s="28">
        <v>1595000.0</v>
      </c>
      <c r="H4711" s="28">
        <v>1387.0</v>
      </c>
      <c r="I4711" s="28">
        <v>1832.0</v>
      </c>
      <c r="J4711" s="29"/>
      <c r="K4711" s="25" t="s">
        <v>25</v>
      </c>
      <c r="L4711" s="26">
        <v>4.0</v>
      </c>
      <c r="M4711" s="26">
        <v>2.0</v>
      </c>
      <c r="N4711" s="26">
        <v>0.0</v>
      </c>
      <c r="O4711" s="26">
        <v>0.0</v>
      </c>
      <c r="P4711" s="34">
        <v>1150.0</v>
      </c>
      <c r="Q4711" s="35">
        <v>0.0</v>
      </c>
      <c r="R4711" s="32">
        <v>44581.0</v>
      </c>
      <c r="S4711" s="32">
        <v>41537.0</v>
      </c>
      <c r="T4711" s="29"/>
      <c r="U4711" s="33"/>
      <c r="V4711" s="1"/>
    </row>
    <row r="4712" ht="24.0" customHeight="1">
      <c r="A4712" s="1"/>
      <c r="B4712" s="24" t="str">
        <f>HYPERLINK("https://www.compass.com/listing/33-5th-avenue-unit-6a-manhattan-ny-10003/79379128754764961/view?agent_id=610d3f3370540700019b0833","33 5th Ave, Unit 6A")</f>
        <v>33 5th Ave, Unit 6A</v>
      </c>
      <c r="C4712" s="25" t="s">
        <v>364</v>
      </c>
      <c r="D4712" s="26" t="s">
        <v>23</v>
      </c>
      <c r="E4712" s="27" t="str">
        <f t="shared" si="210"/>
        <v>33 5th Ave</v>
      </c>
      <c r="F4712" s="25" t="s">
        <v>43</v>
      </c>
      <c r="G4712" s="28">
        <v>1595000.0</v>
      </c>
      <c r="H4712" s="28">
        <v>1387.0</v>
      </c>
      <c r="I4712" s="28">
        <v>1832.0</v>
      </c>
      <c r="J4712" s="29"/>
      <c r="K4712" s="25" t="s">
        <v>25</v>
      </c>
      <c r="L4712" s="26">
        <v>4.0</v>
      </c>
      <c r="M4712" s="26">
        <v>2.0</v>
      </c>
      <c r="N4712" s="30"/>
      <c r="O4712" s="30"/>
      <c r="P4712" s="34">
        <v>1150.0</v>
      </c>
      <c r="Q4712" s="35">
        <v>1.0</v>
      </c>
      <c r="R4712" s="32">
        <v>42476.0</v>
      </c>
      <c r="S4712" s="32">
        <v>39638.0</v>
      </c>
      <c r="T4712" s="29"/>
      <c r="U4712" s="33"/>
      <c r="V4712" s="1"/>
    </row>
    <row r="4713" ht="24.0" customHeight="1">
      <c r="A4713" s="1"/>
      <c r="B4713" s="24" t="str">
        <f>HYPERLINK("https://www.compass.com/listing/241-west-97th-street-unit-1k-manhattan-ny-10025/871845721907042009/view?agent_id=610d3f3370540700019b0833","241 W 97th St, Unit 1K")</f>
        <v>241 W 97th St, Unit 1K</v>
      </c>
      <c r="C4713" s="25" t="s">
        <v>364</v>
      </c>
      <c r="D4713" s="26" t="s">
        <v>23</v>
      </c>
      <c r="E4713" s="27" t="str">
        <f>HYPERLINK("https://www.compass.com/building/sabrina-manhattan-ny/282058526048680533/","Sabrina")</f>
        <v>Sabrina</v>
      </c>
      <c r="F4713" s="25" t="s">
        <v>29</v>
      </c>
      <c r="G4713" s="28">
        <v>1295000.0</v>
      </c>
      <c r="H4713" s="28">
        <v>1295.0</v>
      </c>
      <c r="I4713" s="28">
        <v>1746.0</v>
      </c>
      <c r="J4713" s="28">
        <v>9060.0</v>
      </c>
      <c r="K4713" s="25" t="s">
        <v>28</v>
      </c>
      <c r="L4713" s="26">
        <v>4.0</v>
      </c>
      <c r="M4713" s="26">
        <v>2.0</v>
      </c>
      <c r="N4713" s="26">
        <v>1.0</v>
      </c>
      <c r="O4713" s="26">
        <v>0.0</v>
      </c>
      <c r="P4713" s="34">
        <v>1000.0</v>
      </c>
      <c r="Q4713" s="35">
        <v>63.0</v>
      </c>
      <c r="R4713" s="32">
        <v>45636.0</v>
      </c>
      <c r="S4713" s="32">
        <v>44459.0</v>
      </c>
      <c r="T4713" s="29"/>
      <c r="U4713" s="33"/>
      <c r="V4713" s="1"/>
    </row>
    <row r="4714" ht="24.0" customHeight="1">
      <c r="A4714" s="1"/>
      <c r="B4714" s="24" t="str">
        <f>HYPERLINK("https://www.compass.com/listing/151-west-21st-street-unit-6e-manhattan-ny-10011/237937704266893009/view?agent_id=610d3f3370540700019b0833","151 W 21st St, Unit 6E")</f>
        <v>151 W 21st St, Unit 6E</v>
      </c>
      <c r="C4714" s="25" t="s">
        <v>364</v>
      </c>
      <c r="D4714" s="26" t="s">
        <v>23</v>
      </c>
      <c r="E4714" s="27" t="str">
        <f>HYPERLINK("https://www.compass.com/building/chelsea-green-manhattan-ny/281905680519025221/","Chelsea Green")</f>
        <v>Chelsea Green</v>
      </c>
      <c r="F4714" s="25" t="s">
        <v>27</v>
      </c>
      <c r="G4714" s="28">
        <v>1735000.0</v>
      </c>
      <c r="H4714" s="28">
        <v>1376.0</v>
      </c>
      <c r="I4714" s="28">
        <v>1988.0</v>
      </c>
      <c r="J4714" s="28">
        <v>7032.0</v>
      </c>
      <c r="K4714" s="25" t="s">
        <v>28</v>
      </c>
      <c r="L4714" s="26">
        <v>6.0</v>
      </c>
      <c r="M4714" s="26">
        <v>2.0</v>
      </c>
      <c r="N4714" s="26">
        <v>0.0</v>
      </c>
      <c r="O4714" s="26">
        <v>0.0</v>
      </c>
      <c r="P4714" s="34">
        <v>1261.0</v>
      </c>
      <c r="Q4714" s="35">
        <v>0.0</v>
      </c>
      <c r="R4714" s="32">
        <v>44581.0</v>
      </c>
      <c r="S4714" s="32">
        <v>41506.0</v>
      </c>
      <c r="T4714" s="29"/>
      <c r="U4714" s="33"/>
      <c r="V4714" s="1"/>
    </row>
    <row r="4715" ht="24.0" customHeight="1">
      <c r="A4715" s="1"/>
      <c r="B4715" s="24" t="str">
        <f>HYPERLINK("https://www.compass.com/listing/250-west-16th-street-unit-3h-manhattan-ny-10011/29371783610192353/view?agent_id=610d3f3370540700019b0833","250 W 16th St, Unit 3H")</f>
        <v>250 W 16th St, Unit 3H</v>
      </c>
      <c r="C4715" s="25" t="s">
        <v>364</v>
      </c>
      <c r="D4715" s="26" t="s">
        <v>23</v>
      </c>
      <c r="E4715" s="27" t="str">
        <f>HYPERLINK("https://www.compass.com/building/250-w-16th-st-manhattan-ny-10011/292803072139226981/","250 W 16th St")</f>
        <v>250 W 16th St</v>
      </c>
      <c r="F4715" s="25" t="s">
        <v>27</v>
      </c>
      <c r="G4715" s="28">
        <v>910000.0</v>
      </c>
      <c r="H4715" s="28">
        <v>958.0</v>
      </c>
      <c r="I4715" s="28">
        <v>1629.0</v>
      </c>
      <c r="J4715" s="29"/>
      <c r="K4715" s="25" t="s">
        <v>25</v>
      </c>
      <c r="L4715" s="26">
        <v>5.0</v>
      </c>
      <c r="M4715" s="26">
        <v>2.0</v>
      </c>
      <c r="N4715" s="26">
        <v>1.0</v>
      </c>
      <c r="O4715" s="26">
        <v>0.0</v>
      </c>
      <c r="P4715" s="26">
        <v>950.0</v>
      </c>
      <c r="Q4715" s="35">
        <v>52.0</v>
      </c>
      <c r="R4715" s="32">
        <v>44581.0</v>
      </c>
      <c r="S4715" s="32">
        <v>44081.0</v>
      </c>
      <c r="T4715" s="29"/>
      <c r="U4715" s="33"/>
      <c r="V4715" s="1"/>
    </row>
    <row r="4716" ht="24.0" customHeight="1">
      <c r="A4716" s="1"/>
      <c r="B4716" s="24" t="str">
        <f>HYPERLINK("https://www.compass.com/listing/25-murray-street-unit-4f-manhattan-ny-10007/192567272185858513/view?agent_id=610d3f3370540700019b0833","25 Murray St, Unit 4F")</f>
        <v>25 Murray St, Unit 4F</v>
      </c>
      <c r="C4716" s="25" t="s">
        <v>364</v>
      </c>
      <c r="D4716" s="26" t="s">
        <v>23</v>
      </c>
      <c r="E4716" s="27" t="str">
        <f>HYPERLINK("https://www.compass.com/building/tribeca-space-manhattan-ny/281896840704568517/","Tribeca Space")</f>
        <v>Tribeca Space</v>
      </c>
      <c r="F4716" s="25" t="s">
        <v>60</v>
      </c>
      <c r="G4716" s="28">
        <v>1895000.0</v>
      </c>
      <c r="H4716" s="28">
        <v>1216.0</v>
      </c>
      <c r="I4716" s="28">
        <v>2225.0</v>
      </c>
      <c r="J4716" s="28">
        <v>13692.0</v>
      </c>
      <c r="K4716" s="25" t="s">
        <v>28</v>
      </c>
      <c r="L4716" s="26">
        <v>99.0</v>
      </c>
      <c r="M4716" s="26">
        <v>2.0</v>
      </c>
      <c r="N4716" s="26">
        <v>0.0</v>
      </c>
      <c r="O4716" s="26">
        <v>0.0</v>
      </c>
      <c r="P4716" s="34">
        <v>1558.0</v>
      </c>
      <c r="Q4716" s="35">
        <v>0.0</v>
      </c>
      <c r="R4716" s="32">
        <v>44581.0</v>
      </c>
      <c r="S4716" s="32">
        <v>41348.0</v>
      </c>
      <c r="T4716" s="29"/>
      <c r="U4716" s="33"/>
      <c r="V4716" s="1"/>
    </row>
    <row r="4717" ht="24.0" customHeight="1">
      <c r="A4717" s="1"/>
      <c r="B4717" s="24" t="str">
        <f>HYPERLINK("https://www.compass.com/listing/171-west-12th-street-unit-6c-manhattan-ny-10011/192565467494262321/view?agent_id=610d3f3370540700019b0833","171 W 12th St, Unit 6C")</f>
        <v>171 W 12th St, Unit 6C</v>
      </c>
      <c r="C4717" s="25" t="s">
        <v>364</v>
      </c>
      <c r="D4717" s="26" t="s">
        <v>23</v>
      </c>
      <c r="E4717" s="27" t="str">
        <f>HYPERLINK("https://www.compass.com/building/171-w-12th-st-manhattan-ny-10011/292800921073641621/","171 W 12th St")</f>
        <v>171 W 12th St</v>
      </c>
      <c r="F4717" s="25" t="s">
        <v>26</v>
      </c>
      <c r="G4717" s="28">
        <v>1750000.0</v>
      </c>
      <c r="H4717" s="29"/>
      <c r="I4717" s="28">
        <v>1386.0</v>
      </c>
      <c r="J4717" s="29"/>
      <c r="K4717" s="25" t="s">
        <v>25</v>
      </c>
      <c r="L4717" s="26">
        <v>5.0</v>
      </c>
      <c r="M4717" s="26">
        <v>2.0</v>
      </c>
      <c r="N4717" s="26">
        <v>0.0</v>
      </c>
      <c r="O4717" s="26">
        <v>0.0</v>
      </c>
      <c r="P4717" s="30"/>
      <c r="Q4717" s="35">
        <v>3386.0</v>
      </c>
      <c r="R4717" s="32">
        <v>44581.0</v>
      </c>
      <c r="S4717" s="32">
        <v>41194.0</v>
      </c>
      <c r="T4717" s="29"/>
      <c r="U4717" s="33"/>
      <c r="V4717" s="1"/>
    </row>
    <row r="4718" ht="24.0" customHeight="1">
      <c r="A4718" s="1"/>
      <c r="B4718" s="24" t="str">
        <f>HYPERLINK("https://www.compass.com/listing/253-west-16th-street-unit-1a-manhattan-ny-10011/29371790782452497/view?agent_id=610d3f3370540700019b0833","253 W 16th St, Unit 1A")</f>
        <v>253 W 16th St, Unit 1A</v>
      </c>
      <c r="C4718" s="25" t="s">
        <v>370</v>
      </c>
      <c r="D4718" s="26" t="s">
        <v>23</v>
      </c>
      <c r="E4718" s="27" t="str">
        <f>HYPERLINK("https://www.compass.com/building/253-w-16th-st-manhattan-ny-10011/281907990800389701/","253 W 16th St")</f>
        <v>253 W 16th St</v>
      </c>
      <c r="F4718" s="25" t="s">
        <v>27</v>
      </c>
      <c r="G4718" s="28">
        <v>1310000.0</v>
      </c>
      <c r="H4718" s="29"/>
      <c r="I4718" s="28">
        <v>1429.0</v>
      </c>
      <c r="J4718" s="29"/>
      <c r="K4718" s="25" t="s">
        <v>25</v>
      </c>
      <c r="L4718" s="26">
        <v>4.0</v>
      </c>
      <c r="M4718" s="26">
        <v>2.0</v>
      </c>
      <c r="N4718" s="30"/>
      <c r="O4718" s="30"/>
      <c r="P4718" s="30"/>
      <c r="Q4718" s="35">
        <v>72.0</v>
      </c>
      <c r="R4718" s="32">
        <v>42476.0</v>
      </c>
      <c r="S4718" s="32">
        <v>39734.0</v>
      </c>
      <c r="T4718" s="29"/>
      <c r="U4718" s="33"/>
      <c r="V4718" s="1"/>
    </row>
    <row r="4719" ht="24.0" customHeight="1">
      <c r="A4719" s="1"/>
      <c r="B4719" s="24" t="str">
        <f>HYPERLINK("https://www.compass.com/listing/365-st-johns-place-unit-a-brooklyn-ny-11238/922028043324446137/view?agent_id=610d3f3370540700019b0833","365 St Johns Pl, Unit A")</f>
        <v>365 St Johns Pl, Unit A</v>
      </c>
      <c r="C4719" s="25" t="s">
        <v>364</v>
      </c>
      <c r="D4719" s="26" t="s">
        <v>23</v>
      </c>
      <c r="E4719" s="27" t="str">
        <f>HYPERLINK("https://www.compass.com/building/365-st-johns-pl-brooklyn-ny-11238/293426269016628933/","365 St Johns Pl")</f>
        <v>365 St Johns Pl</v>
      </c>
      <c r="F4719" s="25" t="s">
        <v>39</v>
      </c>
      <c r="G4719" s="28">
        <v>645000.0</v>
      </c>
      <c r="H4719" s="29"/>
      <c r="I4719" s="28">
        <v>845.0</v>
      </c>
      <c r="J4719" s="29"/>
      <c r="K4719" s="25" t="s">
        <v>25</v>
      </c>
      <c r="L4719" s="26">
        <v>4.0</v>
      </c>
      <c r="M4719" s="26">
        <v>2.0</v>
      </c>
      <c r="N4719" s="26">
        <v>1.0</v>
      </c>
      <c r="O4719" s="26">
        <v>0.0</v>
      </c>
      <c r="P4719" s="30"/>
      <c r="Q4719" s="35">
        <v>199.0</v>
      </c>
      <c r="R4719" s="32">
        <v>45636.0</v>
      </c>
      <c r="S4719" s="32">
        <v>43204.0</v>
      </c>
      <c r="T4719" s="29"/>
      <c r="U4719" s="33"/>
      <c r="V4719" s="1"/>
    </row>
    <row r="4720" ht="24.0" customHeight="1">
      <c r="A4720" s="1"/>
      <c r="B4720" s="24" t="str">
        <f>HYPERLINK("https://www.compass.com/listing/28-east-10th-street-unit-11d-manhattan-ny-10003/803340598232794161/view?agent_id=610d3f3370540700019b0833","28 E 10th St, Unit 11D")</f>
        <v>28 E 10th St, Unit 11D</v>
      </c>
      <c r="C4720" s="25" t="s">
        <v>364</v>
      </c>
      <c r="D4720" s="26" t="s">
        <v>23</v>
      </c>
      <c r="E4720" s="27" t="str">
        <f>HYPERLINK("https://www.compass.com/building/devonshire-house-manhattan-ny/281891789294539797/","Devonshire House")</f>
        <v>Devonshire House</v>
      </c>
      <c r="F4720" s="25" t="s">
        <v>43</v>
      </c>
      <c r="G4720" s="28">
        <v>3995000.0</v>
      </c>
      <c r="H4720" s="28">
        <v>3655.0</v>
      </c>
      <c r="I4720" s="28">
        <v>2467.0</v>
      </c>
      <c r="J4720" s="28">
        <v>12864.0</v>
      </c>
      <c r="K4720" s="25" t="s">
        <v>28</v>
      </c>
      <c r="L4720" s="26">
        <v>4.0</v>
      </c>
      <c r="M4720" s="26">
        <v>2.0</v>
      </c>
      <c r="N4720" s="26">
        <v>0.0</v>
      </c>
      <c r="O4720" s="26">
        <v>0.0</v>
      </c>
      <c r="P4720" s="34">
        <v>1093.0</v>
      </c>
      <c r="Q4720" s="35">
        <v>29.0</v>
      </c>
      <c r="R4720" s="32">
        <v>44581.0</v>
      </c>
      <c r="S4720" s="32">
        <v>43122.0</v>
      </c>
      <c r="T4720" s="29"/>
      <c r="U4720" s="33"/>
      <c r="V4720" s="1"/>
    </row>
    <row r="4721" ht="24.0" customHeight="1">
      <c r="A4721" s="1"/>
      <c r="B4721" s="24" t="str">
        <f>HYPERLINK("https://www.compass.com/listing/148-west-23rd-street-unit-8a-manhattan-ny-10011/75126081899802689/view?agent_id=610d3f3370540700019b0833","148 W 23rd St, Unit 8A")</f>
        <v>148 W 23rd St, Unit 8A</v>
      </c>
      <c r="C4721" s="25" t="s">
        <v>364</v>
      </c>
      <c r="D4721" s="26" t="s">
        <v>23</v>
      </c>
      <c r="E4721" s="27" t="str">
        <f>HYPERLINK("https://www.compass.com/building/chelsea-mews-manhattan-ny/281905569537739077/","Chelsea Mews")</f>
        <v>Chelsea Mews</v>
      </c>
      <c r="F4721" s="25" t="s">
        <v>27</v>
      </c>
      <c r="G4721" s="28">
        <v>1399000.0</v>
      </c>
      <c r="H4721" s="29"/>
      <c r="I4721" s="28">
        <v>2426.0</v>
      </c>
      <c r="J4721" s="29"/>
      <c r="K4721" s="25" t="s">
        <v>25</v>
      </c>
      <c r="L4721" s="26">
        <v>4.0</v>
      </c>
      <c r="M4721" s="26">
        <v>2.0</v>
      </c>
      <c r="N4721" s="26">
        <v>0.0</v>
      </c>
      <c r="O4721" s="26">
        <v>0.0</v>
      </c>
      <c r="P4721" s="30"/>
      <c r="Q4721" s="35">
        <v>153.0</v>
      </c>
      <c r="R4721" s="32">
        <v>45636.0</v>
      </c>
      <c r="S4721" s="32">
        <v>43181.0</v>
      </c>
      <c r="T4721" s="29"/>
      <c r="U4721" s="33"/>
      <c r="V4721" s="1"/>
    </row>
    <row r="4722" ht="24.0" customHeight="1">
      <c r="A4722" s="1"/>
      <c r="B4722" s="24" t="str">
        <f>HYPERLINK("https://www.compass.com/listing/231-west-21st-street-unit-5b-manhattan-ny-10011/1838937016801391633/view?agent_id=610d3f3370540700019b0833","231 W 21st St, Unit 5B")</f>
        <v>231 W 21st St, Unit 5B</v>
      </c>
      <c r="C4722" s="25" t="s">
        <v>365</v>
      </c>
      <c r="D4722" s="26" t="s">
        <v>23</v>
      </c>
      <c r="E4722" s="27" t="str">
        <f>HYPERLINK("https://www.compass.com/building/231-w-21st-st-manhattan-ny-10011/282064131048114917/","231 W 21st St")</f>
        <v>231 W 21st St</v>
      </c>
      <c r="F4722" s="25" t="s">
        <v>27</v>
      </c>
      <c r="G4722" s="28">
        <v>1095000.0</v>
      </c>
      <c r="H4722" s="29"/>
      <c r="I4722" s="28">
        <v>1335.0</v>
      </c>
      <c r="J4722" s="28">
        <v>0.0</v>
      </c>
      <c r="K4722" s="25" t="s">
        <v>25</v>
      </c>
      <c r="L4722" s="26">
        <v>4.0</v>
      </c>
      <c r="M4722" s="26">
        <v>2.0</v>
      </c>
      <c r="N4722" s="26">
        <v>1.0</v>
      </c>
      <c r="O4722" s="26">
        <v>0.0</v>
      </c>
      <c r="P4722" s="30"/>
      <c r="Q4722" s="35">
        <v>114.0</v>
      </c>
      <c r="R4722" s="32">
        <v>44553.0</v>
      </c>
      <c r="S4722" s="32">
        <v>44377.0</v>
      </c>
      <c r="T4722" s="29"/>
      <c r="U4722" s="33"/>
      <c r="V4722" s="1"/>
    </row>
    <row r="4723" ht="24.0" customHeight="1">
      <c r="A4723" s="1"/>
      <c r="B4723" s="24" t="str">
        <f>HYPERLINK("https://www.compass.com/listing/340-west-19th-street-unit-4-manhattan-ny-10011/896920503736721745/view?agent_id=610d3f3370540700019b0833","340 W 19th St, Unit 4")</f>
        <v>340 W 19th St, Unit 4</v>
      </c>
      <c r="C4723" s="25" t="s">
        <v>364</v>
      </c>
      <c r="D4723" s="26" t="s">
        <v>23</v>
      </c>
      <c r="E4723" s="27" t="str">
        <f>HYPERLINK("https://www.compass.com/building/340-w-19th-st-manhattan-ny-10011/281909205378554757/","340 W 19th St")</f>
        <v>340 W 19th St</v>
      </c>
      <c r="F4723" s="25" t="s">
        <v>27</v>
      </c>
      <c r="G4723" s="28">
        <v>849000.0</v>
      </c>
      <c r="H4723" s="28">
        <v>1258.0</v>
      </c>
      <c r="I4723" s="28">
        <v>1037.0</v>
      </c>
      <c r="J4723" s="29"/>
      <c r="K4723" s="25" t="s">
        <v>25</v>
      </c>
      <c r="L4723" s="26">
        <v>4.0</v>
      </c>
      <c r="M4723" s="26">
        <v>2.0</v>
      </c>
      <c r="N4723" s="26">
        <v>1.0</v>
      </c>
      <c r="O4723" s="26">
        <v>0.0</v>
      </c>
      <c r="P4723" s="26">
        <v>675.0</v>
      </c>
      <c r="Q4723" s="35">
        <v>99.0</v>
      </c>
      <c r="R4723" s="32">
        <v>45636.0</v>
      </c>
      <c r="S4723" s="32">
        <v>44657.0</v>
      </c>
      <c r="T4723" s="29"/>
      <c r="U4723" s="33"/>
      <c r="V4723" s="1"/>
    </row>
    <row r="4724" ht="24.0" customHeight="1">
      <c r="A4724" s="1"/>
      <c r="B4724" s="24" t="str">
        <f>HYPERLINK("https://www.compass.com/listing/101-warren-street-unit-11l-manhattan-ny-10007/803301940171384425/view?agent_id=610d3f3370540700019b0833","101 Warren St, Unit 11L")</f>
        <v>101 Warren St, Unit 11L</v>
      </c>
      <c r="C4724" s="25" t="s">
        <v>364</v>
      </c>
      <c r="D4724" s="26" t="s">
        <v>23</v>
      </c>
      <c r="E4724" s="27" t="str">
        <f>HYPERLINK("https://www.compass.com/building/99-101-warren-manhattan-ny/307460833541810581/","99-101 Warren")</f>
        <v>99-101 Warren</v>
      </c>
      <c r="F4724" s="25" t="s">
        <v>60</v>
      </c>
      <c r="G4724" s="28">
        <v>3900000.0</v>
      </c>
      <c r="H4724" s="28">
        <v>1672.0</v>
      </c>
      <c r="I4724" s="28">
        <v>3270.0</v>
      </c>
      <c r="J4724" s="28">
        <v>13212.0</v>
      </c>
      <c r="K4724" s="25" t="s">
        <v>28</v>
      </c>
      <c r="L4724" s="26">
        <v>5.0</v>
      </c>
      <c r="M4724" s="26">
        <v>2.0</v>
      </c>
      <c r="N4724" s="26">
        <v>0.0</v>
      </c>
      <c r="O4724" s="26">
        <v>0.0</v>
      </c>
      <c r="P4724" s="34">
        <v>2332.0</v>
      </c>
      <c r="Q4724" s="35">
        <v>0.0</v>
      </c>
      <c r="R4724" s="32">
        <v>44581.0</v>
      </c>
      <c r="S4724" s="32">
        <v>43178.0</v>
      </c>
      <c r="T4724" s="29"/>
      <c r="U4724" s="33"/>
      <c r="V4724" s="1"/>
    </row>
    <row r="4725" ht="24.0" customHeight="1">
      <c r="A4725" s="1"/>
      <c r="B4725" s="24" t="str">
        <f>HYPERLINK("https://www.compass.com/listing/124-west-24th-street-unit-3c-manhattan-ny-10011/551888242210315033/view?agent_id=610d3f3370540700019b0833","124 West 24th Street, Unit 3C")</f>
        <v>124 West 24th Street, Unit 3C</v>
      </c>
      <c r="C4725" s="25" t="s">
        <v>364</v>
      </c>
      <c r="D4725" s="26" t="s">
        <v>23</v>
      </c>
      <c r="E4725" s="27" t="str">
        <f>HYPERLINK("https://www.compass.com/building/124w24-manhattan-ny/281904833865205221/","124W24")</f>
        <v>124W24</v>
      </c>
      <c r="F4725" s="25" t="s">
        <v>27</v>
      </c>
      <c r="G4725" s="28">
        <v>2050000.0</v>
      </c>
      <c r="H4725" s="28">
        <v>1737.0</v>
      </c>
      <c r="I4725" s="28">
        <v>2091.0</v>
      </c>
      <c r="J4725" s="28">
        <v>15492.0</v>
      </c>
      <c r="K4725" s="25" t="s">
        <v>28</v>
      </c>
      <c r="L4725" s="26">
        <v>3.0</v>
      </c>
      <c r="M4725" s="26">
        <v>2.0</v>
      </c>
      <c r="N4725" s="30"/>
      <c r="O4725" s="30"/>
      <c r="P4725" s="34">
        <v>1180.0</v>
      </c>
      <c r="Q4725" s="35">
        <v>281.0</v>
      </c>
      <c r="R4725" s="32">
        <v>44294.0</v>
      </c>
      <c r="S4725" s="32">
        <v>44012.0</v>
      </c>
      <c r="T4725" s="29"/>
      <c r="U4725" s="33"/>
      <c r="V4725" s="1"/>
    </row>
    <row r="4726" ht="24.0" customHeight="1">
      <c r="A4726" s="1"/>
      <c r="B4726" s="24" t="str">
        <f>HYPERLINK("https://www.compass.com/listing/31-1st-place-unit-parlor-brooklyn-ny-11231/4852261524900684929/view?agent_id=610d3f3370540700019b0833","31 1st Place, Unit PARLOR")</f>
        <v>31 1st Place, Unit PARLOR</v>
      </c>
      <c r="C4726" s="25" t="s">
        <v>364</v>
      </c>
      <c r="D4726" s="26" t="s">
        <v>23</v>
      </c>
      <c r="E4726" s="27" t="str">
        <f>HYPERLINK("https://www.compass.com/building/31-1st-pl-brooklyn-ny-11231/282500382620465109/","31 1st Pl")</f>
        <v>31 1st Pl</v>
      </c>
      <c r="F4726" s="25" t="s">
        <v>65</v>
      </c>
      <c r="G4726" s="28">
        <v>925000.0</v>
      </c>
      <c r="H4726" s="28">
        <v>974.0</v>
      </c>
      <c r="I4726" s="28">
        <v>1009.0</v>
      </c>
      <c r="J4726" s="29"/>
      <c r="K4726" s="25" t="s">
        <v>25</v>
      </c>
      <c r="L4726" s="26">
        <v>4.0</v>
      </c>
      <c r="M4726" s="26">
        <v>2.0</v>
      </c>
      <c r="N4726" s="26">
        <v>1.0</v>
      </c>
      <c r="O4726" s="26">
        <v>0.0</v>
      </c>
      <c r="P4726" s="26">
        <v>950.0</v>
      </c>
      <c r="Q4726" s="35">
        <v>21.0</v>
      </c>
      <c r="R4726" s="32">
        <v>45636.0</v>
      </c>
      <c r="S4726" s="32">
        <v>42431.0</v>
      </c>
      <c r="T4726" s="29"/>
      <c r="U4726" s="33"/>
      <c r="V4726" s="1"/>
    </row>
    <row r="4727" ht="24.0" customHeight="1">
      <c r="A4727" s="1"/>
      <c r="B4727" s="24" t="str">
        <f>HYPERLINK("https://www.compass.com/listing/105-east-19th-street-unit-ga-manhattan-ny-10003/29377815178665217/view?agent_id=610d3f3370540700019b0833","105 East 19th Street, Unit GA")</f>
        <v>105 East 19th Street, Unit GA</v>
      </c>
      <c r="C4727" s="25" t="s">
        <v>364</v>
      </c>
      <c r="D4727" s="26" t="s">
        <v>23</v>
      </c>
      <c r="E4727" s="27" t="str">
        <f>HYPERLINK("https://www.compass.com/building/105-east-19th-street-manhattan-ny/281888764807087957/","105 East 19th Street")</f>
        <v>105 East 19th Street</v>
      </c>
      <c r="F4727" s="25" t="s">
        <v>48</v>
      </c>
      <c r="G4727" s="28">
        <v>1625000.0</v>
      </c>
      <c r="H4727" s="29"/>
      <c r="I4727" s="28">
        <v>1419.0</v>
      </c>
      <c r="J4727" s="29"/>
      <c r="K4727" s="25" t="s">
        <v>25</v>
      </c>
      <c r="L4727" s="26">
        <v>4.0</v>
      </c>
      <c r="M4727" s="26">
        <v>2.0</v>
      </c>
      <c r="N4727" s="26">
        <v>0.0</v>
      </c>
      <c r="O4727" s="26">
        <v>0.0</v>
      </c>
      <c r="P4727" s="30"/>
      <c r="Q4727" s="35">
        <v>125.0</v>
      </c>
      <c r="R4727" s="32">
        <v>45636.0</v>
      </c>
      <c r="S4727" s="32">
        <v>42489.0</v>
      </c>
      <c r="T4727" s="29"/>
      <c r="U4727" s="33"/>
      <c r="V4727" s="1"/>
    </row>
    <row r="4728" ht="24.0" customHeight="1">
      <c r="A4728" s="1"/>
      <c r="B4728" s="24" t="str">
        <f>HYPERLINK("https://www.compass.com/listing/55-west-95th-street-unit-94-manhattan-ny-10025/1845906900746548265/view?agent_id=610d3f3370540700019b0833","55 West 95th Street, Unit 94")</f>
        <v>55 West 95th Street, Unit 94</v>
      </c>
      <c r="C4728" s="25" t="s">
        <v>365</v>
      </c>
      <c r="D4728" s="26" t="s">
        <v>23</v>
      </c>
      <c r="E4728" s="27" t="str">
        <f>HYPERLINK("https://www.compass.com/building/55-w-95th-st-manhattan-ny-10025/281972516124187381/","55 W 95th St")</f>
        <v>55 W 95th St</v>
      </c>
      <c r="F4728" s="25" t="s">
        <v>29</v>
      </c>
      <c r="G4728" s="28">
        <v>899000.0</v>
      </c>
      <c r="H4728" s="29"/>
      <c r="I4728" s="28">
        <v>3216.0</v>
      </c>
      <c r="J4728" s="28">
        <v>0.0</v>
      </c>
      <c r="K4728" s="25" t="s">
        <v>25</v>
      </c>
      <c r="L4728" s="26">
        <v>4.0</v>
      </c>
      <c r="M4728" s="26">
        <v>2.0</v>
      </c>
      <c r="N4728" s="26">
        <v>1.0</v>
      </c>
      <c r="O4728" s="26">
        <v>0.0</v>
      </c>
      <c r="P4728" s="30"/>
      <c r="Q4728" s="35">
        <v>57.0</v>
      </c>
      <c r="R4728" s="32">
        <v>45855.0</v>
      </c>
      <c r="S4728" s="32">
        <v>45798.0</v>
      </c>
      <c r="T4728" s="29"/>
      <c r="U4728" s="33"/>
      <c r="V4728" s="1"/>
    </row>
    <row r="4729" ht="24.0" customHeight="1">
      <c r="A4729" s="1"/>
      <c r="B4729" s="24" t="str">
        <f>HYPERLINK("https://www.compass.com/listing/41-5th-avenue-unit-3e-manhattan-ny-10003/29365526966856225/view?agent_id=610d3f3370540700019b0833","41 5th Ave, Unit 3E")</f>
        <v>41 5th Ave, Unit 3E</v>
      </c>
      <c r="C4729" s="25" t="s">
        <v>364</v>
      </c>
      <c r="D4729" s="26" t="s">
        <v>23</v>
      </c>
      <c r="E4729" s="27" t="str">
        <f>HYPERLINK("https://www.compass.com/building/41-5th-ave-manhattan-ny-10003/281893535299412485/","41 5th Ave")</f>
        <v>41 5th Ave</v>
      </c>
      <c r="F4729" s="25" t="s">
        <v>43</v>
      </c>
      <c r="G4729" s="28">
        <v>1645000.0</v>
      </c>
      <c r="H4729" s="28">
        <v>1430.0</v>
      </c>
      <c r="I4729" s="29"/>
      <c r="J4729" s="29"/>
      <c r="K4729" s="25" t="s">
        <v>25</v>
      </c>
      <c r="L4729" s="26">
        <v>4.0</v>
      </c>
      <c r="M4729" s="26">
        <v>2.0</v>
      </c>
      <c r="N4729" s="30"/>
      <c r="O4729" s="30"/>
      <c r="P4729" s="34">
        <v>1150.0</v>
      </c>
      <c r="Q4729" s="35">
        <v>94.0</v>
      </c>
      <c r="R4729" s="32">
        <v>42478.0</v>
      </c>
      <c r="S4729" s="32">
        <v>39549.0</v>
      </c>
      <c r="T4729" s="29"/>
      <c r="U4729" s="33"/>
      <c r="V4729" s="1"/>
    </row>
    <row r="4730" ht="24.0" customHeight="1">
      <c r="A4730" s="1"/>
      <c r="B4730" s="24" t="str">
        <f>HYPERLINK("https://www.compass.com/listing/30-park-place-unit-42b-manhattan-ny-10007/29669252902541777/view?agent_id=610d3f3370540700019b0833","30 Park Place, Unit 42B")</f>
        <v>30 Park Place, Unit 42B</v>
      </c>
      <c r="C4730" s="25" t="s">
        <v>370</v>
      </c>
      <c r="D4730" s="26" t="s">
        <v>23</v>
      </c>
      <c r="E4730" s="27" t="str">
        <f>HYPERLINK("https://www.compass.com/building/30-park-pl-manhattan-ny-10007/281896912905317605/","30 Park Pl")</f>
        <v>30 Park Pl</v>
      </c>
      <c r="F4730" s="25" t="s">
        <v>60</v>
      </c>
      <c r="G4730" s="28">
        <v>4995000.0</v>
      </c>
      <c r="H4730" s="28">
        <v>3002.0</v>
      </c>
      <c r="I4730" s="28">
        <v>4741.0</v>
      </c>
      <c r="J4730" s="28">
        <v>40980.0</v>
      </c>
      <c r="K4730" s="25" t="s">
        <v>28</v>
      </c>
      <c r="L4730" s="26">
        <v>4.0</v>
      </c>
      <c r="M4730" s="26">
        <v>2.0</v>
      </c>
      <c r="N4730" s="26">
        <v>0.0</v>
      </c>
      <c r="O4730" s="26">
        <v>0.0</v>
      </c>
      <c r="P4730" s="34">
        <v>1664.0</v>
      </c>
      <c r="Q4730" s="35">
        <v>172.0</v>
      </c>
      <c r="R4730" s="32">
        <v>45636.0</v>
      </c>
      <c r="S4730" s="32">
        <v>43227.0</v>
      </c>
      <c r="T4730" s="29"/>
      <c r="U4730" s="33"/>
      <c r="V4730" s="1"/>
    </row>
    <row r="4731" ht="24.0" customHeight="1">
      <c r="A4731" s="1"/>
      <c r="B4731" s="24" t="str">
        <f>HYPERLINK("https://www.compass.com/listing/165-christopher-street-unit-lx-manhattan-ny-10014/4852326207896694257/view?agent_id=610d3f3370540700019b0833","165 Christopher Street, Unit LX")</f>
        <v>165 Christopher Street, Unit LX</v>
      </c>
      <c r="C4731" s="25" t="s">
        <v>364</v>
      </c>
      <c r="D4731" s="26" t="s">
        <v>23</v>
      </c>
      <c r="E4731" s="27" t="str">
        <f>HYPERLINK("https://www.compass.com/building/165-christopher-st-manhattan-ny-10014/292835054604837445/","165 Christopher St")</f>
        <v>165 Christopher St</v>
      </c>
      <c r="F4731" s="25" t="s">
        <v>26</v>
      </c>
      <c r="G4731" s="28">
        <v>899000.0</v>
      </c>
      <c r="H4731" s="29"/>
      <c r="I4731" s="28">
        <v>990.0</v>
      </c>
      <c r="J4731" s="29"/>
      <c r="K4731" s="25" t="s">
        <v>25</v>
      </c>
      <c r="L4731" s="26">
        <v>5.0</v>
      </c>
      <c r="M4731" s="26">
        <v>2.0</v>
      </c>
      <c r="N4731" s="26">
        <v>1.0</v>
      </c>
      <c r="O4731" s="26">
        <v>0.0</v>
      </c>
      <c r="P4731" s="30"/>
      <c r="Q4731" s="35">
        <v>26.0</v>
      </c>
      <c r="R4731" s="32">
        <v>44581.0</v>
      </c>
      <c r="S4731" s="32">
        <v>42458.0</v>
      </c>
      <c r="T4731" s="29"/>
      <c r="U4731" s="33"/>
      <c r="V4731" s="1"/>
    </row>
    <row r="4732" ht="24.0" customHeight="1">
      <c r="A4732" s="1"/>
      <c r="B4732" s="24" t="str">
        <f>HYPERLINK("https://www.compass.com/listing/259-west-21st-street-unit-3-manhattan-ny-10011/1049897735752140121/view?agent_id=610d3f3370540700019b0833","259 West 21st Street, Unit 3")</f>
        <v>259 West 21st Street, Unit 3</v>
      </c>
      <c r="C4732" s="25" t="s">
        <v>370</v>
      </c>
      <c r="D4732" s="26" t="s">
        <v>23</v>
      </c>
      <c r="E4732" s="27" t="str">
        <f>HYPERLINK("https://www.compass.com/building/259-w-21st-st-manhattan-ny-10011/281908099785186597/","259 W 21st St")</f>
        <v>259 W 21st St</v>
      </c>
      <c r="F4732" s="25" t="s">
        <v>27</v>
      </c>
      <c r="G4732" s="28">
        <v>1297000.0</v>
      </c>
      <c r="H4732" s="29"/>
      <c r="I4732" s="28">
        <v>1544.0</v>
      </c>
      <c r="J4732" s="29"/>
      <c r="K4732" s="25" t="s">
        <v>25</v>
      </c>
      <c r="L4732" s="26">
        <v>4.0</v>
      </c>
      <c r="M4732" s="26">
        <v>2.0</v>
      </c>
      <c r="N4732" s="26">
        <v>1.0</v>
      </c>
      <c r="O4732" s="26">
        <v>0.0</v>
      </c>
      <c r="P4732" s="30"/>
      <c r="Q4732" s="35">
        <v>166.0</v>
      </c>
      <c r="R4732" s="32">
        <v>45636.0</v>
      </c>
      <c r="S4732" s="32">
        <v>44702.0</v>
      </c>
      <c r="T4732" s="29"/>
      <c r="U4732" s="33"/>
      <c r="V4732" s="1"/>
    </row>
    <row r="4733" ht="24.0" customHeight="1">
      <c r="A4733" s="1"/>
      <c r="B4733" s="24" t="str">
        <f>HYPERLINK("https://www.compass.com/listing/130-west-17th-street-unit-3s-manhattan-ny-10011/4703722645366005185/view?agent_id=610d3f3370540700019b0833","130 W 17th St, Unit 3S")</f>
        <v>130 W 17th St, Unit 3S</v>
      </c>
      <c r="C4733" s="25" t="s">
        <v>364</v>
      </c>
      <c r="D4733" s="26" t="s">
        <v>23</v>
      </c>
      <c r="E4733" s="27" t="str">
        <f>HYPERLINK("https://www.compass.com/building/130-w-17th-st-manhattan-ny-10011/281905008306308757/","130 W 17th St")</f>
        <v>130 W 17th St</v>
      </c>
      <c r="F4733" s="25" t="s">
        <v>27</v>
      </c>
      <c r="G4733" s="28">
        <v>1195000.0</v>
      </c>
      <c r="H4733" s="28">
        <v>824.0</v>
      </c>
      <c r="I4733" s="28">
        <v>1330.0</v>
      </c>
      <c r="J4733" s="29"/>
      <c r="K4733" s="25" t="s">
        <v>49</v>
      </c>
      <c r="L4733" s="26">
        <v>4.0</v>
      </c>
      <c r="M4733" s="26">
        <v>2.0</v>
      </c>
      <c r="N4733" s="30"/>
      <c r="O4733" s="30"/>
      <c r="P4733" s="34">
        <v>1450.0</v>
      </c>
      <c r="Q4733" s="35">
        <v>178.0</v>
      </c>
      <c r="R4733" s="32">
        <v>42478.0</v>
      </c>
      <c r="S4733" s="32">
        <v>39533.0</v>
      </c>
      <c r="T4733" s="29"/>
      <c r="U4733" s="33"/>
      <c r="V4733" s="1"/>
    </row>
    <row r="4734" ht="24.0" customHeight="1">
      <c r="A4734" s="1"/>
      <c r="B4734" s="24" t="str">
        <f>HYPERLINK("https://www.compass.com/listing/34-barrow-street-manhattan-ny-10014/4703671520071809633/view?agent_id=610d3f3370540700019b0833","34 Barrow St")</f>
        <v>34 Barrow St</v>
      </c>
      <c r="C4734" s="25" t="s">
        <v>364</v>
      </c>
      <c r="D4734" s="26" t="s">
        <v>23</v>
      </c>
      <c r="E4734" s="27" t="str">
        <f>HYPERLINK("https://www.compass.com/building/34-barrow-st-manhattan-ny-10014/282065685146800565/","34 Barrow St")</f>
        <v>34 Barrow St</v>
      </c>
      <c r="F4734" s="25" t="s">
        <v>26</v>
      </c>
      <c r="G4734" s="28">
        <v>1295000.0</v>
      </c>
      <c r="H4734" s="29"/>
      <c r="I4734" s="28">
        <v>1765.0</v>
      </c>
      <c r="J4734" s="29"/>
      <c r="K4734" s="25" t="s">
        <v>25</v>
      </c>
      <c r="L4734" s="26">
        <v>4.0</v>
      </c>
      <c r="M4734" s="26">
        <v>2.0</v>
      </c>
      <c r="N4734" s="30"/>
      <c r="O4734" s="30"/>
      <c r="P4734" s="30"/>
      <c r="Q4734" s="35">
        <v>18.0</v>
      </c>
      <c r="R4734" s="32">
        <v>42476.0</v>
      </c>
      <c r="S4734" s="32">
        <v>38471.0</v>
      </c>
      <c r="T4734" s="29"/>
      <c r="U4734" s="33"/>
      <c r="V4734" s="1"/>
    </row>
    <row r="4735" ht="24.0" customHeight="1">
      <c r="A4735" s="1"/>
      <c r="B4735" s="24" t="str">
        <f>HYPERLINK("https://www.compass.com/listing/305-west-72nd-street-unit-1b-manhattan-ny-10023/1546471418868573057/view?agent_id=610d3f3370540700019b0833","305 West 72nd Street, Unit 1B")</f>
        <v>305 West 72nd Street, Unit 1B</v>
      </c>
      <c r="C4735" s="25" t="s">
        <v>370</v>
      </c>
      <c r="D4735" s="26" t="s">
        <v>23</v>
      </c>
      <c r="E4735" s="27" t="str">
        <f>HYPERLINK("https://www.compass.com/building/305-w-72nd-st-manhattan-ny-10023/281959580815138565/","305 W 72nd St")</f>
        <v>305 W 72nd St</v>
      </c>
      <c r="F4735" s="25" t="s">
        <v>29</v>
      </c>
      <c r="G4735" s="28">
        <v>1195000.0</v>
      </c>
      <c r="H4735" s="29"/>
      <c r="I4735" s="28">
        <v>1496.0</v>
      </c>
      <c r="J4735" s="28">
        <v>0.0</v>
      </c>
      <c r="K4735" s="25" t="s">
        <v>25</v>
      </c>
      <c r="L4735" s="26">
        <v>4.0</v>
      </c>
      <c r="M4735" s="26">
        <v>2.0</v>
      </c>
      <c r="N4735" s="26">
        <v>1.0</v>
      </c>
      <c r="O4735" s="26">
        <v>0.0</v>
      </c>
      <c r="P4735" s="30"/>
      <c r="Q4735" s="35">
        <v>112.0</v>
      </c>
      <c r="R4735" s="32">
        <v>45695.0</v>
      </c>
      <c r="S4735" s="32">
        <v>45547.0</v>
      </c>
      <c r="T4735" s="29"/>
      <c r="U4735" s="33"/>
      <c r="V4735" s="1"/>
    </row>
    <row r="4736" ht="24.0" customHeight="1">
      <c r="A4736" s="1"/>
      <c r="B4736" s="24" t="str">
        <f>HYPERLINK("https://www.compass.com/listing/55-east-9th-street-unit-6k-manhattan-ny-10003/29364871900479921/view?agent_id=610d3f3370540700019b0833","55 East 9th Street, Unit 6K")</f>
        <v>55 East 9th Street, Unit 6K</v>
      </c>
      <c r="C4736" s="25" t="s">
        <v>364</v>
      </c>
      <c r="D4736" s="26" t="s">
        <v>23</v>
      </c>
      <c r="E4736" s="27" t="str">
        <f>HYPERLINK("https://www.compass.com/building/55-e-9th-st-manhattan-ny-10003/292785859109861301/","55 E 9th St")</f>
        <v>55 E 9th St</v>
      </c>
      <c r="F4736" s="25" t="s">
        <v>43</v>
      </c>
      <c r="G4736" s="28">
        <v>779000.0</v>
      </c>
      <c r="H4736" s="29"/>
      <c r="I4736" s="28">
        <v>1580.0</v>
      </c>
      <c r="J4736" s="29"/>
      <c r="K4736" s="25" t="s">
        <v>25</v>
      </c>
      <c r="L4736" s="26">
        <v>3.0</v>
      </c>
      <c r="M4736" s="26">
        <v>2.0</v>
      </c>
      <c r="N4736" s="26">
        <v>0.0</v>
      </c>
      <c r="O4736" s="26">
        <v>0.0</v>
      </c>
      <c r="P4736" s="30"/>
      <c r="Q4736" s="35">
        <v>1764.0</v>
      </c>
      <c r="R4736" s="32">
        <v>44581.0</v>
      </c>
      <c r="S4736" s="32">
        <v>41172.0</v>
      </c>
      <c r="T4736" s="29"/>
      <c r="U4736" s="33"/>
      <c r="V4736" s="1"/>
    </row>
    <row r="4737" ht="24.0" customHeight="1">
      <c r="A4737" s="1"/>
      <c r="B4737" s="24" t="str">
        <f>HYPERLINK("https://www.compass.com/listing/536-east-13th-street-unit-ph-manhattan-ny-10009/1642262100742983321/view?agent_id=610d3f3370540700019b0833","536 East 13th Street, Unit PH")</f>
        <v>536 East 13th Street, Unit PH</v>
      </c>
      <c r="C4737" s="25" t="s">
        <v>364</v>
      </c>
      <c r="D4737" s="26" t="s">
        <v>23</v>
      </c>
      <c r="E4737" s="27" t="str">
        <f>HYPERLINK("https://www.compass.com/building/536-e-13th-st-manhattan-ny-10009/281900929068843109/","536 E 13th St")</f>
        <v>536 E 13th St</v>
      </c>
      <c r="F4737" s="25" t="s">
        <v>24</v>
      </c>
      <c r="G4737" s="28">
        <v>1600000.0</v>
      </c>
      <c r="H4737" s="28">
        <v>1928.0</v>
      </c>
      <c r="I4737" s="28">
        <v>2252.0</v>
      </c>
      <c r="J4737" s="28">
        <v>20052.0</v>
      </c>
      <c r="K4737" s="25" t="s">
        <v>28</v>
      </c>
      <c r="L4737" s="26">
        <v>5.0</v>
      </c>
      <c r="M4737" s="26">
        <v>2.0</v>
      </c>
      <c r="N4737" s="26">
        <v>1.0</v>
      </c>
      <c r="O4737" s="30"/>
      <c r="P4737" s="26">
        <v>830.0</v>
      </c>
      <c r="Q4737" s="35">
        <v>37.0</v>
      </c>
      <c r="R4737" s="32">
        <v>45555.0</v>
      </c>
      <c r="S4737" s="32">
        <v>45517.0</v>
      </c>
      <c r="T4737" s="29"/>
      <c r="U4737" s="33"/>
      <c r="V4737" s="1"/>
    </row>
    <row r="4738" ht="24.0" customHeight="1">
      <c r="A4738" s="1"/>
      <c r="B4738" s="24" t="str">
        <f>HYPERLINK("https://www.compass.com/listing/259-west-21st-street-unit-ph-manhattan-ny-10011/821022245737663073/view?agent_id=610d3f3370540700019b0833","259 West 21st Street, Unit PH")</f>
        <v>259 West 21st Street, Unit PH</v>
      </c>
      <c r="C4738" s="25" t="s">
        <v>364</v>
      </c>
      <c r="D4738" s="26" t="s">
        <v>23</v>
      </c>
      <c r="E4738" s="27" t="str">
        <f>HYPERLINK("https://www.compass.com/building/259-w-21st-st-manhattan-ny-10011/281908099785186597/","259 W 21st St")</f>
        <v>259 W 21st St</v>
      </c>
      <c r="F4738" s="25" t="s">
        <v>27</v>
      </c>
      <c r="G4738" s="28">
        <v>1299000.0</v>
      </c>
      <c r="H4738" s="29"/>
      <c r="I4738" s="28">
        <v>1568.0</v>
      </c>
      <c r="J4738" s="29"/>
      <c r="K4738" s="25" t="s">
        <v>25</v>
      </c>
      <c r="L4738" s="26">
        <v>4.0</v>
      </c>
      <c r="M4738" s="26">
        <v>2.0</v>
      </c>
      <c r="N4738" s="26">
        <v>1.0</v>
      </c>
      <c r="O4738" s="26">
        <v>0.0</v>
      </c>
      <c r="P4738" s="30"/>
      <c r="Q4738" s="35">
        <v>77.0</v>
      </c>
      <c r="R4738" s="32">
        <v>45636.0</v>
      </c>
      <c r="S4738" s="32">
        <v>43781.0</v>
      </c>
      <c r="T4738" s="29"/>
      <c r="U4738" s="33"/>
      <c r="V4738" s="1"/>
    </row>
    <row r="4739" ht="24.0" customHeight="1">
      <c r="A4739" s="1"/>
      <c r="B4739" s="24" t="str">
        <f>HYPERLINK("https://www.compass.com/listing/234-west-21st-street-unit-72-manhattan-ny-10011/386948460267589281/view?agent_id=610d3f3370540700019b0833","234 West 21st Street, Unit 72")</f>
        <v>234 West 21st Street, Unit 72</v>
      </c>
      <c r="C4739" s="25" t="s">
        <v>364</v>
      </c>
      <c r="D4739" s="26" t="s">
        <v>23</v>
      </c>
      <c r="E4739" s="27" t="str">
        <f>HYPERLINK("https://www.compass.com/building/234-west-21st-street-manhattan-ny/281907472074035573/","234 West 21st Street")</f>
        <v>234 West 21st Street</v>
      </c>
      <c r="F4739" s="25" t="s">
        <v>27</v>
      </c>
      <c r="G4739" s="28">
        <v>1125000.0</v>
      </c>
      <c r="H4739" s="29"/>
      <c r="I4739" s="28">
        <v>1086.0</v>
      </c>
      <c r="J4739" s="29"/>
      <c r="K4739" s="25" t="s">
        <v>25</v>
      </c>
      <c r="L4739" s="26">
        <v>4.0</v>
      </c>
      <c r="M4739" s="26">
        <v>2.0</v>
      </c>
      <c r="N4739" s="26">
        <v>1.0</v>
      </c>
      <c r="O4739" s="26">
        <v>0.0</v>
      </c>
      <c r="P4739" s="30"/>
      <c r="Q4739" s="35">
        <v>11.0</v>
      </c>
      <c r="R4739" s="32">
        <v>45636.0</v>
      </c>
      <c r="S4739" s="32">
        <v>43790.0</v>
      </c>
      <c r="T4739" s="29"/>
      <c r="U4739" s="33"/>
      <c r="V4739" s="1"/>
    </row>
    <row r="4740" ht="24.0" customHeight="1">
      <c r="A4740" s="1"/>
      <c r="B4740" s="24" t="str">
        <f>HYPERLINK("https://www.compass.com/listing/340-west-19th-street-unit-22-manhattan-ny-10011/29509510376794497/view?agent_id=610d3f3370540700019b0833","340 West 19th Street, Unit 22")</f>
        <v>340 West 19th Street, Unit 22</v>
      </c>
      <c r="C4740" s="25" t="s">
        <v>370</v>
      </c>
      <c r="D4740" s="26" t="s">
        <v>23</v>
      </c>
      <c r="E4740" s="27" t="str">
        <f>HYPERLINK("https://www.compass.com/building/340-w-19th-st-manhattan-ny-10011/281909205378554757/","340 W 19th St")</f>
        <v>340 W 19th St</v>
      </c>
      <c r="F4740" s="25" t="s">
        <v>27</v>
      </c>
      <c r="G4740" s="28">
        <v>975000.0</v>
      </c>
      <c r="H4740" s="28">
        <v>1147.0</v>
      </c>
      <c r="I4740" s="28">
        <v>1342.0</v>
      </c>
      <c r="J4740" s="29"/>
      <c r="K4740" s="25" t="s">
        <v>25</v>
      </c>
      <c r="L4740" s="26">
        <v>5.0</v>
      </c>
      <c r="M4740" s="26">
        <v>2.0</v>
      </c>
      <c r="N4740" s="26">
        <v>1.0</v>
      </c>
      <c r="O4740" s="26">
        <v>0.0</v>
      </c>
      <c r="P4740" s="26">
        <v>850.0</v>
      </c>
      <c r="Q4740" s="35">
        <v>300.0</v>
      </c>
      <c r="R4740" s="32">
        <v>45636.0</v>
      </c>
      <c r="S4740" s="32">
        <v>43215.0</v>
      </c>
      <c r="T4740" s="29"/>
      <c r="U4740" s="33"/>
      <c r="V4740" s="1"/>
    </row>
    <row r="4741" ht="24.0" customHeight="1">
      <c r="A4741" s="1"/>
      <c r="B4741" s="24" t="str">
        <f>HYPERLINK("https://www.compass.com/listing/125-west-22nd-street-unit-6c-manhattan-ny-10011/29373445879913297/view?agent_id=610d3f3370540700019b0833","125 West 22nd Street, Unit 6C")</f>
        <v>125 West 22nd Street, Unit 6C</v>
      </c>
      <c r="C4741" s="25" t="s">
        <v>370</v>
      </c>
      <c r="D4741" s="26" t="s">
        <v>23</v>
      </c>
      <c r="E4741" s="27" t="str">
        <f>HYPERLINK("https://www.compass.com/building/verde-chelsea-manhattan-ny/281904880539420757/","Verde Chelsea")</f>
        <v>Verde Chelsea</v>
      </c>
      <c r="F4741" s="25" t="s">
        <v>27</v>
      </c>
      <c r="G4741" s="28">
        <v>1795000.0</v>
      </c>
      <c r="H4741" s="28">
        <v>1329.0</v>
      </c>
      <c r="I4741" s="28">
        <v>1433.0</v>
      </c>
      <c r="J4741" s="28">
        <v>1320.0</v>
      </c>
      <c r="K4741" s="25" t="s">
        <v>28</v>
      </c>
      <c r="L4741" s="26">
        <v>5.0</v>
      </c>
      <c r="M4741" s="26">
        <v>2.0</v>
      </c>
      <c r="N4741" s="26">
        <v>0.0</v>
      </c>
      <c r="O4741" s="26">
        <v>0.0</v>
      </c>
      <c r="P4741" s="34">
        <v>1351.0</v>
      </c>
      <c r="Q4741" s="35">
        <v>0.0</v>
      </c>
      <c r="R4741" s="32">
        <v>44581.0</v>
      </c>
      <c r="S4741" s="32">
        <v>41538.0</v>
      </c>
      <c r="T4741" s="29"/>
      <c r="U4741" s="33"/>
      <c r="V4741" s="1"/>
    </row>
    <row r="4742" ht="24.0" customHeight="1">
      <c r="A4742" s="1"/>
      <c r="B4742" s="24" t="str">
        <f>HYPERLINK("https://www.compass.com/listing/78-bedford-street-unit-5c-manhattan-ny-10014/1688281179101980873/view?agent_id=610d3f3370540700019b0833","78 Bedford Street, Unit 5C")</f>
        <v>78 Bedford Street, Unit 5C</v>
      </c>
      <c r="C4742" s="25" t="s">
        <v>364</v>
      </c>
      <c r="D4742" s="26" t="s">
        <v>23</v>
      </c>
      <c r="E4742" s="27" t="str">
        <f>HYPERLINK("https://www.compass.com/building/78-bedford-st-manhattan-ny-10014/292831124927861573/","78 Bedford St")</f>
        <v>78 Bedford St</v>
      </c>
      <c r="F4742" s="25" t="s">
        <v>26</v>
      </c>
      <c r="G4742" s="28">
        <v>1695000.0</v>
      </c>
      <c r="H4742" s="28">
        <v>3027.0</v>
      </c>
      <c r="I4742" s="28">
        <v>1184.0</v>
      </c>
      <c r="J4742" s="28">
        <v>7884.0</v>
      </c>
      <c r="K4742" s="25" t="s">
        <v>28</v>
      </c>
      <c r="L4742" s="26">
        <v>4.0</v>
      </c>
      <c r="M4742" s="26">
        <v>2.0</v>
      </c>
      <c r="N4742" s="26">
        <v>1.0</v>
      </c>
      <c r="O4742" s="26">
        <v>0.0</v>
      </c>
      <c r="P4742" s="26">
        <v>560.0</v>
      </c>
      <c r="Q4742" s="35">
        <v>53.0</v>
      </c>
      <c r="R4742" s="32">
        <v>45745.0</v>
      </c>
      <c r="S4742" s="32">
        <v>45610.0</v>
      </c>
      <c r="T4742" s="29"/>
      <c r="U4742" s="33"/>
      <c r="V4742" s="1"/>
    </row>
    <row r="4743" ht="24.0" customHeight="1">
      <c r="A4743" s="1"/>
      <c r="B4743" s="24" t="str">
        <f>HYPERLINK("https://www.compass.com/listing/124-east-13th-street-unit-3-manhattan-ny-10003/29364599715287665/view?agent_id=610d3f3370540700019b0833","124 East 13th Street, Unit 3")</f>
        <v>124 East 13th Street, Unit 3</v>
      </c>
      <c r="C4743" s="25" t="s">
        <v>364</v>
      </c>
      <c r="D4743" s="26" t="s">
        <v>23</v>
      </c>
      <c r="E4743" s="27" t="str">
        <f>HYPERLINK("https://www.compass.com/building/124-e-13th-st-manhattan-ny-10003/281889273307728197/","124 E 13th St")</f>
        <v>124 E 13th St</v>
      </c>
      <c r="F4743" s="25" t="s">
        <v>43</v>
      </c>
      <c r="G4743" s="28">
        <v>2400000.0</v>
      </c>
      <c r="H4743" s="28">
        <v>1200.0</v>
      </c>
      <c r="I4743" s="28">
        <v>3019.0</v>
      </c>
      <c r="J4743" s="28">
        <v>22872.0</v>
      </c>
      <c r="K4743" s="25" t="s">
        <v>28</v>
      </c>
      <c r="L4743" s="26">
        <v>4.0</v>
      </c>
      <c r="M4743" s="26">
        <v>2.0</v>
      </c>
      <c r="N4743" s="26">
        <v>0.0</v>
      </c>
      <c r="O4743" s="26">
        <v>0.0</v>
      </c>
      <c r="P4743" s="34">
        <v>2000.0</v>
      </c>
      <c r="Q4743" s="35">
        <v>163.0</v>
      </c>
      <c r="R4743" s="32">
        <v>44581.0</v>
      </c>
      <c r="S4743" s="32">
        <v>41185.0</v>
      </c>
      <c r="T4743" s="29"/>
      <c r="U4743" s="33"/>
      <c r="V4743" s="1"/>
    </row>
    <row r="4744" ht="24.0" customHeight="1">
      <c r="A4744" s="1"/>
      <c r="B4744" s="24" t="str">
        <f>HYPERLINK("https://www.compass.com/listing/315-west-23rd-street-unit-4a-manhattan-ny-10011/333107430007079537/view?agent_id=610d3f3370540700019b0833","315 West 23rd Street, Unit 4A")</f>
        <v>315 West 23rd Street, Unit 4A</v>
      </c>
      <c r="C4744" s="25" t="s">
        <v>370</v>
      </c>
      <c r="D4744" s="26" t="s">
        <v>23</v>
      </c>
      <c r="E4744" s="27" t="str">
        <f>HYPERLINK("https://www.compass.com/building/the-broadmoor-manhattan-ny/281908624064796965/","The Broadmoor")</f>
        <v>The Broadmoor</v>
      </c>
      <c r="F4744" s="25" t="s">
        <v>27</v>
      </c>
      <c r="G4744" s="28">
        <v>1425000.0</v>
      </c>
      <c r="H4744" s="28">
        <v>1188.0</v>
      </c>
      <c r="I4744" s="28">
        <v>1818.0</v>
      </c>
      <c r="J4744" s="29"/>
      <c r="K4744" s="25" t="s">
        <v>25</v>
      </c>
      <c r="L4744" s="26">
        <v>4.0</v>
      </c>
      <c r="M4744" s="26">
        <v>2.0</v>
      </c>
      <c r="N4744" s="26">
        <v>1.0</v>
      </c>
      <c r="O4744" s="26">
        <v>0.0</v>
      </c>
      <c r="P4744" s="34">
        <v>1200.0</v>
      </c>
      <c r="Q4744" s="35">
        <v>252.0</v>
      </c>
      <c r="R4744" s="32">
        <v>45636.0</v>
      </c>
      <c r="S4744" s="32">
        <v>43710.0</v>
      </c>
      <c r="T4744" s="29"/>
      <c r="U4744" s="33"/>
      <c r="V4744" s="1"/>
    </row>
    <row r="4745" ht="24.0" customHeight="1">
      <c r="A4745" s="1"/>
      <c r="B4745" s="24" t="str">
        <f>HYPERLINK("https://www.compass.com/listing/206-1st-avenue-unit-3b-manhattan-ny-10009/822515551497104393/view?agent_id=610d3f3370540700019b0833","206 1st Avenue, Unit 3B")</f>
        <v>206 1st Avenue, Unit 3B</v>
      </c>
      <c r="C4745" s="25" t="s">
        <v>364</v>
      </c>
      <c r="D4745" s="26" t="s">
        <v>23</v>
      </c>
      <c r="E4745" s="27" t="str">
        <f>HYPERLINK("https://www.compass.com/building/206-1st-ave-manhattan-ny-10009/281898545982747845/","206 1st Ave")</f>
        <v>206 1st Ave</v>
      </c>
      <c r="F4745" s="25" t="s">
        <v>24</v>
      </c>
      <c r="G4745" s="28">
        <v>1099000.0</v>
      </c>
      <c r="H4745" s="28">
        <v>955.0</v>
      </c>
      <c r="I4745" s="28">
        <v>1342.0</v>
      </c>
      <c r="J4745" s="28">
        <v>10512.0</v>
      </c>
      <c r="K4745" s="25" t="s">
        <v>28</v>
      </c>
      <c r="L4745" s="26">
        <v>4.0</v>
      </c>
      <c r="M4745" s="26">
        <v>2.0</v>
      </c>
      <c r="N4745" s="26">
        <v>0.0</v>
      </c>
      <c r="O4745" s="26">
        <v>0.0</v>
      </c>
      <c r="P4745" s="34">
        <v>1151.0</v>
      </c>
      <c r="Q4745" s="31"/>
      <c r="R4745" s="32">
        <v>44581.0</v>
      </c>
      <c r="S4745" s="33"/>
      <c r="T4745" s="29"/>
      <c r="U4745" s="33"/>
      <c r="V4745" s="1"/>
    </row>
    <row r="4746" ht="24.0" customHeight="1">
      <c r="A4746" s="1"/>
      <c r="B4746" s="24" t="str">
        <f>HYPERLINK("https://www.compass.com/listing/467-pacific-street-unit-18-brooklyn-ny-11217/1820351860917275601/view?agent_id=610d3f3370540700019b0833","467 Pacific Street, Unit 18")</f>
        <v>467 Pacific Street, Unit 18</v>
      </c>
      <c r="C4746" s="25" t="s">
        <v>364</v>
      </c>
      <c r="D4746" s="26" t="s">
        <v>23</v>
      </c>
      <c r="E4746" s="27" t="str">
        <f>HYPERLINK("https://www.compass.com/building/467-pacific-st-brooklyn-ny-11217/282501770767316485/","467 Pacific St")</f>
        <v>467 Pacific St</v>
      </c>
      <c r="F4746" s="25" t="s">
        <v>102</v>
      </c>
      <c r="G4746" s="28">
        <v>895000.0</v>
      </c>
      <c r="H4746" s="29"/>
      <c r="I4746" s="28">
        <v>1157.0</v>
      </c>
      <c r="J4746" s="28">
        <v>0.0</v>
      </c>
      <c r="K4746" s="25" t="s">
        <v>25</v>
      </c>
      <c r="L4746" s="26">
        <v>5.0</v>
      </c>
      <c r="M4746" s="26">
        <v>2.0</v>
      </c>
      <c r="N4746" s="26">
        <v>1.0</v>
      </c>
      <c r="O4746" s="26">
        <v>0.0</v>
      </c>
      <c r="P4746" s="30"/>
      <c r="Q4746" s="35">
        <v>100.0</v>
      </c>
      <c r="R4746" s="32">
        <v>45863.0</v>
      </c>
      <c r="S4746" s="32">
        <v>45763.0</v>
      </c>
      <c r="T4746" s="29"/>
      <c r="U4746" s="33"/>
      <c r="V4746" s="1"/>
    </row>
    <row r="4747" ht="24.0" customHeight="1">
      <c r="A4747" s="1"/>
      <c r="B4747" s="24" t="str">
        <f>HYPERLINK("https://www.compass.com/listing/231-west-21st-street-unit-1a-manhattan-ny-10011/1838939921113794585/view?agent_id=610d3f3370540700019b0833","231 West 21st Street, Unit 1A")</f>
        <v>231 West 21st Street, Unit 1A</v>
      </c>
      <c r="C4747" s="25" t="s">
        <v>364</v>
      </c>
      <c r="D4747" s="26" t="s">
        <v>23</v>
      </c>
      <c r="E4747" s="27" t="str">
        <f>HYPERLINK("https://www.compass.com/building/231-w-21st-st-manhattan-ny-10011/282064131048114917/","231 W 21st St")</f>
        <v>231 W 21st St</v>
      </c>
      <c r="F4747" s="25" t="s">
        <v>27</v>
      </c>
      <c r="G4747" s="28">
        <v>999000.0</v>
      </c>
      <c r="H4747" s="29"/>
      <c r="I4747" s="28">
        <v>1178.0</v>
      </c>
      <c r="J4747" s="29"/>
      <c r="K4747" s="25" t="s">
        <v>25</v>
      </c>
      <c r="L4747" s="26">
        <v>4.0</v>
      </c>
      <c r="M4747" s="26">
        <v>2.0</v>
      </c>
      <c r="N4747" s="26">
        <v>1.0</v>
      </c>
      <c r="O4747" s="26">
        <v>0.0</v>
      </c>
      <c r="P4747" s="30"/>
      <c r="Q4747" s="35">
        <v>185.0</v>
      </c>
      <c r="R4747" s="32">
        <v>45636.0</v>
      </c>
      <c r="S4747" s="32">
        <v>43623.0</v>
      </c>
      <c r="T4747" s="29"/>
      <c r="U4747" s="33"/>
      <c r="V4747" s="1"/>
    </row>
    <row r="4748" ht="24.0" customHeight="1">
      <c r="A4748" s="1"/>
      <c r="B4748" s="24" t="str">
        <f>HYPERLINK("https://www.compass.com/listing/30-park-place-unit-58d-manhattan-ny-10007/70926907062920065/view?agent_id=610d3f3370540700019b0833","30 Park Place, Unit 58D")</f>
        <v>30 Park Place, Unit 58D</v>
      </c>
      <c r="C4748" s="25" t="s">
        <v>370</v>
      </c>
      <c r="D4748" s="26" t="s">
        <v>23</v>
      </c>
      <c r="E4748" s="27" t="str">
        <f>HYPERLINK("https://www.compass.com/building/30-park-pl-manhattan-ny-10007/281896912905317605/","30 Park Pl")</f>
        <v>30 Park Pl</v>
      </c>
      <c r="F4748" s="25" t="s">
        <v>60</v>
      </c>
      <c r="G4748" s="28">
        <v>4995000.0</v>
      </c>
      <c r="H4748" s="28">
        <v>3248.0</v>
      </c>
      <c r="I4748" s="28">
        <v>4479.0</v>
      </c>
      <c r="J4748" s="28">
        <v>38604.0</v>
      </c>
      <c r="K4748" s="25" t="s">
        <v>28</v>
      </c>
      <c r="L4748" s="26">
        <v>4.0</v>
      </c>
      <c r="M4748" s="26">
        <v>2.0</v>
      </c>
      <c r="N4748" s="26">
        <v>0.0</v>
      </c>
      <c r="O4748" s="26">
        <v>0.0</v>
      </c>
      <c r="P4748" s="34">
        <v>1538.0</v>
      </c>
      <c r="Q4748" s="35">
        <v>170.0</v>
      </c>
      <c r="R4748" s="32">
        <v>45636.0</v>
      </c>
      <c r="S4748" s="32">
        <v>42838.0</v>
      </c>
      <c r="T4748" s="29"/>
      <c r="U4748" s="33"/>
      <c r="V4748" s="1"/>
    </row>
    <row r="4749" ht="24.0" customHeight="1">
      <c r="A4749" s="1"/>
      <c r="B4749" s="24" t="str">
        <f>HYPERLINK("https://www.compass.com/listing/165-west-18th-street-unit-5c-manhattan-ny-10011/921909774890737801/view?agent_id=610d3f3370540700019b0833","165 West 18th Street, Unit 5C")</f>
        <v>165 West 18th Street, Unit 5C</v>
      </c>
      <c r="C4749" s="25" t="s">
        <v>370</v>
      </c>
      <c r="D4749" s="26" t="s">
        <v>23</v>
      </c>
      <c r="E4749" s="27" t="str">
        <f>HYPERLINK("https://www.compass.com/building/slate-condominiums-manhattan-ny/515114565977505805/","Slate Condominiums")</f>
        <v>Slate Condominiums</v>
      </c>
      <c r="F4749" s="25" t="s">
        <v>27</v>
      </c>
      <c r="G4749" s="28">
        <v>1450000.0</v>
      </c>
      <c r="H4749" s="28">
        <v>1204.0</v>
      </c>
      <c r="I4749" s="28">
        <v>1747.0</v>
      </c>
      <c r="J4749" s="28">
        <v>2592.0</v>
      </c>
      <c r="K4749" s="25" t="s">
        <v>28</v>
      </c>
      <c r="L4749" s="26">
        <v>4.0</v>
      </c>
      <c r="M4749" s="26">
        <v>2.0</v>
      </c>
      <c r="N4749" s="26">
        <v>0.0</v>
      </c>
      <c r="O4749" s="26">
        <v>0.0</v>
      </c>
      <c r="P4749" s="34">
        <v>1204.0</v>
      </c>
      <c r="Q4749" s="35">
        <v>0.0</v>
      </c>
      <c r="R4749" s="32">
        <v>44581.0</v>
      </c>
      <c r="S4749" s="32">
        <v>41538.0</v>
      </c>
      <c r="T4749" s="29"/>
      <c r="U4749" s="33"/>
      <c r="V4749" s="1"/>
    </row>
    <row r="4750" ht="24.0" customHeight="1">
      <c r="A4750" s="1"/>
      <c r="B4750" s="24" t="str">
        <f>HYPERLINK("https://www.compass.com/listing/450-west-17th-street-unit-1003-manhattan-ny-10011/70924691832845201/view?agent_id=610d3f3370540700019b0833","450 West 17th Street, Unit 1003")</f>
        <v>450 West 17th Street, Unit 1003</v>
      </c>
      <c r="C4750" s="25" t="s">
        <v>364</v>
      </c>
      <c r="D4750" s="26" t="s">
        <v>23</v>
      </c>
      <c r="E4750" s="27" t="str">
        <f>HYPERLINK("https://www.compass.com/building/the-caledonia-manhattan-ny/281910674349645621/","The Caledonia")</f>
        <v>The Caledonia</v>
      </c>
      <c r="F4750" s="25" t="s">
        <v>27</v>
      </c>
      <c r="G4750" s="28">
        <v>2395000.0</v>
      </c>
      <c r="H4750" s="28">
        <v>2526.0</v>
      </c>
      <c r="I4750" s="28">
        <v>1745.0</v>
      </c>
      <c r="J4750" s="28">
        <v>8088.0</v>
      </c>
      <c r="K4750" s="25" t="s">
        <v>28</v>
      </c>
      <c r="L4750" s="26">
        <v>4.0</v>
      </c>
      <c r="M4750" s="26">
        <v>2.0</v>
      </c>
      <c r="N4750" s="26">
        <v>0.0</v>
      </c>
      <c r="O4750" s="26">
        <v>0.0</v>
      </c>
      <c r="P4750" s="26">
        <v>948.0</v>
      </c>
      <c r="Q4750" s="35">
        <v>451.0</v>
      </c>
      <c r="R4750" s="32">
        <v>45636.0</v>
      </c>
      <c r="S4750" s="32">
        <v>42454.0</v>
      </c>
      <c r="T4750" s="29"/>
      <c r="U4750" s="33"/>
      <c r="V4750" s="1"/>
    </row>
    <row r="4751" ht="24.0" customHeight="1">
      <c r="A4751" s="1"/>
      <c r="B4751" s="24" t="str">
        <f>HYPERLINK("https://www.compass.com/listing/151-west-17th-street-unit-5h-manhattan-ny-10011/29372919402514705/view?agent_id=610d3f3370540700019b0833","151 West 17th Street, Unit 5H")</f>
        <v>151 West 17th Street, Unit 5H</v>
      </c>
      <c r="C4751" s="25" t="s">
        <v>370</v>
      </c>
      <c r="D4751" s="26" t="s">
        <v>23</v>
      </c>
      <c r="E4751" s="27" t="str">
        <f>HYPERLINK("https://www.compass.com/building/the-campiello-manhattan-ny/281905672801504229/","The Campiello")</f>
        <v>The Campiello</v>
      </c>
      <c r="F4751" s="25" t="s">
        <v>27</v>
      </c>
      <c r="G4751" s="28">
        <v>1725000.0</v>
      </c>
      <c r="H4751" s="28">
        <v>1037.0</v>
      </c>
      <c r="I4751" s="28">
        <v>2319.0</v>
      </c>
      <c r="J4751" s="28">
        <v>11616.0</v>
      </c>
      <c r="K4751" s="25" t="s">
        <v>28</v>
      </c>
      <c r="L4751" s="26">
        <v>5.0</v>
      </c>
      <c r="M4751" s="26">
        <v>2.0</v>
      </c>
      <c r="N4751" s="26">
        <v>0.0</v>
      </c>
      <c r="O4751" s="26">
        <v>0.0</v>
      </c>
      <c r="P4751" s="34">
        <v>1663.0</v>
      </c>
      <c r="Q4751" s="35">
        <v>0.0</v>
      </c>
      <c r="R4751" s="32">
        <v>44581.0</v>
      </c>
      <c r="S4751" s="32">
        <v>41538.0</v>
      </c>
      <c r="T4751" s="29"/>
      <c r="U4751" s="33"/>
      <c r="V4751" s="1"/>
    </row>
    <row r="4752" ht="24.0" customHeight="1">
      <c r="A4752" s="1"/>
      <c r="B4752" s="24" t="str">
        <f>HYPERLINK("https://www.compass.com/listing/121-east-23rd-street-unit-7-manhattan-ny-10010/4852326051314940801/view?agent_id=610d3f3370540700019b0833","121 East 23rd Street, Unit 7")</f>
        <v>121 East 23rd Street, Unit 7</v>
      </c>
      <c r="C4752" s="25" t="s">
        <v>364</v>
      </c>
      <c r="D4752" s="26" t="s">
        <v>23</v>
      </c>
      <c r="E4752" s="27" t="str">
        <f>HYPERLINK("https://www.compass.com/building/crossing-23rd-manhattan-ny/281901772048448549/","Crossing 23rd")</f>
        <v>Crossing 23rd</v>
      </c>
      <c r="F4752" s="25" t="s">
        <v>115</v>
      </c>
      <c r="G4752" s="28">
        <v>1849999.0</v>
      </c>
      <c r="H4752" s="28">
        <v>1544.0</v>
      </c>
      <c r="I4752" s="28">
        <v>2682.0</v>
      </c>
      <c r="J4752" s="28">
        <v>13056.0</v>
      </c>
      <c r="K4752" s="25" t="s">
        <v>28</v>
      </c>
      <c r="L4752" s="26">
        <v>5.0</v>
      </c>
      <c r="M4752" s="26">
        <v>2.0</v>
      </c>
      <c r="N4752" s="26">
        <v>0.0</v>
      </c>
      <c r="O4752" s="26">
        <v>0.0</v>
      </c>
      <c r="P4752" s="34">
        <v>1198.0</v>
      </c>
      <c r="Q4752" s="35">
        <v>169.0</v>
      </c>
      <c r="R4752" s="32">
        <v>45636.0</v>
      </c>
      <c r="S4752" s="32">
        <v>42305.0</v>
      </c>
      <c r="T4752" s="29"/>
      <c r="U4752" s="33"/>
      <c r="V4752" s="1"/>
    </row>
    <row r="4753" ht="24.0" customHeight="1">
      <c r="A4753" s="1"/>
      <c r="B4753" s="24" t="str">
        <f>HYPERLINK("https://www.compass.com/listing/399-east-8th-street-unit-5d-manhattan-ny-10009/4852269580774554497/view?agent_id=610d3f3370540700019b0833","399 East 8th Street, Unit 5D")</f>
        <v>399 East 8th Street, Unit 5D</v>
      </c>
      <c r="C4753" s="25" t="s">
        <v>364</v>
      </c>
      <c r="D4753" s="26" t="s">
        <v>23</v>
      </c>
      <c r="E4753" s="27" t="str">
        <f t="shared" ref="E4753:E4755" si="211">HYPERLINK("https://www.compass.com/building/three99-on-eighth-manhattan-ny/281899849236886213/","THREE99 On Eighth")</f>
        <v>THREE99 On Eighth</v>
      </c>
      <c r="F4753" s="25" t="s">
        <v>24</v>
      </c>
      <c r="G4753" s="28">
        <v>1125000.0</v>
      </c>
      <c r="H4753" s="28">
        <v>1535.0</v>
      </c>
      <c r="I4753" s="28">
        <v>1549.0</v>
      </c>
      <c r="J4753" s="28">
        <v>10731.0</v>
      </c>
      <c r="K4753" s="25" t="s">
        <v>28</v>
      </c>
      <c r="L4753" s="26">
        <v>4.0</v>
      </c>
      <c r="M4753" s="26">
        <v>2.0</v>
      </c>
      <c r="N4753" s="26">
        <v>1.0</v>
      </c>
      <c r="O4753" s="26">
        <v>0.0</v>
      </c>
      <c r="P4753" s="26">
        <v>733.0</v>
      </c>
      <c r="Q4753" s="35">
        <v>166.0</v>
      </c>
      <c r="R4753" s="32">
        <v>44581.0</v>
      </c>
      <c r="S4753" s="32">
        <v>42697.0</v>
      </c>
      <c r="T4753" s="29"/>
      <c r="U4753" s="33"/>
      <c r="V4753" s="1"/>
    </row>
    <row r="4754" ht="24.0" customHeight="1">
      <c r="A4754" s="1"/>
      <c r="B4754" s="24" t="str">
        <f>HYPERLINK("https://www.compass.com/listing/399-east-8th-street-unit-2d-manhattan-ny-10009/4852279428379583521/view?agent_id=610d3f3370540700019b0833","399 East 8th Street, Unit 2D")</f>
        <v>399 East 8th Street, Unit 2D</v>
      </c>
      <c r="C4754" s="25" t="s">
        <v>364</v>
      </c>
      <c r="D4754" s="26" t="s">
        <v>23</v>
      </c>
      <c r="E4754" s="27" t="str">
        <f t="shared" si="211"/>
        <v>THREE99 On Eighth</v>
      </c>
      <c r="F4754" s="25" t="s">
        <v>24</v>
      </c>
      <c r="G4754" s="28">
        <v>1050000.0</v>
      </c>
      <c r="H4754" s="28">
        <v>1432.0</v>
      </c>
      <c r="I4754" s="28">
        <v>1477.0</v>
      </c>
      <c r="J4754" s="28">
        <v>10230.0</v>
      </c>
      <c r="K4754" s="25" t="s">
        <v>28</v>
      </c>
      <c r="L4754" s="26">
        <v>4.0</v>
      </c>
      <c r="M4754" s="26">
        <v>2.0</v>
      </c>
      <c r="N4754" s="26">
        <v>1.0</v>
      </c>
      <c r="O4754" s="26">
        <v>0.0</v>
      </c>
      <c r="P4754" s="26">
        <v>733.0</v>
      </c>
      <c r="Q4754" s="35">
        <v>368.0</v>
      </c>
      <c r="R4754" s="32">
        <v>45636.0</v>
      </c>
      <c r="S4754" s="32">
        <v>42523.0</v>
      </c>
      <c r="T4754" s="29"/>
      <c r="U4754" s="33"/>
      <c r="V4754" s="1"/>
    </row>
    <row r="4755" ht="24.0" customHeight="1">
      <c r="A4755" s="1"/>
      <c r="B4755" s="24" t="str">
        <f>HYPERLINK("https://www.compass.com/listing/399-east-8th-street-unit-3d-manhattan-ny-10009/5781050114501185/view?agent_id=610d3f3370540700019b0833","399 East 8th Street, Unit 3D")</f>
        <v>399 East 8th Street, Unit 3D</v>
      </c>
      <c r="C4755" s="25" t="s">
        <v>364</v>
      </c>
      <c r="D4755" s="26" t="s">
        <v>23</v>
      </c>
      <c r="E4755" s="27" t="str">
        <f t="shared" si="211"/>
        <v>THREE99 On Eighth</v>
      </c>
      <c r="F4755" s="25" t="s">
        <v>24</v>
      </c>
      <c r="G4755" s="28">
        <v>1080000.0</v>
      </c>
      <c r="H4755" s="28">
        <v>1473.0</v>
      </c>
      <c r="I4755" s="28">
        <v>2092.0</v>
      </c>
      <c r="J4755" s="28">
        <v>17405.0</v>
      </c>
      <c r="K4755" s="25" t="s">
        <v>28</v>
      </c>
      <c r="L4755" s="26">
        <v>4.0</v>
      </c>
      <c r="M4755" s="26">
        <v>2.0</v>
      </c>
      <c r="N4755" s="26">
        <v>1.0</v>
      </c>
      <c r="O4755" s="26">
        <v>0.0</v>
      </c>
      <c r="P4755" s="26">
        <v>733.0</v>
      </c>
      <c r="Q4755" s="35">
        <v>119.0</v>
      </c>
      <c r="R4755" s="32">
        <v>45636.0</v>
      </c>
      <c r="S4755" s="32">
        <v>42523.0</v>
      </c>
      <c r="T4755" s="29"/>
      <c r="U4755" s="33"/>
      <c r="V4755" s="1"/>
    </row>
    <row r="4756" ht="24.0" customHeight="1">
      <c r="A4756" s="1"/>
      <c r="B4756" s="24" t="str">
        <f>HYPERLINK("https://www.compass.com/listing/536-east-13th-street-unit-6f-manhattan-ny-10009/878584010771310401/view?agent_id=610d3f3370540700019b0833","536 East 13th Street, Unit 6F")</f>
        <v>536 East 13th Street, Unit 6F</v>
      </c>
      <c r="C4756" s="25" t="s">
        <v>364</v>
      </c>
      <c r="D4756" s="26" t="s">
        <v>23</v>
      </c>
      <c r="E4756" s="27" t="str">
        <f>HYPERLINK("https://www.compass.com/building/536-e-13th-st-manhattan-ny-10009/281900929068843109/","536 E 13th St")</f>
        <v>536 E 13th St</v>
      </c>
      <c r="F4756" s="25" t="s">
        <v>24</v>
      </c>
      <c r="G4756" s="28">
        <v>1738000.0</v>
      </c>
      <c r="H4756" s="28">
        <v>2094.0</v>
      </c>
      <c r="I4756" s="28">
        <v>3035.0</v>
      </c>
      <c r="J4756" s="28">
        <v>15300.0</v>
      </c>
      <c r="K4756" s="25" t="s">
        <v>28</v>
      </c>
      <c r="L4756" s="30"/>
      <c r="M4756" s="26">
        <v>2.0</v>
      </c>
      <c r="N4756" s="30"/>
      <c r="O4756" s="30"/>
      <c r="P4756" s="26">
        <v>830.0</v>
      </c>
      <c r="Q4756" s="35">
        <v>40.0</v>
      </c>
      <c r="R4756" s="32">
        <v>44505.0</v>
      </c>
      <c r="S4756" s="32">
        <v>44464.0</v>
      </c>
      <c r="T4756" s="29"/>
      <c r="U4756" s="33"/>
      <c r="V4756" s="1"/>
    </row>
    <row r="4757" ht="24.0" customHeight="1">
      <c r="A4757" s="1"/>
      <c r="B4757" s="24" t="str">
        <f>HYPERLINK("https://www.compass.com/listing/261-west-22nd-street-unit-20-manhattan-ny-10011/29372259823106625/view?agent_id=610d3f3370540700019b0833","261 West 22nd Street, Unit 20")</f>
        <v>261 West 22nd Street, Unit 20</v>
      </c>
      <c r="C4757" s="25" t="s">
        <v>370</v>
      </c>
      <c r="D4757" s="26" t="s">
        <v>23</v>
      </c>
      <c r="E4757" s="27" t="str">
        <f>HYPERLINK("https://www.compass.com/building/261-w-22nd-st-manhattan-ny-10011/281908158908093653/","261 W 22nd St")</f>
        <v>261 W 22nd St</v>
      </c>
      <c r="F4757" s="25" t="s">
        <v>27</v>
      </c>
      <c r="G4757" s="28">
        <v>899000.0</v>
      </c>
      <c r="H4757" s="28">
        <v>999.0</v>
      </c>
      <c r="I4757" s="28">
        <v>1000.0</v>
      </c>
      <c r="J4757" s="29"/>
      <c r="K4757" s="25" t="s">
        <v>25</v>
      </c>
      <c r="L4757" s="26">
        <v>4.0</v>
      </c>
      <c r="M4757" s="26">
        <v>2.0</v>
      </c>
      <c r="N4757" s="26">
        <v>0.0</v>
      </c>
      <c r="O4757" s="26">
        <v>0.0</v>
      </c>
      <c r="P4757" s="26">
        <v>900.0</v>
      </c>
      <c r="Q4757" s="35">
        <v>288.0</v>
      </c>
      <c r="R4757" s="32">
        <v>45636.0</v>
      </c>
      <c r="S4757" s="32">
        <v>41319.0</v>
      </c>
      <c r="T4757" s="29"/>
      <c r="U4757" s="33"/>
      <c r="V4757" s="1"/>
    </row>
    <row r="4758" ht="24.0" customHeight="1">
      <c r="A4758" s="1"/>
      <c r="B4758" s="24" t="str">
        <f>HYPERLINK("https://www.compass.com/listing/115-4th-avenue-unit-ph8i-manhattan-ny-10003/4852272260045617153/view?agent_id=610d3f3370540700019b0833","115 4th Avenue, Unit PH8I")</f>
        <v>115 4th Avenue, Unit PH8I</v>
      </c>
      <c r="C4758" s="25" t="s">
        <v>364</v>
      </c>
      <c r="D4758" s="26" t="s">
        <v>23</v>
      </c>
      <c r="E4758" s="27" t="str">
        <f>HYPERLINK("https://www.compass.com/building/the-petersfield-manhattan-ny/281889031103448549/","THE PETERSFIELD")</f>
        <v>THE PETERSFIELD</v>
      </c>
      <c r="F4758" s="25" t="s">
        <v>43</v>
      </c>
      <c r="G4758" s="28">
        <v>2995000.0</v>
      </c>
      <c r="H4758" s="28">
        <v>2139.0</v>
      </c>
      <c r="I4758" s="28">
        <v>2670.0</v>
      </c>
      <c r="J4758" s="28">
        <v>13776.0</v>
      </c>
      <c r="K4758" s="25" t="s">
        <v>28</v>
      </c>
      <c r="L4758" s="26">
        <v>5.0</v>
      </c>
      <c r="M4758" s="26">
        <v>2.0</v>
      </c>
      <c r="N4758" s="26">
        <v>0.0</v>
      </c>
      <c r="O4758" s="26">
        <v>0.0</v>
      </c>
      <c r="P4758" s="34">
        <v>1400.0</v>
      </c>
      <c r="Q4758" s="35">
        <v>130.0</v>
      </c>
      <c r="R4758" s="32">
        <v>45636.0</v>
      </c>
      <c r="S4758" s="32">
        <v>41761.0</v>
      </c>
      <c r="T4758" s="29"/>
      <c r="U4758" s="33"/>
      <c r="V4758" s="1"/>
    </row>
    <row r="4759" ht="24.0" customHeight="1">
      <c r="A4759" s="1"/>
      <c r="B4759" s="24" t="str">
        <f>HYPERLINK("https://www.compass.com/listing/254-park-place-unit-3c-brooklyn-ny-11238/365689575666944033/view?agent_id=610d3f3370540700019b0833","254 Park Place, Unit 3C")</f>
        <v>254 Park Place, Unit 3C</v>
      </c>
      <c r="C4759" s="25" t="s">
        <v>364</v>
      </c>
      <c r="D4759" s="26" t="s">
        <v>23</v>
      </c>
      <c r="E4759" s="27" t="str">
        <f>HYPERLINK("https://www.compass.com/building/254-park-pl-brooklyn-ny-11238/293417280816134501/","254 Park Pl")</f>
        <v>254 Park Pl</v>
      </c>
      <c r="F4759" s="25" t="s">
        <v>39</v>
      </c>
      <c r="G4759" s="28">
        <v>850000.0</v>
      </c>
      <c r="H4759" s="29"/>
      <c r="I4759" s="28">
        <v>1233.0</v>
      </c>
      <c r="J4759" s="29"/>
      <c r="K4759" s="25" t="s">
        <v>25</v>
      </c>
      <c r="L4759" s="26">
        <v>4.0</v>
      </c>
      <c r="M4759" s="26">
        <v>2.0</v>
      </c>
      <c r="N4759" s="26">
        <v>1.0</v>
      </c>
      <c r="O4759" s="26">
        <v>0.0</v>
      </c>
      <c r="P4759" s="30"/>
      <c r="Q4759" s="35">
        <v>109.0</v>
      </c>
      <c r="R4759" s="32">
        <v>45636.0</v>
      </c>
      <c r="S4759" s="32">
        <v>43753.0</v>
      </c>
      <c r="T4759" s="29"/>
      <c r="U4759" s="33"/>
      <c r="V4759" s="1"/>
    </row>
    <row r="4760" ht="24.0" customHeight="1">
      <c r="A4760" s="1"/>
      <c r="B4760" s="24" t="str">
        <f>HYPERLINK("https://www.compass.com/listing/3-sheridan-square-unit-6e-manhattan-ny-10014/803350939708517489/view?agent_id=610d3f3370540700019b0833","3 Sheridan Square, Unit 6E")</f>
        <v>3 Sheridan Square, Unit 6E</v>
      </c>
      <c r="C4760" s="25" t="s">
        <v>364</v>
      </c>
      <c r="D4760" s="26" t="s">
        <v>23</v>
      </c>
      <c r="E4760" s="27" t="str">
        <f>HYPERLINK("https://www.compass.com/building/3-sheridan-square-manhattan-ny-10014/294838762379017749/","3 Sheridan Square")</f>
        <v>3 Sheridan Square</v>
      </c>
      <c r="F4760" s="25" t="s">
        <v>26</v>
      </c>
      <c r="G4760" s="28">
        <v>1475000.0</v>
      </c>
      <c r="H4760" s="28">
        <v>1475.0</v>
      </c>
      <c r="I4760" s="28">
        <v>1537.0</v>
      </c>
      <c r="J4760" s="29"/>
      <c r="K4760" s="25" t="s">
        <v>25</v>
      </c>
      <c r="L4760" s="26">
        <v>4.0</v>
      </c>
      <c r="M4760" s="26">
        <v>2.0</v>
      </c>
      <c r="N4760" s="26">
        <v>1.0</v>
      </c>
      <c r="O4760" s="26">
        <v>0.0</v>
      </c>
      <c r="P4760" s="34">
        <v>1000.0</v>
      </c>
      <c r="Q4760" s="35">
        <v>1074.0</v>
      </c>
      <c r="R4760" s="32">
        <v>44581.0</v>
      </c>
      <c r="S4760" s="32">
        <v>41827.0</v>
      </c>
      <c r="T4760" s="29"/>
      <c r="U4760" s="33"/>
      <c r="V4760" s="1"/>
    </row>
    <row r="4761" ht="24.0" customHeight="1">
      <c r="A4761" s="1"/>
      <c r="B4761" s="24" t="str">
        <f>HYPERLINK("https://www.compass.com/listing/19-dennett-place-brooklyn-ny-11231/29463405354045057/view?agent_id=610d3f3370540700019b0833","19 Dennett Place")</f>
        <v>19 Dennett Place</v>
      </c>
      <c r="C4761" s="25" t="s">
        <v>364</v>
      </c>
      <c r="D4761" s="26" t="s">
        <v>23</v>
      </c>
      <c r="E4761" s="27" t="str">
        <f>HYPERLINK("https://www.compass.com/building/19-dennett-pl-brooklyn-ny-11231/282446540415441589/","19 Dennett Pl")</f>
        <v>19 Dennett Pl</v>
      </c>
      <c r="F4761" s="25" t="s">
        <v>65</v>
      </c>
      <c r="G4761" s="28">
        <v>1595000.0</v>
      </c>
      <c r="H4761" s="29"/>
      <c r="I4761" s="28">
        <v>0.0</v>
      </c>
      <c r="J4761" s="29"/>
      <c r="K4761" s="25" t="s">
        <v>159</v>
      </c>
      <c r="L4761" s="26">
        <v>6.0</v>
      </c>
      <c r="M4761" s="26">
        <v>2.0</v>
      </c>
      <c r="N4761" s="26">
        <v>0.0</v>
      </c>
      <c r="O4761" s="26">
        <v>0.0</v>
      </c>
      <c r="P4761" s="30"/>
      <c r="Q4761" s="35">
        <v>49.0</v>
      </c>
      <c r="R4761" s="32">
        <v>45636.0</v>
      </c>
      <c r="S4761" s="32">
        <v>42260.0</v>
      </c>
      <c r="T4761" s="29"/>
      <c r="U4761" s="33"/>
      <c r="V4761" s="1"/>
    </row>
    <row r="4762" ht="24.0" customHeight="1">
      <c r="A4762" s="1"/>
      <c r="B4762" s="24" t="str">
        <f>HYPERLINK("https://www.compass.com/listing/132-east-19th-street-unit-7f-manhattan-ny-10003/29377779954969825/view?agent_id=610d3f3370540700019b0833","132 E 19th St, Unit 7F")</f>
        <v>132 E 19th St, Unit 7F</v>
      </c>
      <c r="C4762" s="25" t="s">
        <v>364</v>
      </c>
      <c r="D4762" s="26" t="s">
        <v>23</v>
      </c>
      <c r="E4762" s="27" t="str">
        <f>HYPERLINK("https://www.compass.com/building/132-e-19th-st-manhattan-ny-10003/281889564870578229/","132 E 19th St")</f>
        <v>132 E 19th St</v>
      </c>
      <c r="F4762" s="25" t="s">
        <v>48</v>
      </c>
      <c r="G4762" s="28">
        <v>999999.0</v>
      </c>
      <c r="H4762" s="29"/>
      <c r="I4762" s="28">
        <v>1228.0</v>
      </c>
      <c r="J4762" s="29"/>
      <c r="K4762" s="25" t="s">
        <v>25</v>
      </c>
      <c r="L4762" s="26">
        <v>4.0</v>
      </c>
      <c r="M4762" s="26">
        <v>2.0</v>
      </c>
      <c r="N4762" s="30"/>
      <c r="O4762" s="30"/>
      <c r="P4762" s="30"/>
      <c r="Q4762" s="35">
        <v>984.0</v>
      </c>
      <c r="R4762" s="32">
        <v>42475.0</v>
      </c>
      <c r="S4762" s="32">
        <v>37795.0</v>
      </c>
      <c r="T4762" s="29"/>
      <c r="U4762" s="33"/>
      <c r="V4762" s="1"/>
    </row>
    <row r="4763" ht="24.0" customHeight="1">
      <c r="A4763" s="1"/>
      <c r="B4763" s="24" t="str">
        <f>HYPERLINK("https://www.compass.com/listing/146-chambers-street-unit-5-manhattan-ny-10007/1838974619089132793/view?agent_id=610d3f3370540700019b0833","146 Chambers Street, Unit 5")</f>
        <v>146 Chambers Street, Unit 5</v>
      </c>
      <c r="C4763" s="25" t="s">
        <v>364</v>
      </c>
      <c r="D4763" s="26" t="s">
        <v>23</v>
      </c>
      <c r="E4763" s="27" t="str">
        <f>HYPERLINK("https://www.compass.com/building/146-chambers-st-manhattan-ny-10007/281896684215084613/","146 Chambers St")</f>
        <v>146 Chambers St</v>
      </c>
      <c r="F4763" s="25" t="s">
        <v>60</v>
      </c>
      <c r="G4763" s="28">
        <v>2788000.0</v>
      </c>
      <c r="H4763" s="28">
        <v>1775.0</v>
      </c>
      <c r="I4763" s="28">
        <v>2945.0</v>
      </c>
      <c r="J4763" s="28">
        <v>11556.0</v>
      </c>
      <c r="K4763" s="25" t="s">
        <v>28</v>
      </c>
      <c r="L4763" s="26">
        <v>4.0</v>
      </c>
      <c r="M4763" s="26">
        <v>2.0</v>
      </c>
      <c r="N4763" s="26">
        <v>0.0</v>
      </c>
      <c r="O4763" s="26">
        <v>0.0</v>
      </c>
      <c r="P4763" s="34">
        <v>1571.0</v>
      </c>
      <c r="Q4763" s="35">
        <v>260.0</v>
      </c>
      <c r="R4763" s="32">
        <v>45636.0</v>
      </c>
      <c r="S4763" s="32">
        <v>42664.0</v>
      </c>
      <c r="T4763" s="29"/>
      <c r="U4763" s="33"/>
      <c r="V4763" s="1"/>
    </row>
    <row r="4764" ht="24.0" customHeight="1">
      <c r="A4764" s="1"/>
      <c r="B4764" s="24" t="str">
        <f>HYPERLINK("https://www.compass.com/listing/102-west-75th-street-unit-38-manhattan-ny-10023/1286843046997628657/view?agent_id=610d3f3370540700019b0833","102 West 75th Street, Unit 38")</f>
        <v>102 West 75th Street, Unit 38</v>
      </c>
      <c r="C4764" s="25" t="s">
        <v>364</v>
      </c>
      <c r="D4764" s="26" t="s">
        <v>23</v>
      </c>
      <c r="E4764" s="27" t="str">
        <f>HYPERLINK("https://www.compass.com/building/the-del-monte-manhattan-ny/292863689093101877/","The Del Monte")</f>
        <v>The Del Monte</v>
      </c>
      <c r="F4764" s="25" t="s">
        <v>29</v>
      </c>
      <c r="G4764" s="28">
        <v>855000.0</v>
      </c>
      <c r="H4764" s="29"/>
      <c r="I4764" s="28">
        <v>2235.0</v>
      </c>
      <c r="J4764" s="28">
        <v>0.0</v>
      </c>
      <c r="K4764" s="25" t="s">
        <v>25</v>
      </c>
      <c r="L4764" s="26">
        <v>4.0</v>
      </c>
      <c r="M4764" s="26">
        <v>2.0</v>
      </c>
      <c r="N4764" s="26">
        <v>1.0</v>
      </c>
      <c r="O4764" s="26">
        <v>0.0</v>
      </c>
      <c r="P4764" s="30"/>
      <c r="Q4764" s="35">
        <v>218.0</v>
      </c>
      <c r="R4764" s="32">
        <v>45636.0</v>
      </c>
      <c r="S4764" s="32">
        <v>45027.0</v>
      </c>
      <c r="T4764" s="29"/>
      <c r="U4764" s="33"/>
      <c r="V4764" s="1"/>
    </row>
    <row r="4765" ht="24.0" customHeight="1">
      <c r="A4765" s="1"/>
      <c r="B4765" s="24" t="str">
        <f>HYPERLINK("https://www.compass.com/listing/53-east-10th-street-unit-6-manhattan-ny-10003/4852329795914048977/view?agent_id=610d3f3370540700019b0833","53 East 10th Street, Unit 6")</f>
        <v>53 East 10th Street, Unit 6</v>
      </c>
      <c r="C4765" s="25" t="s">
        <v>370</v>
      </c>
      <c r="D4765" s="26" t="s">
        <v>23</v>
      </c>
      <c r="E4765" s="27" t="str">
        <f>HYPERLINK("https://www.compass.com/building/53-e-10th-st-manhattan-ny-10003/281893945301015445/","53 E 10th St")</f>
        <v>53 E 10th St</v>
      </c>
      <c r="F4765" s="25" t="s">
        <v>43</v>
      </c>
      <c r="G4765" s="28">
        <v>2300000.0</v>
      </c>
      <c r="H4765" s="28">
        <v>1022.0</v>
      </c>
      <c r="I4765" s="28">
        <v>1490.0</v>
      </c>
      <c r="J4765" s="29"/>
      <c r="K4765" s="25" t="s">
        <v>25</v>
      </c>
      <c r="L4765" s="26">
        <v>4.0</v>
      </c>
      <c r="M4765" s="26">
        <v>2.0</v>
      </c>
      <c r="N4765" s="26">
        <v>0.0</v>
      </c>
      <c r="O4765" s="26">
        <v>0.0</v>
      </c>
      <c r="P4765" s="34">
        <v>2250.0</v>
      </c>
      <c r="Q4765" s="35">
        <v>0.0</v>
      </c>
      <c r="R4765" s="32">
        <v>44581.0</v>
      </c>
      <c r="S4765" s="32">
        <v>41538.0</v>
      </c>
      <c r="T4765" s="29"/>
      <c r="U4765" s="33"/>
      <c r="V4765" s="1"/>
    </row>
    <row r="4766" ht="24.0" customHeight="1">
      <c r="A4766" s="1"/>
      <c r="B4766" s="24" t="str">
        <f>HYPERLINK("https://www.compass.com/listing/50-west-67th-street-unit-3f-manhattan-ny-10023/455726252926885585/view?agent_id=610d3f3370540700019b0833","50 West 67th Street, Unit 3F")</f>
        <v>50 West 67th Street, Unit 3F</v>
      </c>
      <c r="C4766" s="25" t="s">
        <v>370</v>
      </c>
      <c r="D4766" s="26" t="s">
        <v>23</v>
      </c>
      <c r="E4766" s="27" t="str">
        <f>HYPERLINK("https://www.compass.com/building/the-musicians-building-manhattan-ny/281960839760651365/","The Musician's Building")</f>
        <v>The Musician's Building</v>
      </c>
      <c r="F4766" s="25" t="s">
        <v>29</v>
      </c>
      <c r="G4766" s="28">
        <v>1425000.0</v>
      </c>
      <c r="H4766" s="29"/>
      <c r="I4766" s="28">
        <v>2448.0</v>
      </c>
      <c r="J4766" s="29"/>
      <c r="K4766" s="25" t="s">
        <v>25</v>
      </c>
      <c r="L4766" s="26">
        <v>4.0</v>
      </c>
      <c r="M4766" s="26">
        <v>2.0</v>
      </c>
      <c r="N4766" s="26">
        <v>1.0</v>
      </c>
      <c r="O4766" s="26">
        <v>0.0</v>
      </c>
      <c r="P4766" s="30"/>
      <c r="Q4766" s="35">
        <v>91.0</v>
      </c>
      <c r="R4766" s="32">
        <v>45636.0</v>
      </c>
      <c r="S4766" s="32">
        <v>43880.0</v>
      </c>
      <c r="T4766" s="29"/>
      <c r="U4766" s="33"/>
      <c r="V4766" s="1"/>
    </row>
    <row r="4767" ht="24.0" customHeight="1">
      <c r="A4767" s="1"/>
      <c r="B4767" s="24" t="str">
        <f>HYPERLINK("https://www.compass.com/listing/718-broadway-unit-7b-manhattan-ny-10003/1045259117374967865/view?agent_id=610d3f3370540700019b0833","718 Broadway, Unit 7B")</f>
        <v>718 Broadway, Unit 7B</v>
      </c>
      <c r="C4767" s="25" t="s">
        <v>370</v>
      </c>
      <c r="D4767" s="26" t="s">
        <v>23</v>
      </c>
      <c r="E4767" s="27" t="str">
        <f>HYPERLINK("https://www.compass.com/building/718-broadway-manhattan-ny-10003/281894678784122533/","718 Broadway")</f>
        <v>718 Broadway</v>
      </c>
      <c r="F4767" s="25" t="s">
        <v>57</v>
      </c>
      <c r="G4767" s="28">
        <v>2000000.0</v>
      </c>
      <c r="H4767" s="28">
        <v>1429.0</v>
      </c>
      <c r="I4767" s="28">
        <v>3072.0</v>
      </c>
      <c r="J4767" s="29"/>
      <c r="K4767" s="25" t="s">
        <v>25</v>
      </c>
      <c r="L4767" s="26">
        <v>5.0</v>
      </c>
      <c r="M4767" s="26">
        <v>2.0</v>
      </c>
      <c r="N4767" s="26">
        <v>1.0</v>
      </c>
      <c r="O4767" s="26">
        <v>0.0</v>
      </c>
      <c r="P4767" s="34">
        <v>1400.0</v>
      </c>
      <c r="Q4767" s="35">
        <v>198.0</v>
      </c>
      <c r="R4767" s="32">
        <v>45636.0</v>
      </c>
      <c r="S4767" s="32">
        <v>44693.0</v>
      </c>
      <c r="T4767" s="29"/>
      <c r="U4767" s="33"/>
      <c r="V4767" s="1"/>
    </row>
    <row r="4768" ht="24.0" customHeight="1">
      <c r="A4768" s="1"/>
      <c r="B4768" s="24" t="str">
        <f>HYPERLINK("https://www.compass.com/listing/201-west-21st-street-unit-8de-manhattan-ny-10011/4852306030240995537/view?agent_id=610d3f3370540700019b0833","201 West 21st Street, Unit 8DE")</f>
        <v>201 West 21st Street, Unit 8DE</v>
      </c>
      <c r="C4768" s="25" t="s">
        <v>364</v>
      </c>
      <c r="D4768" s="26" t="s">
        <v>23</v>
      </c>
      <c r="E4768" s="27" t="str">
        <f>HYPERLINK("https://www.compass.com/building/the-piermont-manhattan-ny/292801215824160437/","The Piermont")</f>
        <v>The Piermont</v>
      </c>
      <c r="F4768" s="25" t="s">
        <v>27</v>
      </c>
      <c r="G4768" s="28">
        <v>745000.0</v>
      </c>
      <c r="H4768" s="29"/>
      <c r="I4768" s="28">
        <v>1892.0</v>
      </c>
      <c r="J4768" s="29"/>
      <c r="K4768" s="25" t="s">
        <v>25</v>
      </c>
      <c r="L4768" s="26">
        <v>4.0</v>
      </c>
      <c r="M4768" s="26">
        <v>2.0</v>
      </c>
      <c r="N4768" s="26">
        <v>0.0</v>
      </c>
      <c r="O4768" s="26">
        <v>0.0</v>
      </c>
      <c r="P4768" s="30"/>
      <c r="Q4768" s="35">
        <v>222.0</v>
      </c>
      <c r="R4768" s="32">
        <v>44581.0</v>
      </c>
      <c r="S4768" s="32">
        <v>41486.0</v>
      </c>
      <c r="T4768" s="29"/>
      <c r="U4768" s="33"/>
      <c r="V4768" s="1"/>
    </row>
    <row r="4769" ht="24.0" customHeight="1">
      <c r="A4769" s="1"/>
      <c r="B4769" s="24" t="str">
        <f>HYPERLINK("https://www.compass.com/listing/254-park-avenue-south-unit-2p-manhattan-ny-10010/4792289697319640449/view?agent_id=610d3f3370540700019b0833","254 Park Avenue South, Unit 2P")</f>
        <v>254 Park Avenue South, Unit 2P</v>
      </c>
      <c r="C4769" s="25" t="s">
        <v>370</v>
      </c>
      <c r="D4769" s="26" t="s">
        <v>23</v>
      </c>
      <c r="E4769" s="27" t="str">
        <f>HYPERLINK("https://www.compass.com/building/254-pas-manhattan-ny/294848119879630069/","254 PAS")</f>
        <v>254 PAS</v>
      </c>
      <c r="F4769" s="25" t="s">
        <v>115</v>
      </c>
      <c r="G4769" s="28">
        <v>1750000.0</v>
      </c>
      <c r="H4769" s="28">
        <v>1417.0</v>
      </c>
      <c r="I4769" s="28">
        <v>2605.0</v>
      </c>
      <c r="J4769" s="28">
        <v>18360.0</v>
      </c>
      <c r="K4769" s="25" t="s">
        <v>28</v>
      </c>
      <c r="L4769" s="26">
        <v>4.0</v>
      </c>
      <c r="M4769" s="26">
        <v>2.0</v>
      </c>
      <c r="N4769" s="26">
        <v>0.0</v>
      </c>
      <c r="O4769" s="26">
        <v>0.0</v>
      </c>
      <c r="P4769" s="34">
        <v>1235.0</v>
      </c>
      <c r="Q4769" s="35">
        <v>167.0</v>
      </c>
      <c r="R4769" s="32">
        <v>45636.0</v>
      </c>
      <c r="S4769" s="32">
        <v>42968.0</v>
      </c>
      <c r="T4769" s="29"/>
      <c r="U4769" s="33"/>
      <c r="V4769" s="1"/>
    </row>
    <row r="4770" ht="24.0" customHeight="1">
      <c r="A4770" s="1"/>
      <c r="B4770" s="24" t="str">
        <f>HYPERLINK("https://www.compass.com/listing/315-st-johns-place-unit-1f-brooklyn-ny-11238/4703707105528409873/view?agent_id=610d3f3370540700019b0833","315 St Johns Pl, Unit 1F")</f>
        <v>315 St Johns Pl, Unit 1F</v>
      </c>
      <c r="C4770" s="25" t="s">
        <v>364</v>
      </c>
      <c r="D4770" s="26" t="s">
        <v>23</v>
      </c>
      <c r="E4770" s="27" t="str">
        <f>HYPERLINK("https://www.compass.com/building/the-belnord-brooklyn-ny/293530635606187941/","The Belnord")</f>
        <v>The Belnord</v>
      </c>
      <c r="F4770" s="25" t="s">
        <v>39</v>
      </c>
      <c r="G4770" s="28">
        <v>850000.0</v>
      </c>
      <c r="H4770" s="29"/>
      <c r="I4770" s="28">
        <v>603.0</v>
      </c>
      <c r="J4770" s="29"/>
      <c r="K4770" s="25" t="s">
        <v>25</v>
      </c>
      <c r="L4770" s="26">
        <v>5.0</v>
      </c>
      <c r="M4770" s="26">
        <v>2.0</v>
      </c>
      <c r="N4770" s="30"/>
      <c r="O4770" s="30"/>
      <c r="P4770" s="30"/>
      <c r="Q4770" s="35">
        <v>81.0</v>
      </c>
      <c r="R4770" s="32">
        <v>42477.0</v>
      </c>
      <c r="S4770" s="32">
        <v>40731.0</v>
      </c>
      <c r="T4770" s="29"/>
      <c r="U4770" s="33"/>
      <c r="V4770" s="1"/>
    </row>
    <row r="4771" ht="24.0" customHeight="1">
      <c r="A4771" s="1"/>
      <c r="B4771" s="24" t="str">
        <f>HYPERLINK("https://www.compass.com/listing/382-prospect-place-unit-4-brooklyn-ny-11238/70926574530157521/view?agent_id=610d3f3370540700019b0833","382 Prospect Place, Unit 4")</f>
        <v>382 Prospect Place, Unit 4</v>
      </c>
      <c r="C4771" s="25" t="s">
        <v>364</v>
      </c>
      <c r="D4771" s="26" t="s">
        <v>23</v>
      </c>
      <c r="E4771" s="27" t="str">
        <f>HYPERLINK("https://www.compass.com/building/382-prospect-pl-brooklyn-ny-11238/293426423828389813/","382 Prospect Pl")</f>
        <v>382 Prospect Pl</v>
      </c>
      <c r="F4771" s="25" t="s">
        <v>39</v>
      </c>
      <c r="G4771" s="28">
        <v>945000.0</v>
      </c>
      <c r="H4771" s="28">
        <v>886.0</v>
      </c>
      <c r="I4771" s="28">
        <v>1400.0</v>
      </c>
      <c r="J4771" s="29"/>
      <c r="K4771" s="25" t="s">
        <v>25</v>
      </c>
      <c r="L4771" s="26">
        <v>4.0</v>
      </c>
      <c r="M4771" s="26">
        <v>2.0</v>
      </c>
      <c r="N4771" s="26">
        <v>1.0</v>
      </c>
      <c r="O4771" s="26">
        <v>0.0</v>
      </c>
      <c r="P4771" s="34">
        <v>1066.0</v>
      </c>
      <c r="Q4771" s="35">
        <v>153.0</v>
      </c>
      <c r="R4771" s="32">
        <v>45636.0</v>
      </c>
      <c r="S4771" s="32">
        <v>42216.0</v>
      </c>
      <c r="T4771" s="29"/>
      <c r="U4771" s="33"/>
      <c r="V4771" s="1"/>
    </row>
    <row r="4772" ht="24.0" customHeight="1">
      <c r="A4772" s="1"/>
      <c r="B4772" s="24" t="str">
        <f>HYPERLINK("https://www.compass.com/listing/142-west-10th-street-unit-2b-manhattan-ny-10014/1601725703620952361/view?agent_id=610d3f3370540700019b0833","142 West 10th Street, Unit 2B")</f>
        <v>142 West 10th Street, Unit 2B</v>
      </c>
      <c r="C4772" s="25" t="s">
        <v>364</v>
      </c>
      <c r="D4772" s="26" t="s">
        <v>23</v>
      </c>
      <c r="E4772" s="27" t="str">
        <f>HYPERLINK("https://www.compass.com/building/142-w-10th-st-manhattan-ny-10014/281921981564096341/","142 W 10th St")</f>
        <v>142 W 10th St</v>
      </c>
      <c r="F4772" s="25" t="s">
        <v>26</v>
      </c>
      <c r="G4772" s="28">
        <v>2250000.0</v>
      </c>
      <c r="H4772" s="28">
        <v>1993.0</v>
      </c>
      <c r="I4772" s="28">
        <v>2603.0</v>
      </c>
      <c r="J4772" s="28">
        <v>15552.0</v>
      </c>
      <c r="K4772" s="25" t="s">
        <v>28</v>
      </c>
      <c r="L4772" s="26">
        <v>4.0</v>
      </c>
      <c r="M4772" s="26">
        <v>2.0</v>
      </c>
      <c r="N4772" s="26">
        <v>1.0</v>
      </c>
      <c r="O4772" s="26">
        <v>0.0</v>
      </c>
      <c r="P4772" s="34">
        <v>1129.0</v>
      </c>
      <c r="Q4772" s="35">
        <v>167.0</v>
      </c>
      <c r="R4772" s="32">
        <v>45628.0</v>
      </c>
      <c r="S4772" s="32">
        <v>45461.0</v>
      </c>
      <c r="T4772" s="29"/>
      <c r="U4772" s="33"/>
      <c r="V4772" s="1"/>
    </row>
    <row r="4773" ht="24.0" customHeight="1">
      <c r="A4773" s="1"/>
      <c r="B4773" s="24" t="str">
        <f>HYPERLINK("https://www.compass.com/listing/399-east-8th-street-unit-4a-manhattan-ny-10009/4852290370488244161/view?agent_id=610d3f3370540700019b0833","399 East 8th Street, Unit 4A")</f>
        <v>399 East 8th Street, Unit 4A</v>
      </c>
      <c r="C4773" s="25" t="s">
        <v>364</v>
      </c>
      <c r="D4773" s="26" t="s">
        <v>23</v>
      </c>
      <c r="E4773" s="27" t="str">
        <f>HYPERLINK("https://www.compass.com/building/three99-on-eighth-manhattan-ny/281899849236886213/","THREE99 On Eighth")</f>
        <v>THREE99 On Eighth</v>
      </c>
      <c r="F4773" s="25" t="s">
        <v>24</v>
      </c>
      <c r="G4773" s="28">
        <v>1020000.0</v>
      </c>
      <c r="H4773" s="28">
        <v>1525.0</v>
      </c>
      <c r="I4773" s="28">
        <v>1436.0</v>
      </c>
      <c r="J4773" s="28">
        <v>9948.0</v>
      </c>
      <c r="K4773" s="25" t="s">
        <v>28</v>
      </c>
      <c r="L4773" s="26">
        <v>4.0</v>
      </c>
      <c r="M4773" s="26">
        <v>2.0</v>
      </c>
      <c r="N4773" s="26">
        <v>1.0</v>
      </c>
      <c r="O4773" s="26">
        <v>0.0</v>
      </c>
      <c r="P4773" s="26">
        <v>669.0</v>
      </c>
      <c r="Q4773" s="35">
        <v>248.0</v>
      </c>
      <c r="R4773" s="32">
        <v>45636.0</v>
      </c>
      <c r="S4773" s="32">
        <v>42642.0</v>
      </c>
      <c r="T4773" s="29"/>
      <c r="U4773" s="33"/>
      <c r="V4773" s="1"/>
    </row>
    <row r="4774" ht="24.0" customHeight="1">
      <c r="A4774" s="1"/>
      <c r="B4774" s="24" t="str">
        <f>HYPERLINK("https://www.compass.com/listing/536-east-13th-street-unit-4r-manhattan-ny-10009/1327203848727142721/view?agent_id=610d3f3370540700019b0833","536 E 13th St, Unit 4R")</f>
        <v>536 E 13th St, Unit 4R</v>
      </c>
      <c r="C4774" s="25" t="s">
        <v>364</v>
      </c>
      <c r="D4774" s="26" t="s">
        <v>23</v>
      </c>
      <c r="E4774" s="27" t="str">
        <f>HYPERLINK("https://www.compass.com/building/536-e-13th-st-manhattan-ny-10009/281900929068843109/","536 E 13th St")</f>
        <v>536 E 13th St</v>
      </c>
      <c r="F4774" s="25" t="s">
        <v>24</v>
      </c>
      <c r="G4774" s="28">
        <v>1595000.0</v>
      </c>
      <c r="H4774" s="28">
        <v>1842.0</v>
      </c>
      <c r="I4774" s="28">
        <v>1825.0</v>
      </c>
      <c r="J4774" s="28">
        <v>14724.0</v>
      </c>
      <c r="K4774" s="25" t="s">
        <v>28</v>
      </c>
      <c r="L4774" s="26">
        <v>4.0</v>
      </c>
      <c r="M4774" s="26">
        <v>2.0</v>
      </c>
      <c r="N4774" s="30"/>
      <c r="O4774" s="30"/>
      <c r="P4774" s="26">
        <v>866.0</v>
      </c>
      <c r="Q4774" s="35">
        <v>28.0</v>
      </c>
      <c r="R4774" s="32">
        <v>45083.0</v>
      </c>
      <c r="S4774" s="32">
        <v>45082.0</v>
      </c>
      <c r="T4774" s="29"/>
      <c r="U4774" s="33"/>
      <c r="V4774" s="1"/>
    </row>
    <row r="4775" ht="24.0" customHeight="1">
      <c r="A4775" s="1"/>
      <c r="B4775" s="24" t="str">
        <f>HYPERLINK("https://www.compass.com/listing/175-west-95th-street-unit-14b-manhattan-ny-10025/1838965325904004073/view?agent_id=610d3f3370540700019b0833","175 W 95th St, Unit 14B")</f>
        <v>175 W 95th St, Unit 14B</v>
      </c>
      <c r="C4775" s="25" t="s">
        <v>364</v>
      </c>
      <c r="D4775" s="26" t="s">
        <v>23</v>
      </c>
      <c r="E4775" s="27" t="str">
        <f>HYPERLINK("https://www.compass.com/building/175-w-95th-manhattan-ny/292876785429866517/","175 W 95th")</f>
        <v>175 W 95th</v>
      </c>
      <c r="F4775" s="25" t="s">
        <v>29</v>
      </c>
      <c r="G4775" s="28">
        <v>1575000.0</v>
      </c>
      <c r="H4775" s="28">
        <v>1610.0</v>
      </c>
      <c r="I4775" s="28">
        <v>1938.0</v>
      </c>
      <c r="J4775" s="28">
        <v>10602.0</v>
      </c>
      <c r="K4775" s="25" t="s">
        <v>28</v>
      </c>
      <c r="L4775" s="26">
        <v>5.0</v>
      </c>
      <c r="M4775" s="26">
        <v>2.0</v>
      </c>
      <c r="N4775" s="26">
        <v>1.0</v>
      </c>
      <c r="O4775" s="26">
        <v>0.0</v>
      </c>
      <c r="P4775" s="26">
        <v>978.0</v>
      </c>
      <c r="Q4775" s="35">
        <v>54.0</v>
      </c>
      <c r="R4775" s="32">
        <v>45636.0</v>
      </c>
      <c r="S4775" s="32">
        <v>43579.0</v>
      </c>
      <c r="T4775" s="29"/>
      <c r="U4775" s="33"/>
      <c r="V4775" s="1"/>
    </row>
    <row r="4776" ht="24.0" customHeight="1">
      <c r="A4776" s="1"/>
      <c r="B4776" s="24" t="str">
        <f>HYPERLINK("https://www.compass.com/listing/125-west-22nd-street-unit-12a-manhattan-ny-10011/29373455275154609/view?agent_id=610d3f3370540700019b0833","125 W 22nd St, Unit 12A")</f>
        <v>125 W 22nd St, Unit 12A</v>
      </c>
      <c r="C4776" s="25" t="s">
        <v>364</v>
      </c>
      <c r="D4776" s="26" t="s">
        <v>23</v>
      </c>
      <c r="E4776" s="27" t="str">
        <f>HYPERLINK("https://www.compass.com/building/verde-chelsea-manhattan-ny/281904880539420757/","Verde Chelsea")</f>
        <v>Verde Chelsea</v>
      </c>
      <c r="F4776" s="25" t="s">
        <v>27</v>
      </c>
      <c r="G4776" s="28">
        <v>1849000.0</v>
      </c>
      <c r="H4776" s="28">
        <v>1151.0</v>
      </c>
      <c r="I4776" s="28">
        <v>1821.0</v>
      </c>
      <c r="J4776" s="28">
        <v>2772.0</v>
      </c>
      <c r="K4776" s="25" t="s">
        <v>28</v>
      </c>
      <c r="L4776" s="26">
        <v>5.0</v>
      </c>
      <c r="M4776" s="26">
        <v>2.0</v>
      </c>
      <c r="N4776" s="26">
        <v>0.0</v>
      </c>
      <c r="O4776" s="26">
        <v>0.0</v>
      </c>
      <c r="P4776" s="34">
        <v>1606.0</v>
      </c>
      <c r="Q4776" s="31"/>
      <c r="R4776" s="32">
        <v>44581.0</v>
      </c>
      <c r="S4776" s="33"/>
      <c r="T4776" s="29"/>
      <c r="U4776" s="33"/>
      <c r="V4776" s="1"/>
    </row>
    <row r="4777" ht="24.0" customHeight="1">
      <c r="A4777" s="1"/>
      <c r="B4777" s="24" t="str">
        <f>HYPERLINK("https://www.compass.com/listing/45-5th-avenue-unit-2ab-manhattan-ny-10003/29365594621021441/view?agent_id=610d3f3370540700019b0833","45 5th Ave, Unit 2AB")</f>
        <v>45 5th Ave, Unit 2AB</v>
      </c>
      <c r="C4777" s="25" t="s">
        <v>364</v>
      </c>
      <c r="D4777" s="26" t="s">
        <v>23</v>
      </c>
      <c r="E4777" s="27" t="str">
        <f>HYPERLINK("https://www.compass.com/building/45-5th-ave-manhattan-ny-10003/281893693416283269/","45 5th Ave")</f>
        <v>45 5th Ave</v>
      </c>
      <c r="F4777" s="25" t="s">
        <v>43</v>
      </c>
      <c r="G4777" s="28">
        <v>950000.0</v>
      </c>
      <c r="H4777" s="28">
        <v>731.0</v>
      </c>
      <c r="I4777" s="29"/>
      <c r="J4777" s="29"/>
      <c r="K4777" s="25" t="s">
        <v>25</v>
      </c>
      <c r="L4777" s="26">
        <v>6.0</v>
      </c>
      <c r="M4777" s="26">
        <v>2.0</v>
      </c>
      <c r="N4777" s="30"/>
      <c r="O4777" s="30"/>
      <c r="P4777" s="34">
        <v>1300.0</v>
      </c>
      <c r="Q4777" s="35">
        <v>13.0</v>
      </c>
      <c r="R4777" s="32">
        <v>42946.0</v>
      </c>
      <c r="S4777" s="32">
        <v>37817.0</v>
      </c>
      <c r="T4777" s="29"/>
      <c r="U4777" s="33"/>
      <c r="V4777" s="1"/>
    </row>
    <row r="4778" ht="24.0" customHeight="1">
      <c r="A4778" s="1"/>
      <c r="B4778" s="24" t="str">
        <f>HYPERLINK("https://www.compass.com/listing/34-5-barrow-street-manhattan-ny-10014/567741995102253913/view?agent_id=610d3f3370540700019b0833","34-5 Barrow St")</f>
        <v>34-5 Barrow St</v>
      </c>
      <c r="C4778" s="25" t="s">
        <v>364</v>
      </c>
      <c r="D4778" s="26" t="s">
        <v>23</v>
      </c>
      <c r="E4778" s="26" t="s">
        <v>445</v>
      </c>
      <c r="F4778" s="25" t="s">
        <v>26</v>
      </c>
      <c r="G4778" s="28">
        <v>1295000.0</v>
      </c>
      <c r="H4778" s="29"/>
      <c r="I4778" s="28">
        <v>1765.0</v>
      </c>
      <c r="J4778" s="29"/>
      <c r="K4778" s="25" t="s">
        <v>25</v>
      </c>
      <c r="L4778" s="26">
        <v>4.0</v>
      </c>
      <c r="M4778" s="26">
        <v>2.0</v>
      </c>
      <c r="N4778" s="30"/>
      <c r="O4778" s="30"/>
      <c r="P4778" s="30"/>
      <c r="Q4778" s="35">
        <v>308.0</v>
      </c>
      <c r="R4778" s="32">
        <v>42476.0</v>
      </c>
      <c r="S4778" s="32">
        <v>38471.0</v>
      </c>
      <c r="T4778" s="29"/>
      <c r="U4778" s="33"/>
      <c r="V4778" s="1"/>
    </row>
    <row r="4779" ht="24.0" customHeight="1">
      <c r="A4779" s="1"/>
      <c r="B4779" s="24" t="str">
        <f>HYPERLINK("https://www.compass.com/listing/200-west-24th-street-unit-3a-manhattan-ny-10011/29372329062680801/view?agent_id=610d3f3370540700019b0833","200 W 24th St, Unit 3A")</f>
        <v>200 W 24th St, Unit 3A</v>
      </c>
      <c r="C4779" s="25" t="s">
        <v>364</v>
      </c>
      <c r="D4779" s="26" t="s">
        <v>23</v>
      </c>
      <c r="E4779" s="27" t="str">
        <f>HYPERLINK("https://www.compass.com/building/200-w-24th-st-manhattan-ny-10011/281906475247359285/","200 W 24th St")</f>
        <v>200 W 24th St</v>
      </c>
      <c r="F4779" s="25" t="s">
        <v>27</v>
      </c>
      <c r="G4779" s="28">
        <v>2395000.0</v>
      </c>
      <c r="H4779" s="28">
        <v>1777.0</v>
      </c>
      <c r="I4779" s="28">
        <v>2544.0</v>
      </c>
      <c r="J4779" s="28">
        <v>15876.0</v>
      </c>
      <c r="K4779" s="25" t="s">
        <v>28</v>
      </c>
      <c r="L4779" s="26">
        <v>5.0</v>
      </c>
      <c r="M4779" s="26">
        <v>2.0</v>
      </c>
      <c r="N4779" s="26">
        <v>0.0</v>
      </c>
      <c r="O4779" s="26">
        <v>0.0</v>
      </c>
      <c r="P4779" s="34">
        <v>1348.0</v>
      </c>
      <c r="Q4779" s="35">
        <v>11.0</v>
      </c>
      <c r="R4779" s="32">
        <v>45636.0</v>
      </c>
      <c r="S4779" s="32">
        <v>42690.0</v>
      </c>
      <c r="T4779" s="29"/>
      <c r="U4779" s="33"/>
      <c r="V4779" s="1"/>
    </row>
    <row r="4780" ht="24.0" customHeight="1">
      <c r="A4780" s="1"/>
      <c r="B4780" s="24" t="str">
        <f>HYPERLINK("https://www.compass.com/listing/204-west-10th-street-unit-24-manhattan-ny-10014/1622707232160571209/view?agent_id=610d3f3370540700019b0833","204 W 10th St, Unit 24")</f>
        <v>204 W 10th St, Unit 24</v>
      </c>
      <c r="C4780" s="25" t="s">
        <v>365</v>
      </c>
      <c r="D4780" s="26" t="s">
        <v>23</v>
      </c>
      <c r="E4780" s="27" t="str">
        <f>HYPERLINK("https://www.compass.com/building/204-w-10th-st-manhattan-ny-10014/281922073595516949/","204 W 10th St")</f>
        <v>204 W 10th St</v>
      </c>
      <c r="F4780" s="25" t="s">
        <v>26</v>
      </c>
      <c r="G4780" s="28">
        <v>850000.0</v>
      </c>
      <c r="H4780" s="28">
        <v>1000.0</v>
      </c>
      <c r="I4780" s="28">
        <v>1007.0</v>
      </c>
      <c r="J4780" s="28">
        <v>0.0</v>
      </c>
      <c r="K4780" s="25" t="s">
        <v>25</v>
      </c>
      <c r="L4780" s="26">
        <v>4.0</v>
      </c>
      <c r="M4780" s="26">
        <v>2.0</v>
      </c>
      <c r="N4780" s="26">
        <v>1.0</v>
      </c>
      <c r="O4780" s="30"/>
      <c r="P4780" s="26">
        <v>850.0</v>
      </c>
      <c r="Q4780" s="35">
        <v>170.0</v>
      </c>
      <c r="R4780" s="32">
        <v>45660.0</v>
      </c>
      <c r="S4780" s="32">
        <v>45489.0</v>
      </c>
      <c r="T4780" s="29"/>
      <c r="U4780" s="33"/>
      <c r="V4780" s="1"/>
    </row>
    <row r="4781" ht="24.0" customHeight="1">
      <c r="A4781" s="1"/>
      <c r="B4781" s="24" t="str">
        <f>HYPERLINK("https://www.compass.com/listing/99-4th-avenue-unit-2l-manhattan-ny-10003/86887789165021921/view?agent_id=610d3f3370540700019b0833","99 4th Ave, Unit 2L")</f>
        <v>99 4th Ave, Unit 2L</v>
      </c>
      <c r="C4781" s="25" t="s">
        <v>364</v>
      </c>
      <c r="D4781" s="26" t="s">
        <v>23</v>
      </c>
      <c r="E4781" s="27" t="str">
        <f>HYPERLINK("https://www.compass.com/building/99-4th-ave-manhattan-ny-10003/307455928798342197/","99 4th Ave")</f>
        <v>99 4th Ave</v>
      </c>
      <c r="F4781" s="25" t="s">
        <v>43</v>
      </c>
      <c r="G4781" s="28">
        <v>724999.0</v>
      </c>
      <c r="H4781" s="28">
        <v>956.0</v>
      </c>
      <c r="I4781" s="28">
        <v>225.0</v>
      </c>
      <c r="J4781" s="29"/>
      <c r="K4781" s="25" t="s">
        <v>28</v>
      </c>
      <c r="L4781" s="26">
        <v>4.0</v>
      </c>
      <c r="M4781" s="26">
        <v>2.0</v>
      </c>
      <c r="N4781" s="30"/>
      <c r="O4781" s="30"/>
      <c r="P4781" s="26">
        <v>758.0</v>
      </c>
      <c r="Q4781" s="35">
        <v>7.0</v>
      </c>
      <c r="R4781" s="32">
        <v>43379.0</v>
      </c>
      <c r="S4781" s="32">
        <v>43371.0</v>
      </c>
      <c r="T4781" s="29"/>
      <c r="U4781" s="33"/>
      <c r="V4781" s="1"/>
    </row>
    <row r="4782" ht="24.0" customHeight="1">
      <c r="A4782" s="1"/>
      <c r="B4782" s="24" t="str">
        <f>HYPERLINK("https://www.compass.com/listing/25-murray-street-unit-3f-manhattan-ny-10007/1838944657959540137/view?agent_id=610d3f3370540700019b0833","25 Murray St, Unit 3F")</f>
        <v>25 Murray St, Unit 3F</v>
      </c>
      <c r="C4782" s="25" t="s">
        <v>364</v>
      </c>
      <c r="D4782" s="26" t="s">
        <v>23</v>
      </c>
      <c r="E4782" s="27" t="str">
        <f t="shared" ref="E4782:E4783" si="212">HYPERLINK("https://www.compass.com/building/tribeca-space-manhattan-ny/281896840704568517/","Tribeca Space")</f>
        <v>Tribeca Space</v>
      </c>
      <c r="F4782" s="25" t="s">
        <v>60</v>
      </c>
      <c r="G4782" s="28">
        <v>2200000.0</v>
      </c>
      <c r="H4782" s="28">
        <v>1413.0</v>
      </c>
      <c r="I4782" s="28">
        <v>3233.0</v>
      </c>
      <c r="J4782" s="28">
        <v>23640.0</v>
      </c>
      <c r="K4782" s="25" t="s">
        <v>28</v>
      </c>
      <c r="L4782" s="26">
        <v>5.0</v>
      </c>
      <c r="M4782" s="26">
        <v>2.0</v>
      </c>
      <c r="N4782" s="26">
        <v>0.0</v>
      </c>
      <c r="O4782" s="26">
        <v>0.0</v>
      </c>
      <c r="P4782" s="34">
        <v>1557.0</v>
      </c>
      <c r="Q4782" s="35">
        <v>122.0</v>
      </c>
      <c r="R4782" s="32">
        <v>45636.0</v>
      </c>
      <c r="S4782" s="32">
        <v>42671.0</v>
      </c>
      <c r="T4782" s="29"/>
      <c r="U4782" s="33"/>
      <c r="V4782" s="1"/>
    </row>
    <row r="4783" ht="24.0" customHeight="1">
      <c r="A4783" s="1"/>
      <c r="B4783" s="24" t="str">
        <f>HYPERLINK("https://www.compass.com/listing/25-murray-street-unit-3f-manhattan-ny-10007/919557225076503457/view?agent_id=610d3f3370540700019b0833","25 Murray St, Unit 3F")</f>
        <v>25 Murray St, Unit 3F</v>
      </c>
      <c r="C4783" s="25" t="s">
        <v>364</v>
      </c>
      <c r="D4783" s="26" t="s">
        <v>23</v>
      </c>
      <c r="E4783" s="27" t="str">
        <f t="shared" si="212"/>
        <v>Tribeca Space</v>
      </c>
      <c r="F4783" s="25" t="s">
        <v>60</v>
      </c>
      <c r="G4783" s="28">
        <v>2200000.0</v>
      </c>
      <c r="H4783" s="28">
        <v>1413.0</v>
      </c>
      <c r="I4783" s="28">
        <v>3233.0</v>
      </c>
      <c r="J4783" s="28">
        <v>23640.0</v>
      </c>
      <c r="K4783" s="25" t="s">
        <v>28</v>
      </c>
      <c r="L4783" s="26">
        <v>5.0</v>
      </c>
      <c r="M4783" s="26">
        <v>2.0</v>
      </c>
      <c r="N4783" s="26">
        <v>0.0</v>
      </c>
      <c r="O4783" s="26">
        <v>0.0</v>
      </c>
      <c r="P4783" s="34">
        <v>1557.0</v>
      </c>
      <c r="Q4783" s="35">
        <v>61.0</v>
      </c>
      <c r="R4783" s="32">
        <v>45636.0</v>
      </c>
      <c r="S4783" s="32">
        <v>42793.0</v>
      </c>
      <c r="T4783" s="29"/>
      <c r="U4783" s="33"/>
      <c r="V4783" s="1"/>
    </row>
    <row r="4784" ht="24.0" customHeight="1">
      <c r="A4784" s="1"/>
      <c r="B4784" s="24" t="str">
        <f>HYPERLINK("https://www.compass.com/listing/124-west-18th-street-unit-2-manhattan-ny-10011/29372904596618129/view?agent_id=610d3f3370540700019b0833","124 W 18th St, Unit 2")</f>
        <v>124 W 18th St, Unit 2</v>
      </c>
      <c r="C4784" s="25" t="s">
        <v>370</v>
      </c>
      <c r="D4784" s="26" t="s">
        <v>23</v>
      </c>
      <c r="E4784" s="27" t="str">
        <f>HYPERLINK("https://www.compass.com/building/vision-lofts-manhattan-ny/281904826969770021/","Vision Lofts")</f>
        <v>Vision Lofts</v>
      </c>
      <c r="F4784" s="25" t="s">
        <v>27</v>
      </c>
      <c r="G4784" s="28">
        <v>1650000.0</v>
      </c>
      <c r="H4784" s="28">
        <v>1150.0</v>
      </c>
      <c r="I4784" s="28">
        <v>1631.0</v>
      </c>
      <c r="J4784" s="28">
        <v>9756.0</v>
      </c>
      <c r="K4784" s="25" t="s">
        <v>28</v>
      </c>
      <c r="L4784" s="26">
        <v>5.0</v>
      </c>
      <c r="M4784" s="26">
        <v>2.0</v>
      </c>
      <c r="N4784" s="26">
        <v>0.0</v>
      </c>
      <c r="O4784" s="26">
        <v>0.0</v>
      </c>
      <c r="P4784" s="34">
        <v>1435.0</v>
      </c>
      <c r="Q4784" s="35">
        <v>0.0</v>
      </c>
      <c r="R4784" s="32">
        <v>44581.0</v>
      </c>
      <c r="S4784" s="32">
        <v>41538.0</v>
      </c>
      <c r="T4784" s="29"/>
      <c r="U4784" s="33"/>
      <c r="V4784" s="1"/>
    </row>
    <row r="4785" ht="24.0" customHeight="1">
      <c r="A4785" s="1"/>
      <c r="B4785" s="24" t="str">
        <f>HYPERLINK("https://www.compass.com/listing/321-west-14th-street-unit-2-manhattan-ny-10014/1838981750865596537/view?agent_id=610d3f3370540700019b0833","321 W 14th St, Unit 2")</f>
        <v>321 W 14th St, Unit 2</v>
      </c>
      <c r="C4785" s="25" t="s">
        <v>364</v>
      </c>
      <c r="D4785" s="26" t="s">
        <v>23</v>
      </c>
      <c r="E4785" s="27" t="str">
        <f>HYPERLINK("https://www.compass.com/building/321-w-14th-st-manhattan-ny-10014/281932688657531829/","321 W 14th St")</f>
        <v>321 W 14th St</v>
      </c>
      <c r="F4785" s="25" t="s">
        <v>27</v>
      </c>
      <c r="G4785" s="28">
        <v>2300000.0</v>
      </c>
      <c r="H4785" s="28">
        <v>1533.0</v>
      </c>
      <c r="I4785" s="28">
        <v>1586.0</v>
      </c>
      <c r="J4785" s="29"/>
      <c r="K4785" s="25" t="s">
        <v>25</v>
      </c>
      <c r="L4785" s="26">
        <v>5.0</v>
      </c>
      <c r="M4785" s="26">
        <v>2.0</v>
      </c>
      <c r="N4785" s="26">
        <v>1.0</v>
      </c>
      <c r="O4785" s="26">
        <v>0.0</v>
      </c>
      <c r="P4785" s="34">
        <v>1500.0</v>
      </c>
      <c r="Q4785" s="35">
        <v>473.0</v>
      </c>
      <c r="R4785" s="32">
        <v>45222.0</v>
      </c>
      <c r="S4785" s="32">
        <v>44748.0</v>
      </c>
      <c r="T4785" s="29"/>
      <c r="U4785" s="33"/>
      <c r="V4785" s="1"/>
    </row>
    <row r="4786" ht="24.0" customHeight="1">
      <c r="A4786" s="1"/>
      <c r="B4786" s="24" t="str">
        <f>HYPERLINK("https://www.compass.com/listing/382-central-park-west-unit-15p-manhattan-ny-10025/1838988488905566449/view?agent_id=610d3f3370540700019b0833","382 Central Park W, Unit 15P")</f>
        <v>382 Central Park W, Unit 15P</v>
      </c>
      <c r="C4786" s="25" t="s">
        <v>364</v>
      </c>
      <c r="D4786" s="26" t="s">
        <v>23</v>
      </c>
      <c r="E4786" s="27" t="str">
        <f>HYPERLINK("https://www.compass.com/building/the-olmsted-manhattan-ny/281971636075321173/","The Olmsted")</f>
        <v>The Olmsted</v>
      </c>
      <c r="F4786" s="25" t="s">
        <v>29</v>
      </c>
      <c r="G4786" s="28">
        <v>1599000.0</v>
      </c>
      <c r="H4786" s="28">
        <v>1401.0</v>
      </c>
      <c r="I4786" s="28">
        <v>1584.0</v>
      </c>
      <c r="J4786" s="28">
        <v>6000.0</v>
      </c>
      <c r="K4786" s="25" t="s">
        <v>28</v>
      </c>
      <c r="L4786" s="26">
        <v>4.0</v>
      </c>
      <c r="M4786" s="26">
        <v>2.0</v>
      </c>
      <c r="N4786" s="26">
        <v>0.0</v>
      </c>
      <c r="O4786" s="26">
        <v>0.0</v>
      </c>
      <c r="P4786" s="34">
        <v>1141.0</v>
      </c>
      <c r="Q4786" s="35">
        <v>158.0</v>
      </c>
      <c r="R4786" s="32">
        <v>45636.0</v>
      </c>
      <c r="S4786" s="32">
        <v>43104.0</v>
      </c>
      <c r="T4786" s="29"/>
      <c r="U4786" s="33"/>
      <c r="V4786" s="1"/>
    </row>
    <row r="4787" ht="24.0" customHeight="1">
      <c r="A4787" s="1"/>
      <c r="B4787" s="24" t="str">
        <f>HYPERLINK("https://www.compass.com/listing/277-west-end-avenue-unit-11e-manhattan-ny-10023/1838965060161285393/view?agent_id=610d3f3370540700019b0833","277 West End Ave, Unit 11E")</f>
        <v>277 West End Ave, Unit 11E</v>
      </c>
      <c r="C4787" s="25" t="s">
        <v>364</v>
      </c>
      <c r="D4787" s="26" t="s">
        <v>23</v>
      </c>
      <c r="E4787" s="27" t="str">
        <f>HYPERLINK("https://www.compass.com/building/the-viewest-manhattan-ny/281959389387103765/","The Viewest")</f>
        <v>The Viewest</v>
      </c>
      <c r="F4787" s="25" t="s">
        <v>29</v>
      </c>
      <c r="G4787" s="28">
        <v>1995000.0</v>
      </c>
      <c r="H4787" s="29"/>
      <c r="I4787" s="28">
        <v>3283.0</v>
      </c>
      <c r="J4787" s="29"/>
      <c r="K4787" s="25" t="s">
        <v>25</v>
      </c>
      <c r="L4787" s="26">
        <v>5.0</v>
      </c>
      <c r="M4787" s="26">
        <v>2.0</v>
      </c>
      <c r="N4787" s="26">
        <v>0.0</v>
      </c>
      <c r="O4787" s="26">
        <v>0.0</v>
      </c>
      <c r="P4787" s="30"/>
      <c r="Q4787" s="35">
        <v>46.0</v>
      </c>
      <c r="R4787" s="32">
        <v>45636.0</v>
      </c>
      <c r="S4787" s="32">
        <v>43232.0</v>
      </c>
      <c r="T4787" s="29"/>
      <c r="U4787" s="33"/>
      <c r="V4787" s="1"/>
    </row>
    <row r="4788" ht="24.0" customHeight="1">
      <c r="A4788" s="1"/>
      <c r="B4788" s="24" t="str">
        <f>HYPERLINK("https://www.compass.com/listing/16-west-21st-street-unit-3a-manhattan-ny-10010/29374656138045217/view?agent_id=610d3f3370540700019b0833","16 W 21st St, Unit 3A")</f>
        <v>16 W 21st St, Unit 3A</v>
      </c>
      <c r="C4788" s="25" t="s">
        <v>370</v>
      </c>
      <c r="D4788" s="26" t="s">
        <v>23</v>
      </c>
      <c r="E4788" s="27" t="str">
        <f>HYPERLINK("https://www.compass.com/building/16-w-21st-st-manhattan-ny-10010/281901988952687925/","16 W 21st St")</f>
        <v>16 W 21st St</v>
      </c>
      <c r="F4788" s="25" t="s">
        <v>115</v>
      </c>
      <c r="G4788" s="28">
        <v>2100000.0</v>
      </c>
      <c r="H4788" s="28">
        <v>1535.0</v>
      </c>
      <c r="I4788" s="28">
        <v>2438.0</v>
      </c>
      <c r="J4788" s="28">
        <v>10680.0</v>
      </c>
      <c r="K4788" s="25" t="s">
        <v>28</v>
      </c>
      <c r="L4788" s="26">
        <v>6.0</v>
      </c>
      <c r="M4788" s="26">
        <v>2.0</v>
      </c>
      <c r="N4788" s="26">
        <v>0.0</v>
      </c>
      <c r="O4788" s="26">
        <v>0.0</v>
      </c>
      <c r="P4788" s="34">
        <v>1368.0</v>
      </c>
      <c r="Q4788" s="35">
        <v>76.0</v>
      </c>
      <c r="R4788" s="32">
        <v>45636.0</v>
      </c>
      <c r="S4788" s="32">
        <v>42670.0</v>
      </c>
      <c r="T4788" s="29"/>
      <c r="U4788" s="33"/>
      <c r="V4788" s="1"/>
    </row>
    <row r="4789" ht="24.0" customHeight="1">
      <c r="A4789" s="1"/>
      <c r="B4789" s="24" t="str">
        <f>HYPERLINK("https://www.compass.com/listing/101-west-24th-street-unit-6e-manhattan-ny-10011/803341999968727889/view?agent_id=610d3f3370540700019b0833","101 W 24th St, Unit 6E")</f>
        <v>101 W 24th St, Unit 6E</v>
      </c>
      <c r="C4789" s="25" t="s">
        <v>364</v>
      </c>
      <c r="D4789" s="26" t="s">
        <v>23</v>
      </c>
      <c r="E4789" s="27" t="str">
        <f>HYPERLINK("https://www.compass.com/building/chelsea-stratus-manhattan-ny/294845224777812053/","Chelsea Stratus")</f>
        <v>Chelsea Stratus</v>
      </c>
      <c r="F4789" s="25" t="s">
        <v>27</v>
      </c>
      <c r="G4789" s="28">
        <v>3000000.0</v>
      </c>
      <c r="H4789" s="28">
        <v>2261.0</v>
      </c>
      <c r="I4789" s="28">
        <v>2218.0</v>
      </c>
      <c r="J4789" s="28">
        <v>14580.0</v>
      </c>
      <c r="K4789" s="25" t="s">
        <v>28</v>
      </c>
      <c r="L4789" s="26">
        <v>6.0</v>
      </c>
      <c r="M4789" s="26">
        <v>2.0</v>
      </c>
      <c r="N4789" s="26">
        <v>0.0</v>
      </c>
      <c r="O4789" s="26">
        <v>0.0</v>
      </c>
      <c r="P4789" s="34">
        <v>1327.0</v>
      </c>
      <c r="Q4789" s="35">
        <v>124.0</v>
      </c>
      <c r="R4789" s="32">
        <v>44581.0</v>
      </c>
      <c r="S4789" s="32">
        <v>42901.0</v>
      </c>
      <c r="T4789" s="29"/>
      <c r="U4789" s="33"/>
      <c r="V4789" s="1"/>
    </row>
    <row r="4790" ht="24.0" customHeight="1">
      <c r="A4790" s="1"/>
      <c r="B4790" s="24" t="str">
        <f>HYPERLINK("https://www.compass.com/listing/26-gramercy-park-south-unit-8cd-manhattan-ny-10003/753975805678454473/view?agent_id=610d3f3370540700019b0833","26 Gramercy Park S, Unit 8CD")</f>
        <v>26 Gramercy Park S, Unit 8CD</v>
      </c>
      <c r="C4790" s="25" t="s">
        <v>365</v>
      </c>
      <c r="D4790" s="26" t="s">
        <v>23</v>
      </c>
      <c r="E4790" s="27" t="str">
        <f>HYPERLINK("https://www.compass.com/building/26-gramercy-park-s-manhattan-ny-10003/281891723150367173/","26 Gramercy Park S")</f>
        <v>26 Gramercy Park S</v>
      </c>
      <c r="F4790" s="25" t="s">
        <v>48</v>
      </c>
      <c r="G4790" s="28">
        <v>1595000.0</v>
      </c>
      <c r="H4790" s="29"/>
      <c r="I4790" s="28">
        <v>2272.0</v>
      </c>
      <c r="J4790" s="28">
        <v>0.0</v>
      </c>
      <c r="K4790" s="25" t="s">
        <v>25</v>
      </c>
      <c r="L4790" s="26">
        <v>4.0</v>
      </c>
      <c r="M4790" s="26">
        <v>2.0</v>
      </c>
      <c r="N4790" s="30"/>
      <c r="O4790" s="30"/>
      <c r="P4790" s="30"/>
      <c r="Q4790" s="35">
        <v>36.0</v>
      </c>
      <c r="R4790" s="32">
        <v>44329.0</v>
      </c>
      <c r="S4790" s="32">
        <v>44291.0</v>
      </c>
      <c r="T4790" s="29"/>
      <c r="U4790" s="33"/>
      <c r="V4790" s="1"/>
    </row>
    <row r="4791" ht="24.0" customHeight="1">
      <c r="A4791" s="1"/>
      <c r="B4791" s="24" t="str">
        <f>HYPERLINK("https://www.compass.com/listing/79-barrow-street-unit-1a-manhattan-ny-10014/1838969742430226625/view?agent_id=610d3f3370540700019b0833","79 Barrow St, Unit 1A")</f>
        <v>79 Barrow St, Unit 1A</v>
      </c>
      <c r="C4791" s="25" t="s">
        <v>364</v>
      </c>
      <c r="D4791" s="26" t="s">
        <v>23</v>
      </c>
      <c r="E4791" s="27" t="str">
        <f>HYPERLINK("https://www.compass.com/building/79-barrow-st-manhattan-ny-10014/281935938286832485/","79 Barrow St")</f>
        <v>79 Barrow St</v>
      </c>
      <c r="F4791" s="25" t="s">
        <v>26</v>
      </c>
      <c r="G4791" s="28">
        <v>2750000.0</v>
      </c>
      <c r="H4791" s="29"/>
      <c r="I4791" s="28">
        <v>3484.0</v>
      </c>
      <c r="J4791" s="29"/>
      <c r="K4791" s="25" t="s">
        <v>25</v>
      </c>
      <c r="L4791" s="26">
        <v>4.0</v>
      </c>
      <c r="M4791" s="26">
        <v>2.0</v>
      </c>
      <c r="N4791" s="26">
        <v>0.0</v>
      </c>
      <c r="O4791" s="26">
        <v>0.0</v>
      </c>
      <c r="P4791" s="30"/>
      <c r="Q4791" s="35">
        <v>406.0</v>
      </c>
      <c r="R4791" s="32">
        <v>45636.0</v>
      </c>
      <c r="S4791" s="32">
        <v>42472.0</v>
      </c>
      <c r="T4791" s="29"/>
      <c r="U4791" s="33"/>
      <c r="V4791" s="1"/>
    </row>
    <row r="4792" ht="24.0" customHeight="1">
      <c r="A4792" s="1"/>
      <c r="B4792" s="24" t="str">
        <f>HYPERLINK("https://www.compass.com/listing/256-west-10th-street-unit-5b-manhattan-ny-10014/4852306203289586305/view?agent_id=610d3f3370540700019b0833","256 W 10th St, Unit 5B")</f>
        <v>256 W 10th St, Unit 5B</v>
      </c>
      <c r="C4792" s="25" t="s">
        <v>370</v>
      </c>
      <c r="D4792" s="26" t="s">
        <v>23</v>
      </c>
      <c r="E4792" s="27" t="str">
        <f>HYPERLINK("https://www.compass.com/building/256-w-10th-st-manhattan-ny-10014/292834100182572325/","256 W 10th St")</f>
        <v>256 W 10th St</v>
      </c>
      <c r="F4792" s="25" t="s">
        <v>26</v>
      </c>
      <c r="G4792" s="28">
        <v>2195000.0</v>
      </c>
      <c r="H4792" s="29"/>
      <c r="I4792" s="28">
        <v>2227.0</v>
      </c>
      <c r="J4792" s="29"/>
      <c r="K4792" s="25" t="s">
        <v>25</v>
      </c>
      <c r="L4792" s="26">
        <v>4.0</v>
      </c>
      <c r="M4792" s="26">
        <v>2.0</v>
      </c>
      <c r="N4792" s="26">
        <v>0.0</v>
      </c>
      <c r="O4792" s="26">
        <v>0.0</v>
      </c>
      <c r="P4792" s="30"/>
      <c r="Q4792" s="35">
        <v>0.0</v>
      </c>
      <c r="R4792" s="32">
        <v>44581.0</v>
      </c>
      <c r="S4792" s="32">
        <v>41538.0</v>
      </c>
      <c r="T4792" s="29"/>
      <c r="U4792" s="33"/>
      <c r="V4792" s="1"/>
    </row>
    <row r="4793" ht="24.0" customHeight="1">
      <c r="A4793" s="1"/>
      <c r="B4793" s="24" t="str">
        <f>HYPERLINK("https://www.compass.com/listing/340-west-19th-street-unit-4-manhattan-ny-10011/370502355610637105/view?agent_id=610d3f3370540700019b0833","340 W 19th St, Unit 4")</f>
        <v>340 W 19th St, Unit 4</v>
      </c>
      <c r="C4793" s="25" t="s">
        <v>364</v>
      </c>
      <c r="D4793" s="26" t="s">
        <v>23</v>
      </c>
      <c r="E4793" s="27" t="str">
        <f t="shared" ref="E4793:E4794" si="213">HYPERLINK("https://www.compass.com/building/340-w-19th-st-manhattan-ny-10011/281909205378554757/","340 W 19th St")</f>
        <v>340 W 19th St</v>
      </c>
      <c r="F4793" s="25" t="s">
        <v>27</v>
      </c>
      <c r="G4793" s="28">
        <v>875000.0</v>
      </c>
      <c r="H4793" s="28">
        <v>45.0</v>
      </c>
      <c r="I4793" s="28">
        <v>1629.0</v>
      </c>
      <c r="J4793" s="28">
        <v>7704.0</v>
      </c>
      <c r="K4793" s="25" t="s">
        <v>25</v>
      </c>
      <c r="L4793" s="30"/>
      <c r="M4793" s="26">
        <v>2.0</v>
      </c>
      <c r="N4793" s="30"/>
      <c r="O4793" s="30"/>
      <c r="P4793" s="34">
        <v>19438.0</v>
      </c>
      <c r="Q4793" s="35">
        <v>99.0</v>
      </c>
      <c r="R4793" s="32">
        <v>43862.0</v>
      </c>
      <c r="S4793" s="32">
        <v>43763.0</v>
      </c>
      <c r="T4793" s="29"/>
      <c r="U4793" s="33"/>
      <c r="V4793" s="1"/>
    </row>
    <row r="4794" ht="24.0" customHeight="1">
      <c r="A4794" s="1"/>
      <c r="B4794" s="24" t="str">
        <f>HYPERLINK("https://www.compass.com/listing/340-west-19th-street-unit-4-manhattan-ny-10011/514717793590588337/view?agent_id=610d3f3370540700019b0833","340 W 19th St, Unit 4")</f>
        <v>340 W 19th St, Unit 4</v>
      </c>
      <c r="C4794" s="25" t="s">
        <v>364</v>
      </c>
      <c r="D4794" s="26" t="s">
        <v>23</v>
      </c>
      <c r="E4794" s="27" t="str">
        <f t="shared" si="213"/>
        <v>340 W 19th St</v>
      </c>
      <c r="F4794" s="25" t="s">
        <v>27</v>
      </c>
      <c r="G4794" s="28">
        <v>869900.0</v>
      </c>
      <c r="H4794" s="28">
        <v>1289.0</v>
      </c>
      <c r="I4794" s="28">
        <v>987.0</v>
      </c>
      <c r="J4794" s="29"/>
      <c r="K4794" s="25" t="s">
        <v>25</v>
      </c>
      <c r="L4794" s="26">
        <v>4.0</v>
      </c>
      <c r="M4794" s="26">
        <v>2.0</v>
      </c>
      <c r="N4794" s="26">
        <v>1.0</v>
      </c>
      <c r="O4794" s="26">
        <v>0.0</v>
      </c>
      <c r="P4794" s="26">
        <v>675.0</v>
      </c>
      <c r="Q4794" s="35">
        <v>183.0</v>
      </c>
      <c r="R4794" s="32">
        <v>45636.0</v>
      </c>
      <c r="S4794" s="32">
        <v>44039.0</v>
      </c>
      <c r="T4794" s="29"/>
      <c r="U4794" s="33"/>
      <c r="V4794" s="1"/>
    </row>
    <row r="4795" ht="24.0" customHeight="1">
      <c r="A4795" s="1"/>
      <c r="B4795" s="24" t="str">
        <f>HYPERLINK("https://www.compass.com/listing/165-west-18th-street-unit-2b-manhattan-ny-10011/822517762713555353/view?agent_id=610d3f3370540700019b0833","165 W 18th St, Unit 2B")</f>
        <v>165 W 18th St, Unit 2B</v>
      </c>
      <c r="C4795" s="25" t="s">
        <v>364</v>
      </c>
      <c r="D4795" s="26" t="s">
        <v>23</v>
      </c>
      <c r="E4795" s="27" t="str">
        <f>HYPERLINK("https://www.compass.com/building/slate-condominiums-manhattan-ny/515114565977505805/","Slate Condominiums")</f>
        <v>Slate Condominiums</v>
      </c>
      <c r="F4795" s="25" t="s">
        <v>27</v>
      </c>
      <c r="G4795" s="28">
        <v>1250000.0</v>
      </c>
      <c r="H4795" s="28">
        <v>1190.0</v>
      </c>
      <c r="I4795" s="28">
        <v>1503.0</v>
      </c>
      <c r="J4795" s="28">
        <v>6216.0</v>
      </c>
      <c r="K4795" s="25" t="s">
        <v>28</v>
      </c>
      <c r="L4795" s="26">
        <v>4.0</v>
      </c>
      <c r="M4795" s="26">
        <v>2.0</v>
      </c>
      <c r="N4795" s="26">
        <v>0.0</v>
      </c>
      <c r="O4795" s="26">
        <v>0.0</v>
      </c>
      <c r="P4795" s="34">
        <v>1050.0</v>
      </c>
      <c r="Q4795" s="35">
        <v>0.0</v>
      </c>
      <c r="R4795" s="32">
        <v>44581.0</v>
      </c>
      <c r="S4795" s="32">
        <v>41537.0</v>
      </c>
      <c r="T4795" s="29"/>
      <c r="U4795" s="33"/>
      <c r="V4795" s="1"/>
    </row>
    <row r="4796" ht="24.0" customHeight="1">
      <c r="A4796" s="1"/>
      <c r="B4796" s="24" t="str">
        <f>HYPERLINK("https://www.compass.com/listing/225-west-17th-street-unit-5b-manhattan-ny-10011/4852323326091073233/view?agent_id=610d3f3370540700019b0833","225 W 17th St, Unit 5B")</f>
        <v>225 W 17th St, Unit 5B</v>
      </c>
      <c r="C4796" s="25" t="s">
        <v>364</v>
      </c>
      <c r="D4796" s="26" t="s">
        <v>23</v>
      </c>
      <c r="E4796" s="27" t="str">
        <f>HYPERLINK("https://www.compass.com/building/225-west-17th-street-manhattan-ny/292802090781141541/","225 West 17th Street")</f>
        <v>225 West 17th Street</v>
      </c>
      <c r="F4796" s="25" t="s">
        <v>27</v>
      </c>
      <c r="G4796" s="28">
        <v>3100000.0</v>
      </c>
      <c r="H4796" s="28">
        <v>2081.0</v>
      </c>
      <c r="I4796" s="28">
        <v>2678.0</v>
      </c>
      <c r="J4796" s="28">
        <v>20700.0</v>
      </c>
      <c r="K4796" s="25" t="s">
        <v>28</v>
      </c>
      <c r="L4796" s="26">
        <v>4.0</v>
      </c>
      <c r="M4796" s="26">
        <v>2.0</v>
      </c>
      <c r="N4796" s="26">
        <v>0.0</v>
      </c>
      <c r="O4796" s="26">
        <v>0.0</v>
      </c>
      <c r="P4796" s="34">
        <v>1490.0</v>
      </c>
      <c r="Q4796" s="35">
        <v>28.0</v>
      </c>
      <c r="R4796" s="32">
        <v>44581.0</v>
      </c>
      <c r="S4796" s="32">
        <v>42268.0</v>
      </c>
      <c r="T4796" s="29"/>
      <c r="U4796" s="33"/>
      <c r="V4796" s="1"/>
    </row>
    <row r="4797" ht="24.0" customHeight="1">
      <c r="A4797" s="1"/>
      <c r="B4797" s="24" t="str">
        <f>HYPERLINK("https://www.compass.com/listing/82-irving-place-unit-34g-manhattan-ny-10003/4876331873904625025/view?agent_id=610d3f3370540700019b0833","82 Irving Pl, Unit 34G")</f>
        <v>82 Irving Pl, Unit 34G</v>
      </c>
      <c r="C4797" s="25" t="s">
        <v>364</v>
      </c>
      <c r="D4797" s="26" t="s">
        <v>23</v>
      </c>
      <c r="E4797" s="27" t="str">
        <f>HYPERLINK("https://www.compass.com/building/82-irving-pl-manhattan-ny-10003/281894984087513173/","82 Irving Pl")</f>
        <v>82 Irving Pl</v>
      </c>
      <c r="F4797" s="25" t="s">
        <v>48</v>
      </c>
      <c r="G4797" s="28">
        <v>2995000.0</v>
      </c>
      <c r="H4797" s="29"/>
      <c r="I4797" s="28">
        <v>2585.0</v>
      </c>
      <c r="J4797" s="29"/>
      <c r="K4797" s="25" t="s">
        <v>25</v>
      </c>
      <c r="L4797" s="26">
        <v>5.0</v>
      </c>
      <c r="M4797" s="26">
        <v>2.0</v>
      </c>
      <c r="N4797" s="26">
        <v>0.0</v>
      </c>
      <c r="O4797" s="26">
        <v>0.0</v>
      </c>
      <c r="P4797" s="30"/>
      <c r="Q4797" s="35">
        <v>50.0</v>
      </c>
      <c r="R4797" s="32">
        <v>45636.0</v>
      </c>
      <c r="S4797" s="32">
        <v>42893.0</v>
      </c>
      <c r="T4797" s="29"/>
      <c r="U4797" s="33"/>
      <c r="V4797" s="1"/>
    </row>
    <row r="4798" ht="24.0" customHeight="1">
      <c r="A4798" s="1"/>
      <c r="B4798" s="24" t="str">
        <f>HYPERLINK("https://www.compass.com/listing/67-east-11th-street-unit-323-manhattan-ny-10003/29365168815267393/view?agent_id=610d3f3370540700019b0833","67 E 11th St, Unit 323")</f>
        <v>67 E 11th St, Unit 323</v>
      </c>
      <c r="C4798" s="25" t="s">
        <v>364</v>
      </c>
      <c r="D4798" s="26" t="s">
        <v>23</v>
      </c>
      <c r="E4798" s="27" t="str">
        <f>HYPERLINK("https://www.compass.com/building/cast-iron-building-manhattan-ny/282059003654079797/","Cast Iron Building")</f>
        <v>Cast Iron Building</v>
      </c>
      <c r="F4798" s="25" t="s">
        <v>43</v>
      </c>
      <c r="G4798" s="28">
        <v>800000.0</v>
      </c>
      <c r="H4798" s="28">
        <v>833.0</v>
      </c>
      <c r="I4798" s="29"/>
      <c r="J4798" s="29"/>
      <c r="K4798" s="25" t="s">
        <v>25</v>
      </c>
      <c r="L4798" s="26">
        <v>3.0</v>
      </c>
      <c r="M4798" s="26">
        <v>2.0</v>
      </c>
      <c r="N4798" s="30"/>
      <c r="O4798" s="30"/>
      <c r="P4798" s="26">
        <v>960.0</v>
      </c>
      <c r="Q4798" s="35">
        <v>48.0</v>
      </c>
      <c r="R4798" s="32">
        <v>42104.0</v>
      </c>
      <c r="S4798" s="32">
        <v>40066.0</v>
      </c>
      <c r="T4798" s="29"/>
      <c r="U4798" s="33"/>
      <c r="V4798" s="1"/>
    </row>
    <row r="4799" ht="24.0" customHeight="1">
      <c r="A4799" s="1"/>
      <c r="B4799" s="24" t="str">
        <f>HYPERLINK("https://www.compass.com/listing/227-west-11th-street-unit-3-manhattan-ny-10014/1831336931856546833/view?agent_id=610d3f3370540700019b0833","227 W 11th St, Unit 3")</f>
        <v>227 W 11th St, Unit 3</v>
      </c>
      <c r="C4799" s="25" t="s">
        <v>370</v>
      </c>
      <c r="D4799" s="26" t="s">
        <v>23</v>
      </c>
      <c r="E4799" s="27" t="str">
        <f t="shared" ref="E4799:E4800" si="214">HYPERLINK("https://www.compass.com/building/227-w-11th-st-manhattan-ny-10014/281931132176479669/","227 W 11th St")</f>
        <v>227 W 11th St</v>
      </c>
      <c r="F4799" s="25" t="s">
        <v>26</v>
      </c>
      <c r="G4799" s="28">
        <v>999000.0</v>
      </c>
      <c r="H4799" s="28">
        <v>1110.0</v>
      </c>
      <c r="I4799" s="28">
        <v>1019.0</v>
      </c>
      <c r="J4799" s="28">
        <v>0.0</v>
      </c>
      <c r="K4799" s="25" t="s">
        <v>25</v>
      </c>
      <c r="L4799" s="26">
        <v>4.0</v>
      </c>
      <c r="M4799" s="26">
        <v>2.0</v>
      </c>
      <c r="N4799" s="30"/>
      <c r="O4799" s="30"/>
      <c r="P4799" s="26">
        <v>900.0</v>
      </c>
      <c r="Q4799" s="31"/>
      <c r="R4799" s="32">
        <v>41538.0</v>
      </c>
      <c r="S4799" s="33"/>
      <c r="T4799" s="29"/>
      <c r="U4799" s="33"/>
      <c r="V4799" s="1"/>
    </row>
    <row r="4800" ht="24.0" customHeight="1">
      <c r="A4800" s="1"/>
      <c r="B4800" s="24" t="str">
        <f>HYPERLINK("https://www.compass.com/listing/227-west-11th-street-unit-3-manhattan-ny-10014/29367703533877985/view?agent_id=610d3f3370540700019b0833","227 W 11th St, Unit 3")</f>
        <v>227 W 11th St, Unit 3</v>
      </c>
      <c r="C4800" s="25" t="s">
        <v>370</v>
      </c>
      <c r="D4800" s="26" t="s">
        <v>23</v>
      </c>
      <c r="E4800" s="27" t="str">
        <f t="shared" si="214"/>
        <v>227 W 11th St</v>
      </c>
      <c r="F4800" s="25" t="s">
        <v>26</v>
      </c>
      <c r="G4800" s="28">
        <v>999000.0</v>
      </c>
      <c r="H4800" s="28">
        <v>1110.0</v>
      </c>
      <c r="I4800" s="28">
        <v>1019.0</v>
      </c>
      <c r="J4800" s="29"/>
      <c r="K4800" s="25" t="s">
        <v>25</v>
      </c>
      <c r="L4800" s="26">
        <v>4.0</v>
      </c>
      <c r="M4800" s="26">
        <v>2.0</v>
      </c>
      <c r="N4800" s="26">
        <v>0.0</v>
      </c>
      <c r="O4800" s="26">
        <v>0.0</v>
      </c>
      <c r="P4800" s="26">
        <v>900.0</v>
      </c>
      <c r="Q4800" s="35">
        <v>0.0</v>
      </c>
      <c r="R4800" s="32">
        <v>44581.0</v>
      </c>
      <c r="S4800" s="32">
        <v>41513.0</v>
      </c>
      <c r="T4800" s="29"/>
      <c r="U4800" s="33"/>
      <c r="V4800" s="1"/>
    </row>
    <row r="4801" ht="24.0" customHeight="1">
      <c r="A4801" s="1"/>
      <c r="B4801" s="24" t="str">
        <f>HYPERLINK("https://www.compass.com/listing/86-2nd-street-unit-2-brooklyn-ny-11231/1292155202081233961/view?agent_id=610d3f3370540700019b0833","86 2nd St, Unit 2")</f>
        <v>86 2nd St, Unit 2</v>
      </c>
      <c r="C4801" s="25" t="s">
        <v>370</v>
      </c>
      <c r="D4801" s="26" t="s">
        <v>23</v>
      </c>
      <c r="E4801" s="27" t="str">
        <f>HYPERLINK("https://www.compass.com/building/86-2nd-st-brooklyn-ny-11231/282464070022493749/","86 2nd St")</f>
        <v>86 2nd St</v>
      </c>
      <c r="F4801" s="25" t="s">
        <v>65</v>
      </c>
      <c r="G4801" s="28">
        <v>1695000.0</v>
      </c>
      <c r="H4801" s="28">
        <v>1541.0</v>
      </c>
      <c r="I4801" s="28">
        <v>1128.0</v>
      </c>
      <c r="J4801" s="29"/>
      <c r="K4801" s="25" t="s">
        <v>25</v>
      </c>
      <c r="L4801" s="26">
        <v>5.0</v>
      </c>
      <c r="M4801" s="26">
        <v>2.0</v>
      </c>
      <c r="N4801" s="26">
        <v>1.0</v>
      </c>
      <c r="O4801" s="30"/>
      <c r="P4801" s="34">
        <v>1100.0</v>
      </c>
      <c r="Q4801" s="35">
        <v>19.0</v>
      </c>
      <c r="R4801" s="32">
        <v>44512.0</v>
      </c>
      <c r="S4801" s="32">
        <v>44327.0</v>
      </c>
      <c r="T4801" s="29"/>
      <c r="U4801" s="33"/>
      <c r="V4801" s="1"/>
    </row>
    <row r="4802" ht="24.0" customHeight="1">
      <c r="A4802" s="1"/>
      <c r="B4802" s="24" t="str">
        <f>HYPERLINK("https://www.compass.com/listing/382-prospect-place-unit-6-brooklyn-ny-11238/903047184856769241/view?agent_id=610d3f3370540700019b0833","382 Prospect Pl, Unit 6")</f>
        <v>382 Prospect Pl, Unit 6</v>
      </c>
      <c r="C4802" s="25" t="s">
        <v>364</v>
      </c>
      <c r="D4802" s="26" t="s">
        <v>23</v>
      </c>
      <c r="E4802" s="27" t="str">
        <f>HYPERLINK("https://www.compass.com/building/382-prospect-pl-brooklyn-ny-11238/293426423828389813/","382 Prospect Pl")</f>
        <v>382 Prospect Pl</v>
      </c>
      <c r="F4802" s="25" t="s">
        <v>39</v>
      </c>
      <c r="G4802" s="28">
        <v>649000.0</v>
      </c>
      <c r="H4802" s="29"/>
      <c r="I4802" s="28">
        <v>689.0</v>
      </c>
      <c r="J4802" s="29"/>
      <c r="K4802" s="25" t="s">
        <v>25</v>
      </c>
      <c r="L4802" s="26">
        <v>4.0</v>
      </c>
      <c r="M4802" s="26">
        <v>2.0</v>
      </c>
      <c r="N4802" s="26">
        <v>1.0</v>
      </c>
      <c r="O4802" s="26">
        <v>0.0</v>
      </c>
      <c r="P4802" s="30"/>
      <c r="Q4802" s="35">
        <v>13.0</v>
      </c>
      <c r="R4802" s="32">
        <v>45636.0</v>
      </c>
      <c r="S4802" s="32">
        <v>44497.0</v>
      </c>
      <c r="T4802" s="29"/>
      <c r="U4802" s="33"/>
      <c r="V4802" s="1"/>
    </row>
    <row r="4803" ht="24.0" customHeight="1">
      <c r="A4803" s="1"/>
      <c r="B4803" s="24" t="str">
        <f>HYPERLINK("https://www.compass.com/listing/279-sterling-place-unit-1c-brooklyn-ny-11238/29470508064008273/view?agent_id=610d3f3370540700019b0833","279 Sterling Pl, Unit 1C")</f>
        <v>279 Sterling Pl, Unit 1C</v>
      </c>
      <c r="C4803" s="25" t="s">
        <v>364</v>
      </c>
      <c r="D4803" s="26" t="s">
        <v>23</v>
      </c>
      <c r="E4803" s="27" t="str">
        <f>HYPERLINK("https://www.compass.com/building/public-school-9-annex-brooklyn-ny/293418354826399925/","Public School 9 Annex")</f>
        <v>Public School 9 Annex</v>
      </c>
      <c r="F4803" s="25" t="s">
        <v>39</v>
      </c>
      <c r="G4803" s="28">
        <v>1200000.0</v>
      </c>
      <c r="H4803" s="29"/>
      <c r="I4803" s="28">
        <v>1327.0</v>
      </c>
      <c r="J4803" s="29"/>
      <c r="K4803" s="25" t="s">
        <v>25</v>
      </c>
      <c r="L4803" s="26">
        <v>5.0</v>
      </c>
      <c r="M4803" s="26">
        <v>2.0</v>
      </c>
      <c r="N4803" s="26">
        <v>1.0</v>
      </c>
      <c r="O4803" s="26">
        <v>0.0</v>
      </c>
      <c r="P4803" s="30"/>
      <c r="Q4803" s="35">
        <v>18.0</v>
      </c>
      <c r="R4803" s="32">
        <v>45636.0</v>
      </c>
      <c r="S4803" s="32">
        <v>42638.0</v>
      </c>
      <c r="T4803" s="29"/>
      <c r="U4803" s="33"/>
      <c r="V4803" s="1"/>
    </row>
    <row r="4804" ht="24.0" customHeight="1">
      <c r="A4804" s="1"/>
      <c r="B4804" s="24" t="str">
        <f>HYPERLINK("https://www.compass.com/listing/327-west-11th-street-unit-2e-manhattan-ny-10014/167434020974609793/view?agent_id=610d3f3370540700019b0833","327 W 11th St, Unit 2E")</f>
        <v>327 W 11th St, Unit 2E</v>
      </c>
      <c r="C4804" s="25" t="s">
        <v>364</v>
      </c>
      <c r="D4804" s="26" t="s">
        <v>23</v>
      </c>
      <c r="E4804" s="27" t="str">
        <f>HYPERLINK("https://www.compass.com/building/327-w-11th-st-manhattan-ny-10014/282060578833334917/","327 W 11th St")</f>
        <v>327 W 11th St</v>
      </c>
      <c r="F4804" s="25" t="s">
        <v>26</v>
      </c>
      <c r="G4804" s="28">
        <v>1195000.0</v>
      </c>
      <c r="H4804" s="29"/>
      <c r="I4804" s="28">
        <v>1360.0</v>
      </c>
      <c r="J4804" s="29"/>
      <c r="K4804" s="25" t="s">
        <v>25</v>
      </c>
      <c r="L4804" s="26">
        <v>4.0</v>
      </c>
      <c r="M4804" s="26">
        <v>2.0</v>
      </c>
      <c r="N4804" s="30"/>
      <c r="O4804" s="30"/>
      <c r="P4804" s="30"/>
      <c r="Q4804" s="35">
        <v>154.0</v>
      </c>
      <c r="R4804" s="32">
        <v>43698.0</v>
      </c>
      <c r="S4804" s="32">
        <v>40617.0</v>
      </c>
      <c r="T4804" s="29"/>
      <c r="U4804" s="33"/>
      <c r="V4804" s="1"/>
    </row>
    <row r="4805" ht="24.0" customHeight="1">
      <c r="A4805" s="1"/>
      <c r="B4805" s="24" t="str">
        <f>HYPERLINK("https://www.compass.com/listing/69-west-9th-street-unit-6f-manhattan-ny-10011/1838933873170194185/view?agent_id=610d3f3370540700019b0833","69 W 9th St, Unit 6F")</f>
        <v>69 W 9th St, Unit 6F</v>
      </c>
      <c r="C4805" s="25" t="s">
        <v>370</v>
      </c>
      <c r="D4805" s="26" t="s">
        <v>23</v>
      </c>
      <c r="E4805" s="27" t="str">
        <f>HYPERLINK("https://www.compass.com/building/69-w-9th-st-manhattan-ny-10011/282061360903261253/","69 W 9th St")</f>
        <v>69 W 9th St</v>
      </c>
      <c r="F4805" s="25" t="s">
        <v>43</v>
      </c>
      <c r="G4805" s="28">
        <v>950000.0</v>
      </c>
      <c r="H4805" s="29"/>
      <c r="I4805" s="28">
        <v>1410.0</v>
      </c>
      <c r="J4805" s="28">
        <v>0.0</v>
      </c>
      <c r="K4805" s="25" t="s">
        <v>25</v>
      </c>
      <c r="L4805" s="26">
        <v>4.0</v>
      </c>
      <c r="M4805" s="26">
        <v>2.0</v>
      </c>
      <c r="N4805" s="30"/>
      <c r="O4805" s="30"/>
      <c r="P4805" s="30"/>
      <c r="Q4805" s="31"/>
      <c r="R4805" s="32">
        <v>41538.0</v>
      </c>
      <c r="S4805" s="33"/>
      <c r="T4805" s="29"/>
      <c r="U4805" s="33"/>
      <c r="V4805" s="1"/>
    </row>
    <row r="4806" ht="24.0" customHeight="1">
      <c r="A4806" s="1"/>
      <c r="B4806" s="24" t="str">
        <f>HYPERLINK("https://www.compass.com/listing/642-washington-street-unit-3b-manhattan-ny-10014/1577772952916385665/view?agent_id=610d3f3370540700019b0833","642 Washington St, Unit 3B")</f>
        <v>642 Washington St, Unit 3B</v>
      </c>
      <c r="C4806" s="25" t="s">
        <v>364</v>
      </c>
      <c r="D4806" s="26" t="s">
        <v>23</v>
      </c>
      <c r="E4806" s="27" t="str">
        <f>HYPERLINK("https://www.compass.com/building/west-village-houses-manhattan-ny/294843052011070949/","West Village Houses")</f>
        <v>West Village Houses</v>
      </c>
      <c r="F4806" s="25" t="s">
        <v>26</v>
      </c>
      <c r="G4806" s="28">
        <v>995000.0</v>
      </c>
      <c r="H4806" s="29"/>
      <c r="I4806" s="28">
        <v>1313.0</v>
      </c>
      <c r="J4806" s="28">
        <v>0.0</v>
      </c>
      <c r="K4806" s="25" t="s">
        <v>25</v>
      </c>
      <c r="L4806" s="26">
        <v>5.0</v>
      </c>
      <c r="M4806" s="26">
        <v>2.0</v>
      </c>
      <c r="N4806" s="26">
        <v>1.0</v>
      </c>
      <c r="O4806" s="26">
        <v>0.0</v>
      </c>
      <c r="P4806" s="30"/>
      <c r="Q4806" s="35">
        <v>29.0</v>
      </c>
      <c r="R4806" s="32">
        <v>45695.0</v>
      </c>
      <c r="S4806" s="32">
        <v>45428.0</v>
      </c>
      <c r="T4806" s="29"/>
      <c r="U4806" s="33"/>
      <c r="V4806" s="1"/>
    </row>
    <row r="4807" ht="24.0" customHeight="1">
      <c r="A4807" s="1"/>
      <c r="B4807" s="24" t="str">
        <f>HYPERLINK("https://www.compass.com/listing/22-leroy-street-unit-5-manhattan-ny-10014/4852266431682709601/view?agent_id=610d3f3370540700019b0833","22 Leroy St, Unit 5")</f>
        <v>22 Leroy St, Unit 5</v>
      </c>
      <c r="C4807" s="25" t="s">
        <v>364</v>
      </c>
      <c r="D4807" s="26" t="s">
        <v>23</v>
      </c>
      <c r="E4807" s="27" t="str">
        <f>HYPERLINK("https://www.compass.com/building/22-leroy-st-manhattan-ny-10014/281931052233047061/","22 Leroy St")</f>
        <v>22 Leroy St</v>
      </c>
      <c r="F4807" s="25" t="s">
        <v>26</v>
      </c>
      <c r="G4807" s="28">
        <v>965000.0</v>
      </c>
      <c r="H4807" s="29"/>
      <c r="I4807" s="28">
        <v>936.0</v>
      </c>
      <c r="J4807" s="29"/>
      <c r="K4807" s="25" t="s">
        <v>248</v>
      </c>
      <c r="L4807" s="26">
        <v>4.0</v>
      </c>
      <c r="M4807" s="26">
        <v>2.0</v>
      </c>
      <c r="N4807" s="26">
        <v>0.0</v>
      </c>
      <c r="O4807" s="26">
        <v>0.0</v>
      </c>
      <c r="P4807" s="30"/>
      <c r="Q4807" s="35">
        <v>167.0</v>
      </c>
      <c r="R4807" s="32">
        <v>45636.0</v>
      </c>
      <c r="S4807" s="32">
        <v>41775.0</v>
      </c>
      <c r="T4807" s="29"/>
      <c r="U4807" s="33"/>
      <c r="V4807" s="1"/>
    </row>
    <row r="4808" ht="24.0" customHeight="1">
      <c r="A4808" s="1"/>
      <c r="B4808" s="24" t="str">
        <f>HYPERLINK("https://www.compass.com/listing/425-central-park-west-unit-3d-manhattan-ny-10025/242955285121994305/view?agent_id=610d3f3370540700019b0833","425 Central Park West, Unit 3D")</f>
        <v>425 Central Park West, Unit 3D</v>
      </c>
      <c r="C4808" s="25" t="s">
        <v>364</v>
      </c>
      <c r="D4808" s="26" t="s">
        <v>23</v>
      </c>
      <c r="E4808" s="27" t="str">
        <f>HYPERLINK("https://www.compass.com/building/425-central-park-west-manhattan-ny-10025/281971859799496421/","425 Central Park West")</f>
        <v>425 Central Park West</v>
      </c>
      <c r="F4808" s="25" t="s">
        <v>29</v>
      </c>
      <c r="G4808" s="28">
        <v>1589000.0</v>
      </c>
      <c r="H4808" s="28">
        <v>1595.0</v>
      </c>
      <c r="I4808" s="28">
        <v>1772.0</v>
      </c>
      <c r="J4808" s="28">
        <v>8460.0</v>
      </c>
      <c r="K4808" s="25" t="s">
        <v>28</v>
      </c>
      <c r="L4808" s="26">
        <v>4.0</v>
      </c>
      <c r="M4808" s="26">
        <v>2.0</v>
      </c>
      <c r="N4808" s="30"/>
      <c r="O4808" s="30"/>
      <c r="P4808" s="26">
        <v>996.0</v>
      </c>
      <c r="Q4808" s="35">
        <v>179.0</v>
      </c>
      <c r="R4808" s="32">
        <v>43766.0</v>
      </c>
      <c r="S4808" s="32">
        <v>43587.0</v>
      </c>
      <c r="T4808" s="29"/>
      <c r="U4808" s="33"/>
      <c r="V4808" s="1"/>
    </row>
    <row r="4809" ht="24.0" customHeight="1">
      <c r="A4809" s="1"/>
      <c r="B4809" s="24" t="str">
        <f>HYPERLINK("https://www.compass.com/listing/283-east-4th-street-unit-4c1-manhattan-ny-10009/111514722318162785/view?agent_id=610d3f3370540700019b0833","283 E 4th St, Unit 4C1")</f>
        <v>283 E 4th St, Unit 4C1</v>
      </c>
      <c r="C4809" s="25" t="s">
        <v>364</v>
      </c>
      <c r="D4809" s="26" t="s">
        <v>23</v>
      </c>
      <c r="E4809" s="27" t="str">
        <f>HYPERLINK("https://www.compass.com/building/283-e-4th-st-manhattan-ny-10009/281899311376117829/","283 E 4th St")</f>
        <v>283 E 4th St</v>
      </c>
      <c r="F4809" s="25" t="s">
        <v>24</v>
      </c>
      <c r="G4809" s="28">
        <v>785000.0</v>
      </c>
      <c r="H4809" s="29"/>
      <c r="I4809" s="28">
        <v>711.0</v>
      </c>
      <c r="J4809" s="29"/>
      <c r="K4809" s="25" t="s">
        <v>25</v>
      </c>
      <c r="L4809" s="26">
        <v>4.0</v>
      </c>
      <c r="M4809" s="26">
        <v>2.0</v>
      </c>
      <c r="N4809" s="30"/>
      <c r="O4809" s="30"/>
      <c r="P4809" s="30"/>
      <c r="Q4809" s="35">
        <v>0.0</v>
      </c>
      <c r="R4809" s="32">
        <v>43414.0</v>
      </c>
      <c r="S4809" s="32">
        <v>43405.0</v>
      </c>
      <c r="T4809" s="29"/>
      <c r="U4809" s="33"/>
      <c r="V4809" s="1"/>
    </row>
    <row r="4810" ht="24.0" customHeight="1">
      <c r="A4810" s="1"/>
      <c r="B4810" s="24" t="str">
        <f>HYPERLINK("https://www.compass.com/listing/520-west-23rd-street-unit-16ag-manhattan-ny-10011/4821971586963736049/view?agent_id=610d3f3370540700019b0833","520 W 23rd St, Unit 16AG")</f>
        <v>520 W 23rd St, Unit 16AG</v>
      </c>
      <c r="C4810" s="25" t="s">
        <v>364</v>
      </c>
      <c r="D4810" s="26" t="s">
        <v>23</v>
      </c>
      <c r="E4810" s="27" t="str">
        <f>HYPERLINK("https://www.compass.com/building/marais-manhattan-ny/281911538384658949/","Marais")</f>
        <v>Marais</v>
      </c>
      <c r="F4810" s="25" t="s">
        <v>27</v>
      </c>
      <c r="G4810" s="28">
        <v>1775000.0</v>
      </c>
      <c r="H4810" s="29"/>
      <c r="I4810" s="28">
        <v>3480.0</v>
      </c>
      <c r="J4810" s="29"/>
      <c r="K4810" s="25" t="s">
        <v>49</v>
      </c>
      <c r="L4810" s="26">
        <v>4.0</v>
      </c>
      <c r="M4810" s="26">
        <v>2.0</v>
      </c>
      <c r="N4810" s="26">
        <v>0.0</v>
      </c>
      <c r="O4810" s="26">
        <v>0.0</v>
      </c>
      <c r="P4810" s="30"/>
      <c r="Q4810" s="35">
        <v>97.0</v>
      </c>
      <c r="R4810" s="32">
        <v>45636.0</v>
      </c>
      <c r="S4810" s="32">
        <v>42983.0</v>
      </c>
      <c r="T4810" s="29"/>
      <c r="U4810" s="33"/>
      <c r="V4810" s="1"/>
    </row>
    <row r="4811" ht="24.0" customHeight="1">
      <c r="A4811" s="1"/>
      <c r="B4811" s="24" t="str">
        <f>HYPERLINK("https://www.compass.com/listing/315-west-23rd-street-unit-12a-manhattan-ny-10011/333687150616970561/view?agent_id=610d3f3370540700019b0833","315 W 23rd St, Unit 12A")</f>
        <v>315 W 23rd St, Unit 12A</v>
      </c>
      <c r="C4811" s="25" t="s">
        <v>364</v>
      </c>
      <c r="D4811" s="26" t="s">
        <v>23</v>
      </c>
      <c r="E4811" s="27" t="str">
        <f>HYPERLINK("https://www.compass.com/building/the-broadmoor-manhattan-ny/281908624064796965/","The Broadmoor")</f>
        <v>The Broadmoor</v>
      </c>
      <c r="F4811" s="25" t="s">
        <v>27</v>
      </c>
      <c r="G4811" s="28">
        <v>1795000.0</v>
      </c>
      <c r="H4811" s="28">
        <v>1795.0</v>
      </c>
      <c r="I4811" s="28">
        <v>2300.0</v>
      </c>
      <c r="J4811" s="29"/>
      <c r="K4811" s="25" t="s">
        <v>25</v>
      </c>
      <c r="L4811" s="26">
        <v>4.0</v>
      </c>
      <c r="M4811" s="26">
        <v>2.0</v>
      </c>
      <c r="N4811" s="26">
        <v>1.0</v>
      </c>
      <c r="O4811" s="26">
        <v>0.0</v>
      </c>
      <c r="P4811" s="34">
        <v>1000.0</v>
      </c>
      <c r="Q4811" s="35">
        <v>433.0</v>
      </c>
      <c r="R4811" s="32">
        <v>45636.0</v>
      </c>
      <c r="S4811" s="32">
        <v>43710.0</v>
      </c>
      <c r="T4811" s="29"/>
      <c r="U4811" s="33"/>
      <c r="V4811" s="1"/>
    </row>
    <row r="4812" ht="24.0" customHeight="1">
      <c r="A4812" s="1"/>
      <c r="B4812" s="24" t="str">
        <f>HYPERLINK("https://www.compass.com/listing/225-west-17th-street-unit-3b-manhattan-ny-10011/4852324595111300065/view?agent_id=610d3f3370540700019b0833","225 W 17th St, Unit 3B")</f>
        <v>225 W 17th St, Unit 3B</v>
      </c>
      <c r="C4812" s="25" t="s">
        <v>364</v>
      </c>
      <c r="D4812" s="26" t="s">
        <v>23</v>
      </c>
      <c r="E4812" s="27" t="str">
        <f>HYPERLINK("https://www.compass.com/building/225-west-17th-street-manhattan-ny/292802090781141541/","225 West 17th Street")</f>
        <v>225 West 17th Street</v>
      </c>
      <c r="F4812" s="25" t="s">
        <v>27</v>
      </c>
      <c r="G4812" s="28">
        <v>2875000.0</v>
      </c>
      <c r="H4812" s="28">
        <v>1930.0</v>
      </c>
      <c r="I4812" s="28">
        <v>3991.0</v>
      </c>
      <c r="J4812" s="28">
        <v>20700.0</v>
      </c>
      <c r="K4812" s="25" t="s">
        <v>28</v>
      </c>
      <c r="L4812" s="26">
        <v>4.0</v>
      </c>
      <c r="M4812" s="26">
        <v>2.0</v>
      </c>
      <c r="N4812" s="26">
        <v>0.0</v>
      </c>
      <c r="O4812" s="26">
        <v>0.0</v>
      </c>
      <c r="P4812" s="34">
        <v>1490.0</v>
      </c>
      <c r="Q4812" s="35">
        <v>2.0</v>
      </c>
      <c r="R4812" s="32">
        <v>44581.0</v>
      </c>
      <c r="S4812" s="32">
        <v>42193.0</v>
      </c>
      <c r="T4812" s="29"/>
      <c r="U4812" s="33"/>
      <c r="V4812" s="1"/>
    </row>
    <row r="4813" ht="24.0" customHeight="1">
      <c r="A4813" s="1"/>
      <c r="B4813" s="24" t="str">
        <f>HYPERLINK("https://www.compass.com/listing/63-west-17th-street-unit-6b-manhattan-ny-10011/556281186308528489/view?agent_id=610d3f3370540700019b0833","63 W 17th St, Unit 6B")</f>
        <v>63 W 17th St, Unit 6B</v>
      </c>
      <c r="C4813" s="25" t="s">
        <v>364</v>
      </c>
      <c r="D4813" s="26" t="s">
        <v>23</v>
      </c>
      <c r="E4813" s="27" t="str">
        <f>HYPERLINK("https://www.compass.com/building/the-lyla-condominium-manhattan-ny/281911976060282293/","The Lyla Condominium ")</f>
        <v>The Lyla Condominium </v>
      </c>
      <c r="F4813" s="25" t="s">
        <v>115</v>
      </c>
      <c r="G4813" s="28">
        <v>2850000.0</v>
      </c>
      <c r="H4813" s="28">
        <v>1462.0</v>
      </c>
      <c r="I4813" s="28">
        <v>5442.0</v>
      </c>
      <c r="J4813" s="28">
        <v>44760.0</v>
      </c>
      <c r="K4813" s="25" t="s">
        <v>28</v>
      </c>
      <c r="L4813" s="26">
        <v>5.0</v>
      </c>
      <c r="M4813" s="26">
        <v>2.0</v>
      </c>
      <c r="N4813" s="30"/>
      <c r="O4813" s="30"/>
      <c r="P4813" s="34">
        <v>1950.0</v>
      </c>
      <c r="Q4813" s="35">
        <v>264.0</v>
      </c>
      <c r="R4813" s="32">
        <v>44285.0</v>
      </c>
      <c r="S4813" s="32">
        <v>44018.0</v>
      </c>
      <c r="T4813" s="29"/>
      <c r="U4813" s="33"/>
      <c r="V4813" s="1"/>
    </row>
    <row r="4814" ht="24.0" customHeight="1">
      <c r="A4814" s="1"/>
      <c r="B4814" s="24" t="str">
        <f>HYPERLINK("https://www.compass.com/listing/164-prospect-place-unit-2-brooklyn-ny-11238/1068899684604412377/view?agent_id=610d3f3370540700019b0833","164 Prospect Pl, Unit 2")</f>
        <v>164 Prospect Pl, Unit 2</v>
      </c>
      <c r="C4814" s="25" t="s">
        <v>364</v>
      </c>
      <c r="D4814" s="26" t="s">
        <v>23</v>
      </c>
      <c r="E4814" s="27" t="str">
        <f>HYPERLINK("https://www.compass.com/building/164-prospect-pl-brooklyn-ny-11238/293532392314991061/","164 Prospect Pl")</f>
        <v>164 Prospect Pl</v>
      </c>
      <c r="F4814" s="25" t="s">
        <v>39</v>
      </c>
      <c r="G4814" s="28">
        <v>1325000.0</v>
      </c>
      <c r="H4814" s="29"/>
      <c r="I4814" s="28">
        <v>1152.0</v>
      </c>
      <c r="J4814" s="28">
        <v>12.0</v>
      </c>
      <c r="K4814" s="25" t="s">
        <v>25</v>
      </c>
      <c r="L4814" s="26">
        <v>5.0</v>
      </c>
      <c r="M4814" s="26">
        <v>2.0</v>
      </c>
      <c r="N4814" s="26">
        <v>1.0</v>
      </c>
      <c r="O4814" s="26">
        <v>0.0</v>
      </c>
      <c r="P4814" s="30"/>
      <c r="Q4814" s="35">
        <v>126.0</v>
      </c>
      <c r="R4814" s="32">
        <v>45636.0</v>
      </c>
      <c r="S4814" s="32">
        <v>44726.0</v>
      </c>
      <c r="T4814" s="29"/>
      <c r="U4814" s="33"/>
      <c r="V4814" s="1"/>
    </row>
    <row r="4815" ht="24.0" customHeight="1">
      <c r="A4815" s="1"/>
      <c r="B4815" s="24" t="str">
        <f>HYPERLINK("https://www.compass.com/listing/288-west-12th-street-unit-fr-manhattan-ny-10014/803341598490515225/view?agent_id=610d3f3370540700019b0833","288 W 12th St, Unit FR")</f>
        <v>288 W 12th St, Unit FR</v>
      </c>
      <c r="C4815" s="25" t="s">
        <v>364</v>
      </c>
      <c r="D4815" s="26" t="s">
        <v>23</v>
      </c>
      <c r="E4815" s="27" t="str">
        <f>HYPERLINK("https://www.compass.com/building/288-w-12th-st-manhattan-ny-10014/281932143288957013/","288 W 12th St")</f>
        <v>288 W 12th St</v>
      </c>
      <c r="F4815" s="25" t="s">
        <v>26</v>
      </c>
      <c r="G4815" s="28">
        <v>3000000.0</v>
      </c>
      <c r="H4815" s="29"/>
      <c r="I4815" s="28">
        <v>1292.0</v>
      </c>
      <c r="J4815" s="29"/>
      <c r="K4815" s="25" t="s">
        <v>110</v>
      </c>
      <c r="L4815" s="26">
        <v>4.0</v>
      </c>
      <c r="M4815" s="26">
        <v>2.0</v>
      </c>
      <c r="N4815" s="26">
        <v>0.0</v>
      </c>
      <c r="O4815" s="26">
        <v>0.0</v>
      </c>
      <c r="P4815" s="30"/>
      <c r="Q4815" s="35">
        <v>3.0</v>
      </c>
      <c r="R4815" s="32">
        <v>44581.0</v>
      </c>
      <c r="S4815" s="32">
        <v>42391.0</v>
      </c>
      <c r="T4815" s="29"/>
      <c r="U4815" s="33"/>
      <c r="V4815" s="1"/>
    </row>
    <row r="4816" ht="24.0" customHeight="1">
      <c r="A4816" s="1"/>
      <c r="B4816" s="24" t="str">
        <f>HYPERLINK("https://www.compass.com/listing/365-west-20th-street-unit-10c-manhattan-ny-10011/923818683641787345/view?agent_id=610d3f3370540700019b0833","365 W 20th St, Unit 10C")</f>
        <v>365 W 20th St, Unit 10C</v>
      </c>
      <c r="C4816" s="25" t="s">
        <v>364</v>
      </c>
      <c r="D4816" s="26" t="s">
        <v>23</v>
      </c>
      <c r="E4816" s="27" t="str">
        <f>HYPERLINK("https://www.compass.com/building/365-w-20th-st-manhattan-ny-10011/292805231895410229/","365 W 20th St")</f>
        <v>365 W 20th St</v>
      </c>
      <c r="F4816" s="25" t="s">
        <v>27</v>
      </c>
      <c r="G4816" s="28">
        <v>1100000.0</v>
      </c>
      <c r="H4816" s="29"/>
      <c r="I4816" s="28">
        <v>1832.0</v>
      </c>
      <c r="J4816" s="29"/>
      <c r="K4816" s="25" t="s">
        <v>25</v>
      </c>
      <c r="L4816" s="26">
        <v>4.0</v>
      </c>
      <c r="M4816" s="26">
        <v>2.0</v>
      </c>
      <c r="N4816" s="26">
        <v>1.0</v>
      </c>
      <c r="O4816" s="26">
        <v>0.0</v>
      </c>
      <c r="P4816" s="30"/>
      <c r="Q4816" s="35">
        <v>103.0</v>
      </c>
      <c r="R4816" s="32">
        <v>45636.0</v>
      </c>
      <c r="S4816" s="32">
        <v>43984.0</v>
      </c>
      <c r="T4816" s="29"/>
      <c r="U4816" s="33"/>
      <c r="V4816" s="1"/>
    </row>
    <row r="4817" ht="24.0" customHeight="1">
      <c r="A4817" s="1"/>
      <c r="B4817" s="24" t="str">
        <f>HYPERLINK("https://www.compass.com/listing/25-west-13th-street-unit-2mnn-manhattan-ny-10011/4852279650316988257/view?agent_id=610d3f3370540700019b0833","25 W 13th St, Unit 2MNN")</f>
        <v>25 W 13th St, Unit 2MNN</v>
      </c>
      <c r="C4817" s="25" t="s">
        <v>370</v>
      </c>
      <c r="D4817" s="26" t="s">
        <v>23</v>
      </c>
      <c r="E4817" s="27" t="str">
        <f>HYPERLINK("https://www.compass.com/building/the-montparnasse-manhattan-ny/292802003195686005/","The Montparnasse")</f>
        <v>The Montparnasse</v>
      </c>
      <c r="F4817" s="25" t="s">
        <v>43</v>
      </c>
      <c r="G4817" s="28">
        <v>1500000.0</v>
      </c>
      <c r="H4817" s="28">
        <v>1364.0</v>
      </c>
      <c r="I4817" s="28">
        <v>1999.0</v>
      </c>
      <c r="J4817" s="29"/>
      <c r="K4817" s="25" t="s">
        <v>25</v>
      </c>
      <c r="L4817" s="26">
        <v>4.0</v>
      </c>
      <c r="M4817" s="26">
        <v>2.0</v>
      </c>
      <c r="N4817" s="26">
        <v>0.0</v>
      </c>
      <c r="O4817" s="26">
        <v>0.0</v>
      </c>
      <c r="P4817" s="34">
        <v>1100.0</v>
      </c>
      <c r="Q4817" s="35">
        <v>19.0</v>
      </c>
      <c r="R4817" s="32">
        <v>45636.0</v>
      </c>
      <c r="S4817" s="32">
        <v>42875.0</v>
      </c>
      <c r="T4817" s="29"/>
      <c r="U4817" s="33"/>
      <c r="V4817" s="1"/>
    </row>
    <row r="4818" ht="24.0" customHeight="1">
      <c r="A4818" s="1"/>
      <c r="B4818" s="24" t="str">
        <f>HYPERLINK("https://www.compass.com/listing/410-west-24th-street-unit-18f-manhattan-ny-10011/1838980921659582785/view?agent_id=610d3f3370540700019b0833","410 W 24th St, Unit 18F")</f>
        <v>410 W 24th St, Unit 18F</v>
      </c>
      <c r="C4818" s="25" t="s">
        <v>364</v>
      </c>
      <c r="D4818" s="26" t="s">
        <v>23</v>
      </c>
      <c r="E4818" s="27" t="str">
        <f>HYPERLINK("https://www.compass.com/building/london-terrace-towers-manhattan-ny/282058990777564581/","London Terrace Towers")</f>
        <v>London Terrace Towers</v>
      </c>
      <c r="F4818" s="25" t="s">
        <v>27</v>
      </c>
      <c r="G4818" s="28">
        <v>2875000.0</v>
      </c>
      <c r="H4818" s="29"/>
      <c r="I4818" s="28">
        <v>3963.0</v>
      </c>
      <c r="J4818" s="29"/>
      <c r="K4818" s="25" t="s">
        <v>25</v>
      </c>
      <c r="L4818" s="26">
        <v>4.0</v>
      </c>
      <c r="M4818" s="26">
        <v>2.0</v>
      </c>
      <c r="N4818" s="26">
        <v>0.0</v>
      </c>
      <c r="O4818" s="26">
        <v>0.0</v>
      </c>
      <c r="P4818" s="30"/>
      <c r="Q4818" s="35">
        <v>8.0</v>
      </c>
      <c r="R4818" s="32">
        <v>45636.0</v>
      </c>
      <c r="S4818" s="32">
        <v>43144.0</v>
      </c>
      <c r="T4818" s="29"/>
      <c r="U4818" s="33"/>
      <c r="V4818" s="1"/>
    </row>
    <row r="4819" ht="24.0" customHeight="1">
      <c r="A4819" s="1"/>
      <c r="B4819" s="24" t="str">
        <f>HYPERLINK("https://www.compass.com/listing/456-west-19th-street-unit-4-5a-manhattan-ny-10011/75269443244128833/view?agent_id=610d3f3370540700019b0833","456 W 19th St, Unit 4/5A")</f>
        <v>456 W 19th St, Unit 4/5A</v>
      </c>
      <c r="C4819" s="25" t="s">
        <v>364</v>
      </c>
      <c r="D4819" s="26" t="s">
        <v>23</v>
      </c>
      <c r="E4819" s="27" t="str">
        <f>HYPERLINK("https://www.compass.com/building/456-w-19th-st-manhattan-ny-10011/281910858127269813/","456 W 19th St")</f>
        <v>456 W 19th St</v>
      </c>
      <c r="F4819" s="25" t="s">
        <v>27</v>
      </c>
      <c r="G4819" s="28">
        <v>3695000.0</v>
      </c>
      <c r="H4819" s="28">
        <v>2151.0</v>
      </c>
      <c r="I4819" s="28">
        <v>3067.0</v>
      </c>
      <c r="J4819" s="28">
        <v>10512.0</v>
      </c>
      <c r="K4819" s="25" t="s">
        <v>28</v>
      </c>
      <c r="L4819" s="26">
        <v>5.0</v>
      </c>
      <c r="M4819" s="26">
        <v>2.0</v>
      </c>
      <c r="N4819" s="26">
        <v>0.0</v>
      </c>
      <c r="O4819" s="26">
        <v>0.0</v>
      </c>
      <c r="P4819" s="34">
        <v>1718.0</v>
      </c>
      <c r="Q4819" s="35">
        <v>316.0</v>
      </c>
      <c r="R4819" s="32">
        <v>45636.0</v>
      </c>
      <c r="S4819" s="32">
        <v>42222.0</v>
      </c>
      <c r="T4819" s="29"/>
      <c r="U4819" s="33"/>
      <c r="V4819" s="1"/>
    </row>
    <row r="4820" ht="24.0" customHeight="1">
      <c r="A4820" s="1"/>
      <c r="B4820" s="24" t="str">
        <f>HYPERLINK("https://www.compass.com/listing/288-west-12th-street-unit-3fr-manhattan-ny-10014/1838915013993941369/view?agent_id=610d3f3370540700019b0833","288 W 12th St, Unit 3FR")</f>
        <v>288 W 12th St, Unit 3FR</v>
      </c>
      <c r="C4820" s="25" t="s">
        <v>364</v>
      </c>
      <c r="D4820" s="26" t="s">
        <v>23</v>
      </c>
      <c r="E4820" s="27" t="str">
        <f>HYPERLINK("https://www.compass.com/building/288-w-12th-st-manhattan-ny-10014/281932143288957013/","288 W 12th St")</f>
        <v>288 W 12th St</v>
      </c>
      <c r="F4820" s="25" t="s">
        <v>26</v>
      </c>
      <c r="G4820" s="28">
        <v>2200000.0</v>
      </c>
      <c r="H4820" s="28">
        <v>2316.0</v>
      </c>
      <c r="I4820" s="28">
        <v>1292.0</v>
      </c>
      <c r="J4820" s="29"/>
      <c r="K4820" s="25" t="s">
        <v>25</v>
      </c>
      <c r="L4820" s="26">
        <v>4.0</v>
      </c>
      <c r="M4820" s="26">
        <v>2.0</v>
      </c>
      <c r="N4820" s="26">
        <v>0.0</v>
      </c>
      <c r="O4820" s="26">
        <v>0.0</v>
      </c>
      <c r="P4820" s="26">
        <v>950.0</v>
      </c>
      <c r="Q4820" s="35">
        <v>120.0</v>
      </c>
      <c r="R4820" s="32">
        <v>45636.0</v>
      </c>
      <c r="S4820" s="32">
        <v>42394.0</v>
      </c>
      <c r="T4820" s="29"/>
      <c r="U4820" s="33"/>
      <c r="V4820" s="1"/>
    </row>
    <row r="4821" ht="24.0" customHeight="1">
      <c r="A4821" s="1"/>
      <c r="B4821" s="24" t="str">
        <f>HYPERLINK("https://www.compass.com/listing/169-bond-street-unit-3r-brooklyn-ny-11217/1319499071492819249/view?agent_id=610d3f3370540700019b0833","169 Bond St, Unit 3R")</f>
        <v>169 Bond St, Unit 3R</v>
      </c>
      <c r="C4821" s="25" t="s">
        <v>364</v>
      </c>
      <c r="D4821" s="26" t="s">
        <v>23</v>
      </c>
      <c r="E4821" s="27" t="str">
        <f>HYPERLINK("https://www.compass.com/building/169-bond-st-brooklyn-ny-11217/282500927955480597/","169 Bond St")</f>
        <v>169 Bond St</v>
      </c>
      <c r="F4821" s="25" t="s">
        <v>102</v>
      </c>
      <c r="G4821" s="28">
        <v>2150000.0</v>
      </c>
      <c r="H4821" s="28">
        <v>1955.0</v>
      </c>
      <c r="I4821" s="28">
        <v>809.0</v>
      </c>
      <c r="J4821" s="29"/>
      <c r="K4821" s="25" t="s">
        <v>25</v>
      </c>
      <c r="L4821" s="26">
        <v>5.0</v>
      </c>
      <c r="M4821" s="26">
        <v>2.0</v>
      </c>
      <c r="N4821" s="26">
        <v>1.0</v>
      </c>
      <c r="O4821" s="26">
        <v>0.0</v>
      </c>
      <c r="P4821" s="34">
        <v>1100.0</v>
      </c>
      <c r="Q4821" s="35">
        <v>117.0</v>
      </c>
      <c r="R4821" s="32">
        <v>45190.0</v>
      </c>
      <c r="S4821" s="32">
        <v>45072.0</v>
      </c>
      <c r="T4821" s="29"/>
      <c r="U4821" s="33"/>
      <c r="V4821" s="1"/>
    </row>
    <row r="4822" ht="24.0" customHeight="1">
      <c r="A4822" s="1"/>
      <c r="B4822" s="24" t="str">
        <f>HYPERLINK("https://www.compass.com/listing/240-west-98th-street-unit-10g-manhattan-ny-10025/29430354171413089/view?agent_id=610d3f3370540700019b0833","240 W 98th St, Unit 10G")</f>
        <v>240 W 98th St, Unit 10G</v>
      </c>
      <c r="C4822" s="25" t="s">
        <v>370</v>
      </c>
      <c r="D4822" s="26" t="s">
        <v>23</v>
      </c>
      <c r="E4822" s="27" t="str">
        <f>HYPERLINK("https://www.compass.com/building/the-sabrina-manhattan-ny/281969809078439653/","The Sabrina")</f>
        <v>The Sabrina</v>
      </c>
      <c r="F4822" s="25" t="s">
        <v>29</v>
      </c>
      <c r="G4822" s="28">
        <v>1435000.0</v>
      </c>
      <c r="H4822" s="28">
        <v>1117.0</v>
      </c>
      <c r="I4822" s="28">
        <v>2180.0</v>
      </c>
      <c r="J4822" s="28">
        <v>12036.0</v>
      </c>
      <c r="K4822" s="25" t="s">
        <v>28</v>
      </c>
      <c r="L4822" s="26">
        <v>5.0</v>
      </c>
      <c r="M4822" s="26">
        <v>2.0</v>
      </c>
      <c r="N4822" s="26">
        <v>0.0</v>
      </c>
      <c r="O4822" s="26">
        <v>0.0</v>
      </c>
      <c r="P4822" s="34">
        <v>1285.0</v>
      </c>
      <c r="Q4822" s="35">
        <v>177.0</v>
      </c>
      <c r="R4822" s="32">
        <v>45636.0</v>
      </c>
      <c r="S4822" s="32">
        <v>42846.0</v>
      </c>
      <c r="T4822" s="29"/>
      <c r="U4822" s="33"/>
      <c r="V4822" s="1"/>
    </row>
    <row r="4823" ht="24.0" customHeight="1">
      <c r="A4823" s="1"/>
      <c r="B4823" s="24" t="str">
        <f>HYPERLINK("https://www.compass.com/listing/520-west-19th-street-unit-7a-manhattan-ny-10011/29369287202351137/view?agent_id=610d3f3370540700019b0833","520 West 19th Street, Unit 7A")</f>
        <v>520 West 19th Street, Unit 7A</v>
      </c>
      <c r="C4823" s="25" t="s">
        <v>370</v>
      </c>
      <c r="D4823" s="26" t="s">
        <v>23</v>
      </c>
      <c r="E4823" s="27" t="str">
        <f>HYPERLINK("https://www.compass.com/building/520-west-chelsea-manhattan-ny/281911510064720549/","520 West Chelsea")</f>
        <v>520 West Chelsea</v>
      </c>
      <c r="F4823" s="25" t="s">
        <v>27</v>
      </c>
      <c r="G4823" s="28">
        <v>3500000.0</v>
      </c>
      <c r="H4823" s="28">
        <v>2212.0</v>
      </c>
      <c r="I4823" s="28">
        <v>3508.0</v>
      </c>
      <c r="J4823" s="28">
        <v>17472.0</v>
      </c>
      <c r="K4823" s="25" t="s">
        <v>28</v>
      </c>
      <c r="L4823" s="26">
        <v>5.0</v>
      </c>
      <c r="M4823" s="26">
        <v>2.0</v>
      </c>
      <c r="N4823" s="26">
        <v>0.0</v>
      </c>
      <c r="O4823" s="26">
        <v>0.0</v>
      </c>
      <c r="P4823" s="34">
        <v>1582.0</v>
      </c>
      <c r="Q4823" s="35">
        <v>84.0</v>
      </c>
      <c r="R4823" s="32">
        <v>45636.0</v>
      </c>
      <c r="S4823" s="32">
        <v>42864.0</v>
      </c>
      <c r="T4823" s="29"/>
      <c r="U4823" s="33"/>
      <c r="V4823" s="1"/>
    </row>
    <row r="4824" ht="24.0" customHeight="1">
      <c r="A4824" s="1"/>
      <c r="B4824" s="24" t="str">
        <f>HYPERLINK("https://www.compass.com/listing/60-east-8th-street-unit-22n-manhattan-ny-10003/1787243341549846065/view?agent_id=610d3f3370540700019b0833","60 East 8th Street, Unit 22N")</f>
        <v>60 East 8th Street, Unit 22N</v>
      </c>
      <c r="C4824" s="25" t="s">
        <v>364</v>
      </c>
      <c r="D4824" s="26" t="s">
        <v>23</v>
      </c>
      <c r="E4824" s="27" t="str">
        <f>HYPERLINK("https://www.compass.com/building/georgetown-plaza-manhattan-ny/281894210716574965/","Georgetown Plaza")</f>
        <v>Georgetown Plaza</v>
      </c>
      <c r="F4824" s="25" t="s">
        <v>43</v>
      </c>
      <c r="G4824" s="28">
        <v>1625000.0</v>
      </c>
      <c r="H4824" s="29"/>
      <c r="I4824" s="28">
        <v>2119.0</v>
      </c>
      <c r="J4824" s="29"/>
      <c r="K4824" s="25" t="s">
        <v>49</v>
      </c>
      <c r="L4824" s="26">
        <v>5.0</v>
      </c>
      <c r="M4824" s="26">
        <v>2.0</v>
      </c>
      <c r="N4824" s="30"/>
      <c r="O4824" s="30"/>
      <c r="P4824" s="30"/>
      <c r="Q4824" s="35">
        <v>2566.0</v>
      </c>
      <c r="R4824" s="32">
        <v>43283.0</v>
      </c>
      <c r="S4824" s="32">
        <v>43151.0</v>
      </c>
      <c r="T4824" s="29"/>
      <c r="U4824" s="33"/>
      <c r="V4824" s="1"/>
    </row>
    <row r="4825" ht="24.0" customHeight="1">
      <c r="A4825" s="1"/>
      <c r="B4825" s="24" t="str">
        <f>HYPERLINK("https://www.compass.com/listing/180-west-houston-street-unit-lf-manhattan-ny-10014/4703689366273278417/view?agent_id=610d3f3370540700019b0833","180 W Houston St, Unit LF")</f>
        <v>180 W Houston St, Unit LF</v>
      </c>
      <c r="C4825" s="25" t="s">
        <v>364</v>
      </c>
      <c r="D4825" s="26" t="s">
        <v>23</v>
      </c>
      <c r="E4825" s="27" t="str">
        <f>HYPERLINK("https://www.compass.com/building/180-w-houston-st-manhattan-ny-10014/292829602160626757/","180 W Houston St")</f>
        <v>180 W Houston St</v>
      </c>
      <c r="F4825" s="25" t="s">
        <v>26</v>
      </c>
      <c r="G4825" s="28">
        <v>950000.0</v>
      </c>
      <c r="H4825" s="28">
        <v>950.0</v>
      </c>
      <c r="I4825" s="28">
        <v>785.0</v>
      </c>
      <c r="J4825" s="29"/>
      <c r="K4825" s="25" t="s">
        <v>25</v>
      </c>
      <c r="L4825" s="26">
        <v>4.0</v>
      </c>
      <c r="M4825" s="26">
        <v>2.0</v>
      </c>
      <c r="N4825" s="30"/>
      <c r="O4825" s="30"/>
      <c r="P4825" s="34">
        <v>1000.0</v>
      </c>
      <c r="Q4825" s="35">
        <v>30.0</v>
      </c>
      <c r="R4825" s="32">
        <v>42829.0</v>
      </c>
      <c r="S4825" s="32">
        <v>38336.0</v>
      </c>
      <c r="T4825" s="29"/>
      <c r="U4825" s="33"/>
      <c r="V4825" s="1"/>
    </row>
    <row r="4826" ht="24.0" customHeight="1">
      <c r="A4826" s="1"/>
      <c r="B4826" s="24" t="str">
        <f>HYPERLINK("https://www.compass.com/listing/448-court-street-unit-5-brooklyn-ny-11231/919006598491815649/view?agent_id=610d3f3370540700019b0833","448 Court Street, Unit 5")</f>
        <v>448 Court Street, Unit 5</v>
      </c>
      <c r="C4826" s="25" t="s">
        <v>364</v>
      </c>
      <c r="D4826" s="26" t="s">
        <v>23</v>
      </c>
      <c r="E4826" s="27" t="str">
        <f>HYPERLINK("https://www.compass.com/building/448-court-st-brooklyn-ny-11231/293395349991671221/","448 Court St")</f>
        <v>448 Court St</v>
      </c>
      <c r="F4826" s="25" t="s">
        <v>65</v>
      </c>
      <c r="G4826" s="28">
        <v>999500.0</v>
      </c>
      <c r="H4826" s="28">
        <v>833.0</v>
      </c>
      <c r="I4826" s="28">
        <v>946.0</v>
      </c>
      <c r="J4826" s="29"/>
      <c r="K4826" s="25" t="s">
        <v>25</v>
      </c>
      <c r="L4826" s="26">
        <v>5.0</v>
      </c>
      <c r="M4826" s="26">
        <v>2.0</v>
      </c>
      <c r="N4826" s="26">
        <v>0.0</v>
      </c>
      <c r="O4826" s="26">
        <v>0.0</v>
      </c>
      <c r="P4826" s="34">
        <v>1200.0</v>
      </c>
      <c r="Q4826" s="35">
        <v>106.0</v>
      </c>
      <c r="R4826" s="32">
        <v>45636.0</v>
      </c>
      <c r="S4826" s="32">
        <v>42772.0</v>
      </c>
      <c r="T4826" s="29"/>
      <c r="U4826" s="33"/>
      <c r="V4826" s="1"/>
    </row>
    <row r="4827" ht="24.0" customHeight="1">
      <c r="A4827" s="1"/>
      <c r="B4827" s="24" t="str">
        <f>HYPERLINK("https://www.compass.com/listing/334-carroll-street-brooklyn-ny-11231/1248197469335185641/view?agent_id=610d3f3370540700019b0833","334 Carroll Street")</f>
        <v>334 Carroll Street</v>
      </c>
      <c r="C4827" s="25" t="s">
        <v>370</v>
      </c>
      <c r="D4827" s="26" t="s">
        <v>23</v>
      </c>
      <c r="E4827" s="27" t="str">
        <f>HYPERLINK("https://www.compass.com/building/334-carroll-st-brooklyn-ny-11231/282444936538753477/","334 Carroll St")</f>
        <v>334 Carroll St</v>
      </c>
      <c r="F4827" s="25" t="s">
        <v>65</v>
      </c>
      <c r="G4827" s="28">
        <v>1799999.0</v>
      </c>
      <c r="H4827" s="28">
        <v>2083.0</v>
      </c>
      <c r="I4827" s="28">
        <v>200.0</v>
      </c>
      <c r="J4827" s="28">
        <v>2400.0</v>
      </c>
      <c r="K4827" s="25" t="s">
        <v>159</v>
      </c>
      <c r="L4827" s="26">
        <v>4.0</v>
      </c>
      <c r="M4827" s="26">
        <v>2.0</v>
      </c>
      <c r="N4827" s="26">
        <v>1.0</v>
      </c>
      <c r="O4827" s="30"/>
      <c r="P4827" s="26">
        <v>864.0</v>
      </c>
      <c r="Q4827" s="35">
        <v>146.0</v>
      </c>
      <c r="R4827" s="32">
        <v>45612.0</v>
      </c>
      <c r="S4827" s="32">
        <v>43560.0</v>
      </c>
      <c r="T4827" s="29"/>
      <c r="U4827" s="33"/>
      <c r="V4827" s="1"/>
    </row>
    <row r="4828" ht="24.0" customHeight="1">
      <c r="A4828" s="1"/>
      <c r="B4828" s="24" t="str">
        <f>HYPERLINK("https://www.compass.com/listing/32-west-18th-street-unit-2a-manhattan-ny-10011/1838941271628942953/view?agent_id=610d3f3370540700019b0833","32 West 18th Street, Unit 2A")</f>
        <v>32 West 18th Street, Unit 2A</v>
      </c>
      <c r="C4828" s="25" t="s">
        <v>364</v>
      </c>
      <c r="D4828" s="26" t="s">
        <v>23</v>
      </c>
      <c r="E4828" s="27" t="str">
        <f>HYPERLINK("https://www.compass.com/building/altair-18-manhattan-ny/281908694688489413/","Altair 18")</f>
        <v>Altair 18</v>
      </c>
      <c r="F4828" s="25" t="s">
        <v>115</v>
      </c>
      <c r="G4828" s="28">
        <v>5250000.0</v>
      </c>
      <c r="H4828" s="28">
        <v>1746.0</v>
      </c>
      <c r="I4828" s="28">
        <v>4719.0</v>
      </c>
      <c r="J4828" s="28">
        <v>26808.0</v>
      </c>
      <c r="K4828" s="25" t="s">
        <v>28</v>
      </c>
      <c r="L4828" s="26">
        <v>5.0</v>
      </c>
      <c r="M4828" s="26">
        <v>2.0</v>
      </c>
      <c r="N4828" s="26">
        <v>0.0</v>
      </c>
      <c r="O4828" s="26">
        <v>0.0</v>
      </c>
      <c r="P4828" s="34">
        <v>3007.0</v>
      </c>
      <c r="Q4828" s="35">
        <v>159.0</v>
      </c>
      <c r="R4828" s="32">
        <v>45636.0</v>
      </c>
      <c r="S4828" s="32">
        <v>42422.0</v>
      </c>
      <c r="T4828" s="29"/>
      <c r="U4828" s="33"/>
      <c r="V4828" s="1"/>
    </row>
    <row r="4829" ht="24.0" customHeight="1">
      <c r="A4829" s="1"/>
      <c r="B4829" s="24" t="str">
        <f>HYPERLINK("https://www.compass.com/listing/622-washington-street-unit-1a-manhattan-ny-10014/867627586848213217/view?agent_id=610d3f3370540700019b0833","622 Washington Street, Unit 1A")</f>
        <v>622 Washington Street, Unit 1A</v>
      </c>
      <c r="C4829" s="25" t="s">
        <v>365</v>
      </c>
      <c r="D4829" s="26" t="s">
        <v>23</v>
      </c>
      <c r="E4829" s="27" t="str">
        <f>HYPERLINK("https://www.compass.com/building/west-village-houses-manhattan-ny/282065816101360133/","West Village Houses")</f>
        <v>West Village Houses</v>
      </c>
      <c r="F4829" s="25" t="s">
        <v>26</v>
      </c>
      <c r="G4829" s="28">
        <v>1293500.0</v>
      </c>
      <c r="H4829" s="28">
        <v>1431.0</v>
      </c>
      <c r="I4829" s="28">
        <v>1350.0</v>
      </c>
      <c r="J4829" s="29"/>
      <c r="K4829" s="25" t="s">
        <v>25</v>
      </c>
      <c r="L4829" s="26">
        <v>4.0</v>
      </c>
      <c r="M4829" s="26">
        <v>2.0</v>
      </c>
      <c r="N4829" s="26">
        <v>1.0</v>
      </c>
      <c r="O4829" s="30"/>
      <c r="P4829" s="26">
        <v>904.0</v>
      </c>
      <c r="Q4829" s="35">
        <v>100.0</v>
      </c>
      <c r="R4829" s="32">
        <v>44820.0</v>
      </c>
      <c r="S4829" s="32">
        <v>44446.0</v>
      </c>
      <c r="T4829" s="29"/>
      <c r="U4829" s="33"/>
      <c r="V4829" s="1"/>
    </row>
    <row r="4830" ht="24.0" customHeight="1">
      <c r="A4830" s="1"/>
      <c r="B4830" s="24" t="str">
        <f>HYPERLINK("https://www.compass.com/listing/101-warren-street-unit-980-manhattan-ny-10007/70919540053146433/view?agent_id=610d3f3370540700019b0833","101 Warren Street, Unit 980")</f>
        <v>101 Warren Street, Unit 980</v>
      </c>
      <c r="C4830" s="25" t="s">
        <v>364</v>
      </c>
      <c r="D4830" s="26" t="s">
        <v>23</v>
      </c>
      <c r="E4830" s="27" t="str">
        <f>HYPERLINK("https://www.compass.com/building/99-101-warren-manhattan-ny/307460833541810581/","99-101 Warren")</f>
        <v>99-101 Warren</v>
      </c>
      <c r="F4830" s="25" t="s">
        <v>60</v>
      </c>
      <c r="G4830" s="28">
        <v>2850000.0</v>
      </c>
      <c r="H4830" s="28">
        <v>1935.0</v>
      </c>
      <c r="I4830" s="28">
        <v>2483.0</v>
      </c>
      <c r="J4830" s="28">
        <v>12792.0</v>
      </c>
      <c r="K4830" s="25" t="s">
        <v>209</v>
      </c>
      <c r="L4830" s="26">
        <v>5.0</v>
      </c>
      <c r="M4830" s="26">
        <v>2.0</v>
      </c>
      <c r="N4830" s="26">
        <v>0.0</v>
      </c>
      <c r="O4830" s="26">
        <v>0.0</v>
      </c>
      <c r="P4830" s="34">
        <v>1473.0</v>
      </c>
      <c r="Q4830" s="35">
        <v>116.0</v>
      </c>
      <c r="R4830" s="32">
        <v>45636.0</v>
      </c>
      <c r="S4830" s="32">
        <v>41797.0</v>
      </c>
      <c r="T4830" s="29"/>
      <c r="U4830" s="33"/>
      <c r="V4830" s="1"/>
    </row>
    <row r="4831" ht="24.0" customHeight="1">
      <c r="A4831" s="1"/>
      <c r="B4831" s="24" t="str">
        <f>HYPERLINK("https://www.compass.com/listing/212-west-18th-street-unit-ph4-manhattan-ny-10011/1809606338241836913/view?agent_id=610d3f3370540700019b0833","212 West 18th Street, Unit PH4")</f>
        <v>212 West 18th Street, Unit PH4</v>
      </c>
      <c r="C4831" s="25" t="s">
        <v>364</v>
      </c>
      <c r="D4831" s="26" t="s">
        <v>23</v>
      </c>
      <c r="E4831" s="27" t="str">
        <f t="shared" ref="E4831:E4833" si="215">HYPERLINK("https://www.compass.com/building/walker-tower-manhattan-ny/292801735825582245/","Walker Tower")</f>
        <v>Walker Tower</v>
      </c>
      <c r="F4831" s="25" t="s">
        <v>27</v>
      </c>
      <c r="G4831" s="28">
        <v>1.2895E7</v>
      </c>
      <c r="H4831" s="28">
        <v>5006.0</v>
      </c>
      <c r="I4831" s="28">
        <v>4634.0</v>
      </c>
      <c r="J4831" s="28">
        <v>26748.0</v>
      </c>
      <c r="K4831" s="25" t="s">
        <v>28</v>
      </c>
      <c r="L4831" s="26">
        <v>4.0</v>
      </c>
      <c r="M4831" s="26">
        <v>2.0</v>
      </c>
      <c r="N4831" s="26">
        <v>0.0</v>
      </c>
      <c r="O4831" s="26">
        <v>0.0</v>
      </c>
      <c r="P4831" s="34">
        <v>2576.0</v>
      </c>
      <c r="Q4831" s="35">
        <v>161.0</v>
      </c>
      <c r="R4831" s="32">
        <v>44581.0</v>
      </c>
      <c r="S4831" s="32">
        <v>41621.0</v>
      </c>
      <c r="T4831" s="29"/>
      <c r="U4831" s="33"/>
      <c r="V4831" s="1"/>
    </row>
    <row r="4832" ht="24.0" customHeight="1">
      <c r="A4832" s="1"/>
      <c r="B4832" s="24" t="str">
        <f>HYPERLINK("https://www.compass.com/listing/212-west-18th-street-unit-10b-manhattan-ny-10011/1809611721887673713/view?agent_id=610d3f3370540700019b0833","212 West 18th Street, Unit 10B")</f>
        <v>212 West 18th Street, Unit 10B</v>
      </c>
      <c r="C4832" s="25" t="s">
        <v>364</v>
      </c>
      <c r="D4832" s="26" t="s">
        <v>23</v>
      </c>
      <c r="E4832" s="27" t="str">
        <f t="shared" si="215"/>
        <v>Walker Tower</v>
      </c>
      <c r="F4832" s="25" t="s">
        <v>27</v>
      </c>
      <c r="G4832" s="28">
        <v>9250000.0</v>
      </c>
      <c r="H4832" s="28">
        <v>3872.0</v>
      </c>
      <c r="I4832" s="28">
        <v>4717.0</v>
      </c>
      <c r="J4832" s="28">
        <v>27228.0</v>
      </c>
      <c r="K4832" s="25" t="s">
        <v>28</v>
      </c>
      <c r="L4832" s="26">
        <v>5.0</v>
      </c>
      <c r="M4832" s="26">
        <v>2.0</v>
      </c>
      <c r="N4832" s="26">
        <v>0.0</v>
      </c>
      <c r="O4832" s="26">
        <v>0.0</v>
      </c>
      <c r="P4832" s="34">
        <v>2389.0</v>
      </c>
      <c r="Q4832" s="35">
        <v>865.0</v>
      </c>
      <c r="R4832" s="32">
        <v>44581.0</v>
      </c>
      <c r="S4832" s="32">
        <v>42012.0</v>
      </c>
      <c r="T4832" s="29"/>
      <c r="U4832" s="33"/>
      <c r="V4832" s="1"/>
    </row>
    <row r="4833" ht="24.0" customHeight="1">
      <c r="A4833" s="1"/>
      <c r="B4833" s="24" t="str">
        <f>HYPERLINK("https://www.compass.com/listing/212-west-18th-street-unit-18c-manhattan-ny-10011/803452940962626689/view?agent_id=610d3f3370540700019b0833","212 West 18th Street, Unit 18C")</f>
        <v>212 West 18th Street, Unit 18C</v>
      </c>
      <c r="C4833" s="25" t="s">
        <v>364</v>
      </c>
      <c r="D4833" s="26" t="s">
        <v>23</v>
      </c>
      <c r="E4833" s="27" t="str">
        <f t="shared" si="215"/>
        <v>Walker Tower</v>
      </c>
      <c r="F4833" s="25" t="s">
        <v>27</v>
      </c>
      <c r="G4833" s="28">
        <v>1.052E7</v>
      </c>
      <c r="H4833" s="28">
        <v>5000.0</v>
      </c>
      <c r="I4833" s="28">
        <v>3368.0</v>
      </c>
      <c r="J4833" s="28">
        <v>15168.0</v>
      </c>
      <c r="K4833" s="25" t="s">
        <v>28</v>
      </c>
      <c r="L4833" s="26">
        <v>0.0</v>
      </c>
      <c r="M4833" s="26">
        <v>2.0</v>
      </c>
      <c r="N4833" s="26">
        <v>0.0</v>
      </c>
      <c r="O4833" s="26">
        <v>0.0</v>
      </c>
      <c r="P4833" s="34">
        <v>2104.0</v>
      </c>
      <c r="Q4833" s="31"/>
      <c r="R4833" s="32">
        <v>44581.0</v>
      </c>
      <c r="S4833" s="33"/>
      <c r="T4833" s="29"/>
      <c r="U4833" s="33"/>
      <c r="V4833" s="1"/>
    </row>
    <row r="4834" ht="24.0" customHeight="1">
      <c r="A4834" s="1"/>
      <c r="B4834" s="24" t="str">
        <f>HYPERLINK("https://www.compass.com/listing/12-east-14th-street-unit-3b-manhattan-ny-10003/4852305983986207809/view?agent_id=610d3f3370540700019b0833","12 E 14th St, Unit 3B")</f>
        <v>12 E 14th St, Unit 3B</v>
      </c>
      <c r="C4834" s="25" t="s">
        <v>364</v>
      </c>
      <c r="D4834" s="26" t="s">
        <v>23</v>
      </c>
      <c r="E4834" s="27" t="str">
        <f>HYPERLINK("https://www.compass.com/building/12-e-14th-st-manhattan-ny-10003/294839876410976485/","12 E 14th St")</f>
        <v>12 E 14th St</v>
      </c>
      <c r="F4834" s="25" t="s">
        <v>43</v>
      </c>
      <c r="G4834" s="28">
        <v>850000.0</v>
      </c>
      <c r="H4834" s="28">
        <v>708.0</v>
      </c>
      <c r="I4834" s="29"/>
      <c r="J4834" s="29"/>
      <c r="K4834" s="25" t="s">
        <v>25</v>
      </c>
      <c r="L4834" s="26">
        <v>4.0</v>
      </c>
      <c r="M4834" s="26">
        <v>2.0</v>
      </c>
      <c r="N4834" s="30"/>
      <c r="O4834" s="30"/>
      <c r="P4834" s="34">
        <v>1200.0</v>
      </c>
      <c r="Q4834" s="35">
        <v>428.0</v>
      </c>
      <c r="R4834" s="32">
        <v>42476.0</v>
      </c>
      <c r="S4834" s="32">
        <v>38295.0</v>
      </c>
      <c r="T4834" s="29"/>
      <c r="U4834" s="33"/>
      <c r="V4834" s="1"/>
    </row>
    <row r="4835" ht="24.0" customHeight="1">
      <c r="A4835" s="1"/>
      <c r="B4835" s="24" t="str">
        <f>HYPERLINK("https://www.compass.com/listing/112-west-18th-street-unit-5a-manhattan-ny-10011/4852282818190906193/view?agent_id=610d3f3370540700019b0833","112 West 18th Street, Unit 5A")</f>
        <v>112 West 18th Street, Unit 5A</v>
      </c>
      <c r="C4835" s="25" t="s">
        <v>370</v>
      </c>
      <c r="D4835" s="26" t="s">
        <v>23</v>
      </c>
      <c r="E4835" s="27" t="str">
        <f>HYPERLINK("https://www.compass.com/building/the-brooks-van-horne-condominium-manhattan-ny/281904368926606453/","The Brooks Van Horne Condominium")</f>
        <v>The Brooks Van Horne Condominium</v>
      </c>
      <c r="F4835" s="25" t="s">
        <v>27</v>
      </c>
      <c r="G4835" s="28">
        <v>2195000.0</v>
      </c>
      <c r="H4835" s="28">
        <v>1219.0</v>
      </c>
      <c r="I4835" s="28">
        <v>2135.0</v>
      </c>
      <c r="J4835" s="28">
        <v>15000.0</v>
      </c>
      <c r="K4835" s="25" t="s">
        <v>28</v>
      </c>
      <c r="L4835" s="26">
        <v>4.0</v>
      </c>
      <c r="M4835" s="26">
        <v>2.0</v>
      </c>
      <c r="N4835" s="26">
        <v>0.0</v>
      </c>
      <c r="O4835" s="26">
        <v>0.0</v>
      </c>
      <c r="P4835" s="34">
        <v>1800.0</v>
      </c>
      <c r="Q4835" s="35">
        <v>0.0</v>
      </c>
      <c r="R4835" s="32">
        <v>44581.0</v>
      </c>
      <c r="S4835" s="32">
        <v>41513.0</v>
      </c>
      <c r="T4835" s="29"/>
      <c r="U4835" s="33"/>
      <c r="V4835" s="1"/>
    </row>
    <row r="4836" ht="24.0" customHeight="1">
      <c r="A4836" s="1"/>
      <c r="B4836" s="24" t="str">
        <f>HYPERLINK("https://www.compass.com/listing/423-atlantic-avenue-unit-3c-brooklyn-ny-11217/927299635666567841/view?agent_id=610d3f3370540700019b0833","423 Atlantic Avenue, Unit 3C")</f>
        <v>423 Atlantic Avenue, Unit 3C</v>
      </c>
      <c r="C4836" s="25" t="s">
        <v>364</v>
      </c>
      <c r="D4836" s="26" t="s">
        <v>23</v>
      </c>
      <c r="E4836" s="27" t="str">
        <f>HYPERLINK("https://www.compass.com/building/exlax-building-brooklyn-ny/282504642716322325/","ExLax Building")</f>
        <v>ExLax Building</v>
      </c>
      <c r="F4836" s="25" t="s">
        <v>102</v>
      </c>
      <c r="G4836" s="28">
        <v>1395000.0</v>
      </c>
      <c r="H4836" s="29"/>
      <c r="I4836" s="28">
        <v>1653.0</v>
      </c>
      <c r="J4836" s="29"/>
      <c r="K4836" s="25" t="s">
        <v>25</v>
      </c>
      <c r="L4836" s="26">
        <v>4.0</v>
      </c>
      <c r="M4836" s="26">
        <v>2.0</v>
      </c>
      <c r="N4836" s="26">
        <v>1.0</v>
      </c>
      <c r="O4836" s="26">
        <v>0.0</v>
      </c>
      <c r="P4836" s="30"/>
      <c r="Q4836" s="35">
        <v>78.0</v>
      </c>
      <c r="R4836" s="32">
        <v>45636.0</v>
      </c>
      <c r="S4836" s="32">
        <v>44369.0</v>
      </c>
      <c r="T4836" s="29"/>
      <c r="U4836" s="33"/>
      <c r="V4836" s="1"/>
    </row>
    <row r="4837" ht="24.0" customHeight="1">
      <c r="A4837" s="1"/>
      <c r="B4837" s="24" t="str">
        <f>HYPERLINK("https://www.compass.com/listing/32-morton-street-unit-7b-manhattan-ny-10014/4703678733486149137/view?agent_id=610d3f3370540700019b0833","32 Morton St, Unit 7B")</f>
        <v>32 Morton St, Unit 7B</v>
      </c>
      <c r="C4837" s="25" t="s">
        <v>364</v>
      </c>
      <c r="D4837" s="26" t="s">
        <v>23</v>
      </c>
      <c r="E4837" s="27" t="str">
        <f>HYPERLINK("https://www.compass.com/building/32-morton-st-manhattan-ny-10014/307439685860969893/","32 Morton St")</f>
        <v>32 Morton St</v>
      </c>
      <c r="F4837" s="25" t="s">
        <v>26</v>
      </c>
      <c r="G4837" s="28">
        <v>2195000.0</v>
      </c>
      <c r="H4837" s="28">
        <v>1568.0</v>
      </c>
      <c r="I4837" s="28">
        <v>2077.0</v>
      </c>
      <c r="J4837" s="29"/>
      <c r="K4837" s="25" t="s">
        <v>25</v>
      </c>
      <c r="L4837" s="26">
        <v>4.0</v>
      </c>
      <c r="M4837" s="26">
        <v>2.0</v>
      </c>
      <c r="N4837" s="30"/>
      <c r="O4837" s="30"/>
      <c r="P4837" s="34">
        <v>1400.0</v>
      </c>
      <c r="Q4837" s="35">
        <v>27.0</v>
      </c>
      <c r="R4837" s="32">
        <v>42477.0</v>
      </c>
      <c r="S4837" s="32">
        <v>39610.0</v>
      </c>
      <c r="T4837" s="29"/>
      <c r="U4837" s="33"/>
      <c r="V4837" s="1"/>
    </row>
    <row r="4838" ht="24.0" customHeight="1">
      <c r="A4838" s="1"/>
      <c r="B4838" s="24" t="str">
        <f>HYPERLINK("https://www.compass.com/listing/450-west-17th-street-unit-1603-manhattan-ny-10011/921959510477798377/view?agent_id=610d3f3370540700019b0833","450 West 17th Street, Unit 1603")</f>
        <v>450 West 17th Street, Unit 1603</v>
      </c>
      <c r="C4838" s="25" t="s">
        <v>364</v>
      </c>
      <c r="D4838" s="26" t="s">
        <v>23</v>
      </c>
      <c r="E4838" s="27" t="str">
        <f>HYPERLINK("https://www.compass.com/building/the-caledonia-manhattan-ny/281910674349645621/","The Caledonia")</f>
        <v>The Caledonia</v>
      </c>
      <c r="F4838" s="25" t="s">
        <v>27</v>
      </c>
      <c r="G4838" s="28">
        <v>2495000.0</v>
      </c>
      <c r="H4838" s="28">
        <v>2404.0</v>
      </c>
      <c r="I4838" s="28">
        <v>1572.0</v>
      </c>
      <c r="J4838" s="28">
        <v>5556.0</v>
      </c>
      <c r="K4838" s="25" t="s">
        <v>28</v>
      </c>
      <c r="L4838" s="26">
        <v>4.0</v>
      </c>
      <c r="M4838" s="26">
        <v>2.0</v>
      </c>
      <c r="N4838" s="26">
        <v>0.0</v>
      </c>
      <c r="O4838" s="26">
        <v>0.0</v>
      </c>
      <c r="P4838" s="34">
        <v>1038.0</v>
      </c>
      <c r="Q4838" s="31"/>
      <c r="R4838" s="32">
        <v>44581.0</v>
      </c>
      <c r="S4838" s="33"/>
      <c r="T4838" s="29"/>
      <c r="U4838" s="33"/>
      <c r="V4838" s="1"/>
    </row>
    <row r="4839" ht="24.0" customHeight="1">
      <c r="A4839" s="1"/>
      <c r="B4839" s="24" t="str">
        <f>HYPERLINK("https://www.compass.com/listing/175-eastern-parkway-unit-2g-brooklyn-ny-11238/29471120952410273/view?agent_id=610d3f3370540700019b0833","175 Eastern Parkway, Unit 2G")</f>
        <v>175 Eastern Parkway, Unit 2G</v>
      </c>
      <c r="C4839" s="25" t="s">
        <v>364</v>
      </c>
      <c r="D4839" s="26" t="s">
        <v>23</v>
      </c>
      <c r="E4839" s="27" t="str">
        <f>HYPERLINK("https://www.compass.com/building/175-eastern-pkwy-brooklyn-ny-11238/293422878962027109/","175 Eastern Pkwy")</f>
        <v>175 Eastern Pkwy</v>
      </c>
      <c r="F4839" s="25" t="s">
        <v>39</v>
      </c>
      <c r="G4839" s="28">
        <v>949000.0</v>
      </c>
      <c r="H4839" s="28">
        <v>858.0</v>
      </c>
      <c r="I4839" s="28">
        <v>975.0</v>
      </c>
      <c r="J4839" s="29"/>
      <c r="K4839" s="25" t="s">
        <v>25</v>
      </c>
      <c r="L4839" s="26">
        <v>4.0</v>
      </c>
      <c r="M4839" s="26">
        <v>2.0</v>
      </c>
      <c r="N4839" s="26">
        <v>1.0</v>
      </c>
      <c r="O4839" s="26">
        <v>0.0</v>
      </c>
      <c r="P4839" s="34">
        <v>1106.0</v>
      </c>
      <c r="Q4839" s="35">
        <v>59.0</v>
      </c>
      <c r="R4839" s="32">
        <v>45636.0</v>
      </c>
      <c r="S4839" s="32">
        <v>43017.0</v>
      </c>
      <c r="T4839" s="29"/>
      <c r="U4839" s="33"/>
      <c r="V4839" s="1"/>
    </row>
    <row r="4840" ht="24.0" customHeight="1">
      <c r="A4840" s="1"/>
      <c r="B4840" s="24" t="str">
        <f>HYPERLINK("https://www.compass.com/listing/101-west-24th-street-unit-24a-manhattan-ny-10011/1809608082237922081/view?agent_id=610d3f3370540700019b0833","101 West 24th Street, Unit 24A")</f>
        <v>101 West 24th Street, Unit 24A</v>
      </c>
      <c r="C4840" s="25" t="s">
        <v>370</v>
      </c>
      <c r="D4840" s="26" t="s">
        <v>23</v>
      </c>
      <c r="E4840" s="27" t="str">
        <f>HYPERLINK("https://www.compass.com/building/chelsea-stratus-manhattan-ny/294845224777812053/","Chelsea Stratus")</f>
        <v>Chelsea Stratus</v>
      </c>
      <c r="F4840" s="25" t="s">
        <v>27</v>
      </c>
      <c r="G4840" s="28">
        <v>1540000.0</v>
      </c>
      <c r="H4840" s="28">
        <v>1366.0</v>
      </c>
      <c r="I4840" s="28">
        <v>1470.0</v>
      </c>
      <c r="J4840" s="28">
        <v>5712.0</v>
      </c>
      <c r="K4840" s="25" t="s">
        <v>28</v>
      </c>
      <c r="L4840" s="26">
        <v>4.0</v>
      </c>
      <c r="M4840" s="26">
        <v>2.0</v>
      </c>
      <c r="N4840" s="26">
        <v>0.0</v>
      </c>
      <c r="O4840" s="26">
        <v>0.0</v>
      </c>
      <c r="P4840" s="34">
        <v>1127.0</v>
      </c>
      <c r="Q4840" s="35">
        <v>0.0</v>
      </c>
      <c r="R4840" s="32">
        <v>44581.0</v>
      </c>
      <c r="S4840" s="32">
        <v>41511.0</v>
      </c>
      <c r="T4840" s="29"/>
      <c r="U4840" s="33"/>
      <c r="V4840" s="1"/>
    </row>
    <row r="4841" ht="24.0" customHeight="1">
      <c r="A4841" s="1"/>
      <c r="B4841" s="24" t="str">
        <f>HYPERLINK("https://www.compass.com/listing/80-chambers-street-unit-15e-manhattan-ny-10007/1331907969133496601/view?agent_id=610d3f3370540700019b0833","80 Chambers Street, Unit 15E")</f>
        <v>80 Chambers Street, Unit 15E</v>
      </c>
      <c r="C4841" s="25" t="s">
        <v>364</v>
      </c>
      <c r="D4841" s="26" t="s">
        <v>23</v>
      </c>
      <c r="E4841" s="27" t="str">
        <f>HYPERLINK("https://www.compass.com/building/tower-270-condominium-manhattan-ny/294848096072495733/","Tower 270 Condominium")</f>
        <v>Tower 270 Condominium</v>
      </c>
      <c r="F4841" s="25" t="s">
        <v>60</v>
      </c>
      <c r="G4841" s="28">
        <v>1650000.0</v>
      </c>
      <c r="H4841" s="28">
        <v>1521.0</v>
      </c>
      <c r="I4841" s="28">
        <v>2890.0</v>
      </c>
      <c r="J4841" s="28">
        <v>16452.0</v>
      </c>
      <c r="K4841" s="25" t="s">
        <v>28</v>
      </c>
      <c r="L4841" s="26">
        <v>5.0</v>
      </c>
      <c r="M4841" s="26">
        <v>2.0</v>
      </c>
      <c r="N4841" s="26">
        <v>1.0</v>
      </c>
      <c r="O4841" s="26">
        <v>0.0</v>
      </c>
      <c r="P4841" s="34">
        <v>1085.0</v>
      </c>
      <c r="Q4841" s="35">
        <v>8.0</v>
      </c>
      <c r="R4841" s="32">
        <v>45204.0</v>
      </c>
      <c r="S4841" s="32">
        <v>45195.0</v>
      </c>
      <c r="T4841" s="29"/>
      <c r="U4841" s="33"/>
      <c r="V4841" s="1"/>
    </row>
    <row r="4842" ht="24.0" customHeight="1">
      <c r="A4842" s="1"/>
      <c r="B4842" s="24" t="str">
        <f>HYPERLINK("https://www.compass.com/listing/204-west-houston-street-unit-phc-manhattan-ny-10014/13810601298049537/view?agent_id=610d3f3370540700019b0833","204 West Houston Street, Unit PHC")</f>
        <v>204 West Houston Street, Unit PHC</v>
      </c>
      <c r="C4842" s="25" t="s">
        <v>364</v>
      </c>
      <c r="D4842" s="26" t="s">
        <v>23</v>
      </c>
      <c r="E4842" s="27" t="str">
        <f>HYPERLINK("https://www.compass.com/building/204-w-houston-st-manhattan-ny-10014/281922089617756565/","204 W Houston St")</f>
        <v>204 W Houston St</v>
      </c>
      <c r="F4842" s="25" t="s">
        <v>26</v>
      </c>
      <c r="G4842" s="28">
        <v>2495000.0</v>
      </c>
      <c r="H4842" s="29"/>
      <c r="I4842" s="28">
        <v>2857.0</v>
      </c>
      <c r="J4842" s="29"/>
      <c r="K4842" s="25" t="s">
        <v>25</v>
      </c>
      <c r="L4842" s="26">
        <v>4.0</v>
      </c>
      <c r="M4842" s="26">
        <v>2.0</v>
      </c>
      <c r="N4842" s="26">
        <v>0.0</v>
      </c>
      <c r="O4842" s="26">
        <v>0.0</v>
      </c>
      <c r="P4842" s="30"/>
      <c r="Q4842" s="35">
        <v>178.0</v>
      </c>
      <c r="R4842" s="32">
        <v>45636.0</v>
      </c>
      <c r="S4842" s="32">
        <v>42885.0</v>
      </c>
      <c r="T4842" s="29"/>
      <c r="U4842" s="33"/>
      <c r="V4842" s="1"/>
    </row>
    <row r="4843" ht="24.0" customHeight="1">
      <c r="A4843" s="1"/>
      <c r="B4843" s="24" t="str">
        <f>HYPERLINK("https://www.compass.com/listing/244-riverside-drive-unit-3d-manhattan-ny-10025/211893223969268145/view?agent_id=610d3f3370540700019b0833","244 Riverside Drive, Unit 3D")</f>
        <v>244 Riverside Drive, Unit 3D</v>
      </c>
      <c r="C4843" s="25" t="s">
        <v>370</v>
      </c>
      <c r="D4843" s="26" t="s">
        <v>23</v>
      </c>
      <c r="E4843" s="27" t="str">
        <f>HYPERLINK("https://www.compass.com/building/244-riverside-dr-manhattan-ny-10025/281925802088504709/","244 Riverside Dr")</f>
        <v>244 Riverside Dr</v>
      </c>
      <c r="F4843" s="25" t="s">
        <v>29</v>
      </c>
      <c r="G4843" s="28">
        <v>1195000.0</v>
      </c>
      <c r="H4843" s="28">
        <v>1027.0</v>
      </c>
      <c r="I4843" s="28">
        <v>2074.0</v>
      </c>
      <c r="J4843" s="28">
        <v>0.0</v>
      </c>
      <c r="K4843" s="25" t="s">
        <v>25</v>
      </c>
      <c r="L4843" s="26">
        <v>5.0</v>
      </c>
      <c r="M4843" s="26">
        <v>2.0</v>
      </c>
      <c r="N4843" s="30"/>
      <c r="O4843" s="30"/>
      <c r="P4843" s="34">
        <v>1164.0</v>
      </c>
      <c r="Q4843" s="35">
        <v>35.0</v>
      </c>
      <c r="R4843" s="32">
        <v>43587.0</v>
      </c>
      <c r="S4843" s="32">
        <v>43544.0</v>
      </c>
      <c r="T4843" s="29"/>
      <c r="U4843" s="33"/>
      <c r="V4843" s="1"/>
    </row>
    <row r="4844" ht="24.0" customHeight="1">
      <c r="A4844" s="1"/>
      <c r="B4844" s="24" t="str">
        <f>HYPERLINK("https://www.compass.com/listing/130-jane-street-unit-1h-manhattan-ny-10014/919582154584573201/view?agent_id=610d3f3370540700019b0833","130 Jane Street, Unit 1H")</f>
        <v>130 Jane Street, Unit 1H</v>
      </c>
      <c r="C4844" s="25" t="s">
        <v>364</v>
      </c>
      <c r="D4844" s="26" t="s">
        <v>23</v>
      </c>
      <c r="E4844" s="27" t="str">
        <f>HYPERLINK("https://www.compass.com/building/the-harbor-house-manhattan-ny/292819961183775269/","The Harbor House")</f>
        <v>The Harbor House</v>
      </c>
      <c r="F4844" s="25" t="s">
        <v>26</v>
      </c>
      <c r="G4844" s="28">
        <v>1800000.0</v>
      </c>
      <c r="H4844" s="29"/>
      <c r="I4844" s="28">
        <v>2486.0</v>
      </c>
      <c r="J4844" s="29"/>
      <c r="K4844" s="25" t="s">
        <v>25</v>
      </c>
      <c r="L4844" s="26">
        <v>6.0</v>
      </c>
      <c r="M4844" s="26">
        <v>2.0</v>
      </c>
      <c r="N4844" s="26">
        <v>0.0</v>
      </c>
      <c r="O4844" s="26">
        <v>0.0</v>
      </c>
      <c r="P4844" s="30"/>
      <c r="Q4844" s="35">
        <v>66.0</v>
      </c>
      <c r="R4844" s="32">
        <v>44581.0</v>
      </c>
      <c r="S4844" s="32">
        <v>41372.0</v>
      </c>
      <c r="T4844" s="29"/>
      <c r="U4844" s="33"/>
      <c r="V4844" s="1"/>
    </row>
    <row r="4845" ht="24.0" customHeight="1">
      <c r="A4845" s="1"/>
      <c r="B4845" s="24" t="str">
        <f>HYPERLINK("https://www.compass.com/listing/898-metropolitan-avenue-unit-1b-brooklyn-ny-11211/29487032858371697/view?agent_id=610d3f3370540700019b0833","898 Metropolitan Avenue, Unit 1B")</f>
        <v>898 Metropolitan Avenue, Unit 1B</v>
      </c>
      <c r="C4845" s="25" t="s">
        <v>364</v>
      </c>
      <c r="D4845" s="26" t="s">
        <v>23</v>
      </c>
      <c r="E4845" s="27" t="str">
        <f>HYPERLINK("https://www.compass.com/building/898-metropolitan-ave-brooklyn-ny-11211/282401245052868661/","898 Metropolitan Ave")</f>
        <v>898 Metropolitan Ave</v>
      </c>
      <c r="F4845" s="25" t="s">
        <v>376</v>
      </c>
      <c r="G4845" s="28">
        <v>999000.0</v>
      </c>
      <c r="H4845" s="28">
        <v>999.0</v>
      </c>
      <c r="I4845" s="28">
        <v>258.0</v>
      </c>
      <c r="J4845" s="28">
        <v>12.0</v>
      </c>
      <c r="K4845" s="25" t="s">
        <v>28</v>
      </c>
      <c r="L4845" s="26">
        <v>4.0</v>
      </c>
      <c r="M4845" s="26">
        <v>2.0</v>
      </c>
      <c r="N4845" s="26">
        <v>0.0</v>
      </c>
      <c r="O4845" s="26">
        <v>0.0</v>
      </c>
      <c r="P4845" s="34">
        <v>1000.0</v>
      </c>
      <c r="Q4845" s="35">
        <v>51.0</v>
      </c>
      <c r="R4845" s="32">
        <v>45636.0</v>
      </c>
      <c r="S4845" s="32">
        <v>42240.0</v>
      </c>
      <c r="T4845" s="29"/>
      <c r="U4845" s="33"/>
      <c r="V4845" s="1"/>
    </row>
    <row r="4846" ht="24.0" customHeight="1">
      <c r="A4846" s="1"/>
      <c r="B4846" s="24" t="str">
        <f>HYPERLINK("https://www.compass.com/listing/234-skillman-avenue-unit-6l-brooklyn-ny-11211/768907405866014361/view?agent_id=610d3f3370540700019b0833","234 Skillman Avenue, Unit 6L")</f>
        <v>234 Skillman Avenue, Unit 6L</v>
      </c>
      <c r="C4846" s="25" t="s">
        <v>364</v>
      </c>
      <c r="D4846" s="26" t="s">
        <v>23</v>
      </c>
      <c r="E4846" s="27" t="str">
        <f t="shared" ref="E4846:E4847" si="216">HYPERLINK("https://www.compass.com/building/234-skillman-ave-brooklyn-ny-11211/282391414904513685/","234 Skillman Ave")</f>
        <v>234 Skillman Ave</v>
      </c>
      <c r="F4846" s="25" t="s">
        <v>376</v>
      </c>
      <c r="G4846" s="28">
        <v>995000.0</v>
      </c>
      <c r="H4846" s="29"/>
      <c r="I4846" s="28">
        <v>388.0</v>
      </c>
      <c r="J4846" s="28">
        <v>252.0</v>
      </c>
      <c r="K4846" s="25" t="s">
        <v>28</v>
      </c>
      <c r="L4846" s="26">
        <v>4.0</v>
      </c>
      <c r="M4846" s="26">
        <v>2.0</v>
      </c>
      <c r="N4846" s="26">
        <v>1.0</v>
      </c>
      <c r="O4846" s="26">
        <v>0.0</v>
      </c>
      <c r="P4846" s="30"/>
      <c r="Q4846" s="35">
        <v>149.0</v>
      </c>
      <c r="R4846" s="32">
        <v>45636.0</v>
      </c>
      <c r="S4846" s="32">
        <v>44312.0</v>
      </c>
      <c r="T4846" s="29"/>
      <c r="U4846" s="33"/>
      <c r="V4846" s="1"/>
    </row>
    <row r="4847" ht="24.0" customHeight="1">
      <c r="A4847" s="1"/>
      <c r="B4847" s="24" t="str">
        <f>HYPERLINK("https://www.compass.com/listing/234-skillman-avenue-unit-61l-brooklyn-ny-11211/878077343428214089/view?agent_id=610d3f3370540700019b0833","234 Skillman Avenue, Unit 61L")</f>
        <v>234 Skillman Avenue, Unit 61L</v>
      </c>
      <c r="C4847" s="25" t="s">
        <v>364</v>
      </c>
      <c r="D4847" s="26" t="s">
        <v>23</v>
      </c>
      <c r="E4847" s="27" t="str">
        <f t="shared" si="216"/>
        <v>234 Skillman Ave</v>
      </c>
      <c r="F4847" s="25" t="s">
        <v>376</v>
      </c>
      <c r="G4847" s="28">
        <v>975000.0</v>
      </c>
      <c r="H4847" s="29"/>
      <c r="I4847" s="28">
        <v>388.0</v>
      </c>
      <c r="J4847" s="28">
        <v>252.0</v>
      </c>
      <c r="K4847" s="25" t="s">
        <v>28</v>
      </c>
      <c r="L4847" s="26">
        <v>4.0</v>
      </c>
      <c r="M4847" s="26">
        <v>2.0</v>
      </c>
      <c r="N4847" s="26">
        <v>1.0</v>
      </c>
      <c r="O4847" s="26">
        <v>0.0</v>
      </c>
      <c r="P4847" s="30"/>
      <c r="Q4847" s="35">
        <v>61.0</v>
      </c>
      <c r="R4847" s="32">
        <v>44581.0</v>
      </c>
      <c r="S4847" s="32">
        <v>44463.0</v>
      </c>
      <c r="T4847" s="29"/>
      <c r="U4847" s="33"/>
      <c r="V4847" s="1"/>
    </row>
    <row r="4848" ht="24.0" customHeight="1">
      <c r="A4848" s="1"/>
      <c r="B4848" s="24" t="str">
        <f>HYPERLINK("https://www.compass.com/listing/35-west-15th-street-unit-8d-manhattan-ny-10011/920967765510795897/view?agent_id=610d3f3370540700019b0833","35 West 15th Street, Unit 8D")</f>
        <v>35 West 15th Street, Unit 8D</v>
      </c>
      <c r="C4848" s="25" t="s">
        <v>364</v>
      </c>
      <c r="D4848" s="26" t="s">
        <v>23</v>
      </c>
      <c r="E4848" s="27" t="str">
        <f>HYPERLINK("https://www.compass.com/building/35xv-manhattan-ny/292803792032789093/","35XV")</f>
        <v>35XV</v>
      </c>
      <c r="F4848" s="25" t="s">
        <v>115</v>
      </c>
      <c r="G4848" s="28">
        <v>4250000.0</v>
      </c>
      <c r="H4848" s="28">
        <v>2275.0</v>
      </c>
      <c r="I4848" s="28">
        <v>4320.0</v>
      </c>
      <c r="J4848" s="28">
        <v>28404.0</v>
      </c>
      <c r="K4848" s="25" t="s">
        <v>28</v>
      </c>
      <c r="L4848" s="26">
        <v>5.0</v>
      </c>
      <c r="M4848" s="26">
        <v>2.0</v>
      </c>
      <c r="N4848" s="26">
        <v>0.0</v>
      </c>
      <c r="O4848" s="26">
        <v>0.0</v>
      </c>
      <c r="P4848" s="34">
        <v>1868.0</v>
      </c>
      <c r="Q4848" s="31"/>
      <c r="R4848" s="32">
        <v>45636.0</v>
      </c>
      <c r="S4848" s="33"/>
      <c r="T4848" s="29"/>
      <c r="U4848" s="33"/>
      <c r="V4848" s="1"/>
    </row>
    <row r="4849" ht="24.0" customHeight="1">
      <c r="A4849" s="1"/>
      <c r="B4849" s="24" t="str">
        <f>HYPERLINK("https://www.compass.com/listing/527-hudson-street-unit-3-manhattan-ny-10014/29368564297297537/view?agent_id=610d3f3370540700019b0833","527 Hudson Street, Unit 3")</f>
        <v>527 Hudson Street, Unit 3</v>
      </c>
      <c r="C4849" s="25" t="s">
        <v>370</v>
      </c>
      <c r="D4849" s="26" t="s">
        <v>23</v>
      </c>
      <c r="E4849" s="27" t="str">
        <f>HYPERLINK("https://www.compass.com/building/527-hudson-st-manhattan-ny-10014/281934433454441701/","527 Hudson St")</f>
        <v>527 Hudson St</v>
      </c>
      <c r="F4849" s="25" t="s">
        <v>26</v>
      </c>
      <c r="G4849" s="28">
        <v>2195000.0</v>
      </c>
      <c r="H4849" s="28">
        <v>1155.0</v>
      </c>
      <c r="I4849" s="28">
        <v>1575.0</v>
      </c>
      <c r="J4849" s="29"/>
      <c r="K4849" s="25" t="s">
        <v>25</v>
      </c>
      <c r="L4849" s="26">
        <v>5.0</v>
      </c>
      <c r="M4849" s="26">
        <v>2.0</v>
      </c>
      <c r="N4849" s="26">
        <v>0.0</v>
      </c>
      <c r="O4849" s="26">
        <v>0.0</v>
      </c>
      <c r="P4849" s="34">
        <v>1900.0</v>
      </c>
      <c r="Q4849" s="35">
        <v>0.0</v>
      </c>
      <c r="R4849" s="32">
        <v>44581.0</v>
      </c>
      <c r="S4849" s="32">
        <v>41538.0</v>
      </c>
      <c r="T4849" s="29"/>
      <c r="U4849" s="33"/>
      <c r="V4849" s="1"/>
    </row>
    <row r="4850" ht="24.0" customHeight="1">
      <c r="A4850" s="1"/>
      <c r="B4850" s="24" t="str">
        <f>HYPERLINK("https://www.compass.com/listing/121-east-23rd-street-unit-5d-manhattan-ny-10010/29378228300914433/view?agent_id=610d3f3370540700019b0833","121 East 23rd Street, Unit 5D")</f>
        <v>121 East 23rd Street, Unit 5D</v>
      </c>
      <c r="C4850" s="25" t="s">
        <v>370</v>
      </c>
      <c r="D4850" s="26" t="s">
        <v>23</v>
      </c>
      <c r="E4850" s="27" t="str">
        <f>HYPERLINK("https://www.compass.com/building/crossing-23rd-manhattan-ny/281901772048448549/","Crossing 23rd")</f>
        <v>Crossing 23rd</v>
      </c>
      <c r="F4850" s="25" t="s">
        <v>115</v>
      </c>
      <c r="G4850" s="28">
        <v>1790000.0</v>
      </c>
      <c r="H4850" s="28">
        <v>1494.0</v>
      </c>
      <c r="I4850" s="28">
        <v>2287.0</v>
      </c>
      <c r="J4850" s="28">
        <v>8772.0</v>
      </c>
      <c r="K4850" s="25" t="s">
        <v>28</v>
      </c>
      <c r="L4850" s="26">
        <v>5.0</v>
      </c>
      <c r="M4850" s="26">
        <v>2.0</v>
      </c>
      <c r="N4850" s="26">
        <v>0.0</v>
      </c>
      <c r="O4850" s="26">
        <v>0.0</v>
      </c>
      <c r="P4850" s="34">
        <v>1198.0</v>
      </c>
      <c r="Q4850" s="35">
        <v>152.0</v>
      </c>
      <c r="R4850" s="32">
        <v>45636.0</v>
      </c>
      <c r="S4850" s="32">
        <v>41878.0</v>
      </c>
      <c r="T4850" s="29"/>
      <c r="U4850" s="33"/>
      <c r="V4850" s="1"/>
    </row>
    <row r="4851" ht="24.0" customHeight="1">
      <c r="A4851" s="1"/>
      <c r="B4851" s="24" t="str">
        <f>HYPERLINK("https://www.compass.com/listing/225-west-17th-street-unit-4b-manhattan-ny-10011/4852323564931523089/view?agent_id=610d3f3370540700019b0833","225 West 17th Street, Unit 4B")</f>
        <v>225 West 17th Street, Unit 4B</v>
      </c>
      <c r="C4851" s="25" t="s">
        <v>364</v>
      </c>
      <c r="D4851" s="26" t="s">
        <v>23</v>
      </c>
      <c r="E4851" s="27" t="str">
        <f>HYPERLINK("https://www.compass.com/building/225-west-17th-street-manhattan-ny/292802090781141541/","225 West 17th Street")</f>
        <v>225 West 17th Street</v>
      </c>
      <c r="F4851" s="25" t="s">
        <v>27</v>
      </c>
      <c r="G4851" s="28">
        <v>3050000.0</v>
      </c>
      <c r="H4851" s="28">
        <v>2047.0</v>
      </c>
      <c r="I4851" s="28">
        <v>3948.0</v>
      </c>
      <c r="J4851" s="28">
        <v>20700.0</v>
      </c>
      <c r="K4851" s="25" t="s">
        <v>28</v>
      </c>
      <c r="L4851" s="26">
        <v>4.0</v>
      </c>
      <c r="M4851" s="26">
        <v>2.0</v>
      </c>
      <c r="N4851" s="26">
        <v>0.0</v>
      </c>
      <c r="O4851" s="26">
        <v>0.0</v>
      </c>
      <c r="P4851" s="34">
        <v>1490.0</v>
      </c>
      <c r="Q4851" s="35">
        <v>64.0</v>
      </c>
      <c r="R4851" s="32">
        <v>44581.0</v>
      </c>
      <c r="S4851" s="32">
        <v>42198.0</v>
      </c>
      <c r="T4851" s="29"/>
      <c r="U4851" s="33"/>
      <c r="V4851" s="1"/>
    </row>
    <row r="4852" ht="24.0" customHeight="1">
      <c r="A4852" s="1"/>
      <c r="B4852" s="24" t="str">
        <f>HYPERLINK("https://www.compass.com/listing/37-warren-street-unit-2a-manhattan-ny-10007/29357666128107329/view?agent_id=610d3f3370540700019b0833","37 Warren Street, Unit 2A")</f>
        <v>37 Warren Street, Unit 2A</v>
      </c>
      <c r="C4852" s="25" t="s">
        <v>364</v>
      </c>
      <c r="D4852" s="26" t="s">
        <v>23</v>
      </c>
      <c r="E4852" s="27" t="str">
        <f>HYPERLINK("https://www.compass.com/building/warren-lofts-manhattan-ny/281896994635523301/","Warren Lofts")</f>
        <v>Warren Lofts</v>
      </c>
      <c r="F4852" s="25" t="s">
        <v>60</v>
      </c>
      <c r="G4852" s="28">
        <v>2255424.0</v>
      </c>
      <c r="H4852" s="28">
        <v>1390.0</v>
      </c>
      <c r="I4852" s="28">
        <v>4285.0</v>
      </c>
      <c r="J4852" s="28">
        <v>32112.0</v>
      </c>
      <c r="K4852" s="25" t="s">
        <v>28</v>
      </c>
      <c r="L4852" s="26">
        <v>4.0</v>
      </c>
      <c r="M4852" s="26">
        <v>2.0</v>
      </c>
      <c r="N4852" s="26">
        <v>0.0</v>
      </c>
      <c r="O4852" s="26">
        <v>0.0</v>
      </c>
      <c r="P4852" s="34">
        <v>1623.0</v>
      </c>
      <c r="Q4852" s="35">
        <v>173.0</v>
      </c>
      <c r="R4852" s="32">
        <v>45636.0</v>
      </c>
      <c r="S4852" s="32">
        <v>42285.0</v>
      </c>
      <c r="T4852" s="29"/>
      <c r="U4852" s="33"/>
      <c r="V4852" s="1"/>
    </row>
    <row r="4853" ht="24.0" customHeight="1">
      <c r="A4853" s="1"/>
      <c r="B4853" s="24" t="str">
        <f>HYPERLINK("https://www.compass.com/listing/140-7th-avenue-unit-3r-manhattan-ny-10011/1353115948736920729/view?agent_id=610d3f3370540700019b0833","140 7th Avenue, Unit 3R")</f>
        <v>140 7th Avenue, Unit 3R</v>
      </c>
      <c r="C4853" s="25" t="s">
        <v>365</v>
      </c>
      <c r="D4853" s="26" t="s">
        <v>23</v>
      </c>
      <c r="E4853" s="27" t="str">
        <f>HYPERLINK("https://www.compass.com/building/chadwin-house-manhattan-ny/281905329866819621/","Chadwin House")</f>
        <v>Chadwin House</v>
      </c>
      <c r="F4853" s="25" t="s">
        <v>27</v>
      </c>
      <c r="G4853" s="28">
        <v>850000.0</v>
      </c>
      <c r="H4853" s="29"/>
      <c r="I4853" s="28">
        <v>1400.0</v>
      </c>
      <c r="J4853" s="28">
        <v>8580.0</v>
      </c>
      <c r="K4853" s="25" t="s">
        <v>28</v>
      </c>
      <c r="L4853" s="26">
        <v>3.0</v>
      </c>
      <c r="M4853" s="26">
        <v>2.0</v>
      </c>
      <c r="N4853" s="26">
        <v>1.0</v>
      </c>
      <c r="O4853" s="26">
        <v>0.0</v>
      </c>
      <c r="P4853" s="30"/>
      <c r="Q4853" s="35">
        <v>106.0</v>
      </c>
      <c r="R4853" s="32">
        <v>45378.0</v>
      </c>
      <c r="S4853" s="32">
        <v>45118.0</v>
      </c>
      <c r="T4853" s="29"/>
      <c r="U4853" s="33"/>
      <c r="V4853" s="1"/>
    </row>
    <row r="4854" ht="24.0" customHeight="1">
      <c r="A4854" s="1"/>
      <c r="B4854" s="24" t="str">
        <f>HYPERLINK("https://www.compass.com/listing/120-west-70th-street-unit-th1a-manhattan-ny-10023/1809615442733692545/view?agent_id=610d3f3370540700019b0833","120 West 70th Street, Unit TH1A")</f>
        <v>120 West 70th Street, Unit TH1A</v>
      </c>
      <c r="C4854" s="25" t="s">
        <v>370</v>
      </c>
      <c r="D4854" s="26" t="s">
        <v>23</v>
      </c>
      <c r="E4854" s="27" t="str">
        <f t="shared" ref="E4854:E4856" si="217">HYPERLINK("https://www.compass.com/building/120-w-70th-st-manhattan-ny-10023/281924186593597205/","120 W 70th St")</f>
        <v>120 W 70th St</v>
      </c>
      <c r="F4854" s="25" t="s">
        <v>29</v>
      </c>
      <c r="G4854" s="28">
        <v>945000.0</v>
      </c>
      <c r="H4854" s="29"/>
      <c r="I4854" s="28">
        <v>2011.0</v>
      </c>
      <c r="J4854" s="29"/>
      <c r="K4854" s="25" t="s">
        <v>25</v>
      </c>
      <c r="L4854" s="26">
        <v>4.0</v>
      </c>
      <c r="M4854" s="26">
        <v>2.0</v>
      </c>
      <c r="N4854" s="26">
        <v>1.0</v>
      </c>
      <c r="O4854" s="26">
        <v>0.0</v>
      </c>
      <c r="P4854" s="30"/>
      <c r="Q4854" s="35">
        <v>100.0</v>
      </c>
      <c r="R4854" s="32">
        <v>44581.0</v>
      </c>
      <c r="S4854" s="32">
        <v>44448.0</v>
      </c>
      <c r="T4854" s="29"/>
      <c r="U4854" s="33"/>
      <c r="V4854" s="1"/>
    </row>
    <row r="4855" ht="24.0" customHeight="1">
      <c r="A4855" s="1"/>
      <c r="B4855" s="24" t="str">
        <f>HYPERLINK("https://www.compass.com/listing/120-west-70th-street-unit-tha-manhattan-ny-10023/815333377564427705/view?agent_id=610d3f3370540700019b0833","120 West 70th Street, Unit THA")</f>
        <v>120 West 70th Street, Unit THA</v>
      </c>
      <c r="C4855" s="25" t="s">
        <v>364</v>
      </c>
      <c r="D4855" s="26" t="s">
        <v>23</v>
      </c>
      <c r="E4855" s="27" t="str">
        <f t="shared" si="217"/>
        <v>120 W 70th St</v>
      </c>
      <c r="F4855" s="25" t="s">
        <v>29</v>
      </c>
      <c r="G4855" s="28">
        <v>945000.0</v>
      </c>
      <c r="H4855" s="29"/>
      <c r="I4855" s="28">
        <v>2011.0</v>
      </c>
      <c r="J4855" s="29"/>
      <c r="K4855" s="25" t="s">
        <v>25</v>
      </c>
      <c r="L4855" s="26">
        <v>2.0</v>
      </c>
      <c r="M4855" s="26">
        <v>2.0</v>
      </c>
      <c r="N4855" s="26">
        <v>1.0</v>
      </c>
      <c r="O4855" s="26">
        <v>0.0</v>
      </c>
      <c r="P4855" s="30"/>
      <c r="Q4855" s="35">
        <v>1.0</v>
      </c>
      <c r="R4855" s="32">
        <v>44698.0</v>
      </c>
      <c r="S4855" s="32">
        <v>44376.0</v>
      </c>
      <c r="T4855" s="29"/>
      <c r="U4855" s="33"/>
      <c r="V4855" s="1"/>
    </row>
    <row r="4856" ht="24.0" customHeight="1">
      <c r="A4856" s="1"/>
      <c r="B4856" s="24" t="str">
        <f>HYPERLINK("https://www.compass.com/listing/120-west-70th-street-unit-th1a-manhattan-ny-10023/815838570593106033/view?agent_id=610d3f3370540700019b0833","120 West 70th Street, Unit TH1A")</f>
        <v>120 West 70th Street, Unit TH1A</v>
      </c>
      <c r="C4856" s="25" t="s">
        <v>364</v>
      </c>
      <c r="D4856" s="26" t="s">
        <v>23</v>
      </c>
      <c r="E4856" s="27" t="str">
        <f t="shared" si="217"/>
        <v>120 W 70th St</v>
      </c>
      <c r="F4856" s="25" t="s">
        <v>29</v>
      </c>
      <c r="G4856" s="28">
        <v>945000.0</v>
      </c>
      <c r="H4856" s="29"/>
      <c r="I4856" s="28">
        <v>2011.0</v>
      </c>
      <c r="J4856" s="29"/>
      <c r="K4856" s="25" t="s">
        <v>25</v>
      </c>
      <c r="L4856" s="26">
        <v>4.0</v>
      </c>
      <c r="M4856" s="26">
        <v>2.0</v>
      </c>
      <c r="N4856" s="26">
        <v>1.0</v>
      </c>
      <c r="O4856" s="26">
        <v>0.0</v>
      </c>
      <c r="P4856" s="30"/>
      <c r="Q4856" s="35">
        <v>105.0</v>
      </c>
      <c r="R4856" s="32">
        <v>44581.0</v>
      </c>
      <c r="S4856" s="32">
        <v>44376.0</v>
      </c>
      <c r="T4856" s="29"/>
      <c r="U4856" s="33"/>
      <c r="V4856" s="1"/>
    </row>
    <row r="4857" ht="24.0" customHeight="1">
      <c r="A4857" s="1"/>
      <c r="B4857" s="24" t="str">
        <f>HYPERLINK("https://www.compass.com/listing/148-west-23rd-street-unit-1h-manhattan-ny-10011/4852317336020987457/view?agent_id=610d3f3370540700019b0833","148 West 23rd Street, Unit 1H")</f>
        <v>148 West 23rd Street, Unit 1H</v>
      </c>
      <c r="C4857" s="25" t="s">
        <v>364</v>
      </c>
      <c r="D4857" s="26" t="s">
        <v>23</v>
      </c>
      <c r="E4857" s="27" t="str">
        <f>HYPERLINK("https://www.compass.com/building/chelsea-mews-manhattan-ny/281905569537739077/","Chelsea Mews")</f>
        <v>Chelsea Mews</v>
      </c>
      <c r="F4857" s="25" t="s">
        <v>27</v>
      </c>
      <c r="G4857" s="28">
        <v>1850000.0</v>
      </c>
      <c r="H4857" s="29"/>
      <c r="I4857" s="28">
        <v>2712.0</v>
      </c>
      <c r="J4857" s="29"/>
      <c r="K4857" s="25" t="s">
        <v>25</v>
      </c>
      <c r="L4857" s="26">
        <v>5.0</v>
      </c>
      <c r="M4857" s="26">
        <v>2.0</v>
      </c>
      <c r="N4857" s="26">
        <v>0.0</v>
      </c>
      <c r="O4857" s="26">
        <v>0.0</v>
      </c>
      <c r="P4857" s="30"/>
      <c r="Q4857" s="35">
        <v>89.0</v>
      </c>
      <c r="R4857" s="32">
        <v>45636.0</v>
      </c>
      <c r="S4857" s="32">
        <v>41662.0</v>
      </c>
      <c r="T4857" s="29"/>
      <c r="U4857" s="33"/>
      <c r="V4857" s="1"/>
    </row>
    <row r="4858" ht="24.0" customHeight="1">
      <c r="A4858" s="1"/>
      <c r="B4858" s="24" t="str">
        <f>HYPERLINK("https://www.compass.com/listing/5-riverside-drive-unit-19d-manhattan-ny-10023/335389578521076945/view?agent_id=610d3f3370540700019b0833","5 Riverside Drive, Unit 19D")</f>
        <v>5 Riverside Drive, Unit 19D</v>
      </c>
      <c r="C4858" s="25" t="s">
        <v>364</v>
      </c>
      <c r="D4858" s="26" t="s">
        <v>23</v>
      </c>
      <c r="E4858" s="27" t="str">
        <f>HYPERLINK("https://www.compass.com/building/5-riverside-dr-manhattan-ny-10023/281960800803956245/","5 Riverside Dr")</f>
        <v>5 Riverside Dr</v>
      </c>
      <c r="F4858" s="25" t="s">
        <v>29</v>
      </c>
      <c r="G4858" s="28">
        <v>2795000.0</v>
      </c>
      <c r="H4858" s="29"/>
      <c r="I4858" s="28">
        <v>3270.0</v>
      </c>
      <c r="J4858" s="29"/>
      <c r="K4858" s="25" t="s">
        <v>25</v>
      </c>
      <c r="L4858" s="26">
        <v>4.0</v>
      </c>
      <c r="M4858" s="26">
        <v>2.0</v>
      </c>
      <c r="N4858" s="26">
        <v>0.0</v>
      </c>
      <c r="O4858" s="26">
        <v>0.0</v>
      </c>
      <c r="P4858" s="30"/>
      <c r="Q4858" s="35">
        <v>160.0</v>
      </c>
      <c r="R4858" s="32">
        <v>45636.0</v>
      </c>
      <c r="S4858" s="32">
        <v>42885.0</v>
      </c>
      <c r="T4858" s="29"/>
      <c r="U4858" s="33"/>
      <c r="V4858" s="1"/>
    </row>
    <row r="4859" ht="24.0" customHeight="1">
      <c r="A4859" s="1"/>
      <c r="B4859" s="24" t="str">
        <f>HYPERLINK("https://www.compass.com/listing/261-west-22nd-street-unit-33-manhattan-ny-10011/81000068538247121/view?agent_id=610d3f3370540700019b0833","261 West 22nd Street, Unit 33")</f>
        <v>261 West 22nd Street, Unit 33</v>
      </c>
      <c r="C4859" s="25" t="s">
        <v>364</v>
      </c>
      <c r="D4859" s="26" t="s">
        <v>23</v>
      </c>
      <c r="E4859" s="27" t="str">
        <f>HYPERLINK("https://www.compass.com/building/261-w-22nd-st-manhattan-ny-10011/281908158908093653/","261 W 22nd St")</f>
        <v>261 W 22nd St</v>
      </c>
      <c r="F4859" s="25" t="s">
        <v>27</v>
      </c>
      <c r="G4859" s="28">
        <v>700000.0</v>
      </c>
      <c r="H4859" s="29"/>
      <c r="I4859" s="28">
        <v>1269.0</v>
      </c>
      <c r="J4859" s="29"/>
      <c r="K4859" s="25" t="s">
        <v>25</v>
      </c>
      <c r="L4859" s="26">
        <v>4.0</v>
      </c>
      <c r="M4859" s="26">
        <v>2.0</v>
      </c>
      <c r="N4859" s="26">
        <v>1.0</v>
      </c>
      <c r="O4859" s="26">
        <v>0.0</v>
      </c>
      <c r="P4859" s="30"/>
      <c r="Q4859" s="35">
        <v>151.0</v>
      </c>
      <c r="R4859" s="32">
        <v>45636.0</v>
      </c>
      <c r="S4859" s="32">
        <v>43167.0</v>
      </c>
      <c r="T4859" s="29"/>
      <c r="U4859" s="33"/>
      <c r="V4859" s="1"/>
    </row>
    <row r="4860" ht="24.0" customHeight="1">
      <c r="A4860" s="1"/>
      <c r="B4860" s="24" t="str">
        <f>HYPERLINK("https://www.compass.com/listing/392-central-park-west-unit-1v-manhattan-ny-10025/1838927741249274249/view?agent_id=610d3f3370540700019b0833","392 Central Park West, Unit 1V")</f>
        <v>392 Central Park West, Unit 1V</v>
      </c>
      <c r="C4860" s="25" t="s">
        <v>364</v>
      </c>
      <c r="D4860" s="26" t="s">
        <v>23</v>
      </c>
      <c r="E4860" s="27" t="str">
        <f t="shared" ref="E4860:E4861" si="218">HYPERLINK("https://www.compass.com/building/cpw-towers-manhattan-ny/281971664906968629/","CPW Towers")</f>
        <v>CPW Towers</v>
      </c>
      <c r="F4860" s="25" t="s">
        <v>29</v>
      </c>
      <c r="G4860" s="28">
        <v>1099995.0</v>
      </c>
      <c r="H4860" s="28">
        <v>1300.0</v>
      </c>
      <c r="I4860" s="28">
        <v>834.0</v>
      </c>
      <c r="J4860" s="28">
        <v>3204.0</v>
      </c>
      <c r="K4860" s="25" t="s">
        <v>28</v>
      </c>
      <c r="L4860" s="26">
        <v>4.0</v>
      </c>
      <c r="M4860" s="26">
        <v>2.0</v>
      </c>
      <c r="N4860" s="26">
        <v>0.0</v>
      </c>
      <c r="O4860" s="26">
        <v>0.0</v>
      </c>
      <c r="P4860" s="26">
        <v>846.0</v>
      </c>
      <c r="Q4860" s="35">
        <v>63.0</v>
      </c>
      <c r="R4860" s="32">
        <v>45636.0</v>
      </c>
      <c r="S4860" s="32">
        <v>43073.0</v>
      </c>
      <c r="T4860" s="29"/>
      <c r="U4860" s="33"/>
      <c r="V4860" s="1"/>
    </row>
    <row r="4861" ht="24.0" customHeight="1">
      <c r="A4861" s="1"/>
      <c r="B4861" s="24" t="str">
        <f>HYPERLINK("https://www.compass.com/listing/392-central-park-west-unit-1v-manhattan-ny-10025/920866201546398057/view?agent_id=610d3f3370540700019b0833","392 Central Park West, Unit 1V")</f>
        <v>392 Central Park West, Unit 1V</v>
      </c>
      <c r="C4861" s="25" t="s">
        <v>364</v>
      </c>
      <c r="D4861" s="26" t="s">
        <v>23</v>
      </c>
      <c r="E4861" s="27" t="str">
        <f t="shared" si="218"/>
        <v>CPW Towers</v>
      </c>
      <c r="F4861" s="25" t="s">
        <v>29</v>
      </c>
      <c r="G4861" s="28">
        <v>1099995.0</v>
      </c>
      <c r="H4861" s="28">
        <v>1300.0</v>
      </c>
      <c r="I4861" s="28">
        <v>834.0</v>
      </c>
      <c r="J4861" s="28">
        <v>3204.0</v>
      </c>
      <c r="K4861" s="25" t="s">
        <v>28</v>
      </c>
      <c r="L4861" s="26">
        <v>4.0</v>
      </c>
      <c r="M4861" s="26">
        <v>2.0</v>
      </c>
      <c r="N4861" s="30"/>
      <c r="O4861" s="30"/>
      <c r="P4861" s="26">
        <v>846.0</v>
      </c>
      <c r="Q4861" s="35">
        <v>64.0</v>
      </c>
      <c r="R4861" s="32">
        <v>44581.0</v>
      </c>
      <c r="S4861" s="32">
        <v>43072.0</v>
      </c>
      <c r="T4861" s="29"/>
      <c r="U4861" s="33"/>
      <c r="V4861" s="1"/>
    </row>
    <row r="4862" ht="24.0" customHeight="1">
      <c r="A4862" s="1"/>
      <c r="B4862" s="24" t="str">
        <f>HYPERLINK("https://www.compass.com/listing/65-central-park-west-unit-1e-manhattan-ny-10023/1790220723643463505/view?agent_id=610d3f3370540700019b0833","65 Central Park West, Unit 1E")</f>
        <v>65 Central Park West, Unit 1E</v>
      </c>
      <c r="C4862" s="25" t="s">
        <v>370</v>
      </c>
      <c r="D4862" s="26" t="s">
        <v>23</v>
      </c>
      <c r="E4862" s="27" t="str">
        <f>HYPERLINK("https://www.compass.com/building/65-central-park-w-manhattan-ny-10023/281961203608135637/","65 Central Park W")</f>
        <v>65 Central Park W</v>
      </c>
      <c r="F4862" s="25" t="s">
        <v>29</v>
      </c>
      <c r="G4862" s="28">
        <v>2375000.0</v>
      </c>
      <c r="H4862" s="29"/>
      <c r="I4862" s="28">
        <v>3065.0</v>
      </c>
      <c r="J4862" s="29"/>
      <c r="K4862" s="25" t="s">
        <v>25</v>
      </c>
      <c r="L4862" s="26">
        <v>5.0</v>
      </c>
      <c r="M4862" s="26">
        <v>2.0</v>
      </c>
      <c r="N4862" s="26">
        <v>0.0</v>
      </c>
      <c r="O4862" s="26">
        <v>0.0</v>
      </c>
      <c r="P4862" s="30"/>
      <c r="Q4862" s="35">
        <v>664.0</v>
      </c>
      <c r="R4862" s="32">
        <v>45695.0</v>
      </c>
      <c r="S4862" s="32">
        <v>41558.0</v>
      </c>
      <c r="T4862" s="29"/>
      <c r="U4862" s="33"/>
      <c r="V4862" s="1"/>
    </row>
    <row r="4863" ht="24.0" customHeight="1">
      <c r="A4863" s="1"/>
      <c r="B4863" s="24" t="str">
        <f>HYPERLINK("https://www.compass.com/listing/314-west-19th-street-unit-4b-manhattan-ny-10011/29371029491117281/view?agent_id=610d3f3370540700019b0833","314 West 19th Street, Unit 4B")</f>
        <v>314 West 19th Street, Unit 4B</v>
      </c>
      <c r="C4863" s="25" t="s">
        <v>364</v>
      </c>
      <c r="D4863" s="26" t="s">
        <v>23</v>
      </c>
      <c r="E4863" s="27" t="str">
        <f>HYPERLINK("https://www.compass.com/building/314-w-19th-st-manhattan-ny-10011/281908613973301525/","314 W 19th St")</f>
        <v>314 W 19th St</v>
      </c>
      <c r="F4863" s="25" t="s">
        <v>27</v>
      </c>
      <c r="G4863" s="28">
        <v>958000.0</v>
      </c>
      <c r="H4863" s="29"/>
      <c r="I4863" s="28">
        <v>795.0</v>
      </c>
      <c r="J4863" s="29"/>
      <c r="K4863" s="25" t="s">
        <v>25</v>
      </c>
      <c r="L4863" s="26">
        <v>4.0</v>
      </c>
      <c r="M4863" s="26">
        <v>2.0</v>
      </c>
      <c r="N4863" s="26">
        <v>1.0</v>
      </c>
      <c r="O4863" s="26">
        <v>0.0</v>
      </c>
      <c r="P4863" s="30"/>
      <c r="Q4863" s="35">
        <v>146.0</v>
      </c>
      <c r="R4863" s="32">
        <v>41865.0</v>
      </c>
      <c r="S4863" s="32">
        <v>41718.0</v>
      </c>
      <c r="T4863" s="29"/>
      <c r="U4863" s="33"/>
      <c r="V4863" s="1"/>
    </row>
    <row r="4864" ht="24.0" customHeight="1">
      <c r="A4864" s="1"/>
      <c r="B4864" s="24" t="str">
        <f>HYPERLINK("https://www.compass.com/listing/230-east-18th-street-unit-1e-manhattan-ny-10003/587476685031982681/view?agent_id=610d3f3370540700019b0833","230 East 18th Street, Unit 1E")</f>
        <v>230 East 18th Street, Unit 1E</v>
      </c>
      <c r="C4864" s="25" t="s">
        <v>364</v>
      </c>
      <c r="D4864" s="26" t="s">
        <v>23</v>
      </c>
      <c r="E4864" s="27" t="str">
        <f>HYPERLINK("https://www.compass.com/building/230-e-18th-st-manhattan-ny-10003/292782942961282261/","230 E 18th St")</f>
        <v>230 E 18th St</v>
      </c>
      <c r="F4864" s="25" t="s">
        <v>48</v>
      </c>
      <c r="G4864" s="28">
        <v>2199000.0</v>
      </c>
      <c r="H4864" s="29"/>
      <c r="I4864" s="28">
        <v>1962.0</v>
      </c>
      <c r="J4864" s="29"/>
      <c r="K4864" s="25" t="s">
        <v>25</v>
      </c>
      <c r="L4864" s="26">
        <v>7.0</v>
      </c>
      <c r="M4864" s="26">
        <v>2.0</v>
      </c>
      <c r="N4864" s="26">
        <v>0.0</v>
      </c>
      <c r="O4864" s="26">
        <v>0.0</v>
      </c>
      <c r="P4864" s="30"/>
      <c r="Q4864" s="35">
        <v>1447.0</v>
      </c>
      <c r="R4864" s="32">
        <v>44581.0</v>
      </c>
      <c r="S4864" s="32">
        <v>41488.0</v>
      </c>
      <c r="T4864" s="29"/>
      <c r="U4864" s="33"/>
      <c r="V4864" s="1"/>
    </row>
    <row r="4865" ht="24.0" customHeight="1">
      <c r="A4865" s="1"/>
      <c r="B4865" s="24" t="str">
        <f>HYPERLINK("https://www.compass.com/listing/271-east-7th-street-unit-4-manhattan-ny-10009/528244064505176193/view?agent_id=610d3f3370540700019b0833","271 East 7th Street, Unit 4")</f>
        <v>271 East 7th Street, Unit 4</v>
      </c>
      <c r="C4865" s="25" t="s">
        <v>364</v>
      </c>
      <c r="D4865" s="26" t="s">
        <v>23</v>
      </c>
      <c r="E4865" s="27" t="str">
        <f>HYPERLINK("https://www.compass.com/building/271-e-7th-st-manhattan-ny-10009/281899213548171797/","271 E 7th St")</f>
        <v>271 E 7th St</v>
      </c>
      <c r="F4865" s="25" t="s">
        <v>24</v>
      </c>
      <c r="G4865" s="28">
        <v>1200000.0</v>
      </c>
      <c r="H4865" s="28">
        <v>1333.0</v>
      </c>
      <c r="I4865" s="28">
        <v>350.0</v>
      </c>
      <c r="J4865" s="29"/>
      <c r="K4865" s="25" t="s">
        <v>25</v>
      </c>
      <c r="L4865" s="26">
        <v>5.0</v>
      </c>
      <c r="M4865" s="26">
        <v>2.0</v>
      </c>
      <c r="N4865" s="26">
        <v>0.0</v>
      </c>
      <c r="O4865" s="26">
        <v>0.0</v>
      </c>
      <c r="P4865" s="26">
        <v>900.0</v>
      </c>
      <c r="Q4865" s="35">
        <v>0.0</v>
      </c>
      <c r="R4865" s="32">
        <v>44581.0</v>
      </c>
      <c r="S4865" s="32">
        <v>42388.0</v>
      </c>
      <c r="T4865" s="29"/>
      <c r="U4865" s="33"/>
      <c r="V4865" s="1"/>
    </row>
    <row r="4866" ht="24.0" customHeight="1">
      <c r="A4866" s="1"/>
      <c r="B4866" s="24" t="str">
        <f>HYPERLINK("https://www.compass.com/listing/49-51-warren-street-unit-4e-manhattan-ny-10007/70911847112503665/view?agent_id=610d3f3370540700019b0833","49-51 Warren Street, Unit 4E")</f>
        <v>49-51 Warren Street, Unit 4E</v>
      </c>
      <c r="C4866" s="25" t="s">
        <v>364</v>
      </c>
      <c r="D4866" s="26" t="s">
        <v>23</v>
      </c>
      <c r="E4866" s="27" t="str">
        <f>HYPERLINK("https://www.compass.com/building/49-51-warren-st-manhattan-ny-10007/292789779962020437/","49-51 Warren St")</f>
        <v>49-51 Warren St</v>
      </c>
      <c r="F4866" s="25" t="s">
        <v>60</v>
      </c>
      <c r="G4866" s="28">
        <v>2850000.0</v>
      </c>
      <c r="H4866" s="28">
        <v>1885.0</v>
      </c>
      <c r="I4866" s="28">
        <v>3200.0</v>
      </c>
      <c r="J4866" s="28">
        <v>25596.0</v>
      </c>
      <c r="K4866" s="25" t="s">
        <v>28</v>
      </c>
      <c r="L4866" s="26">
        <v>4.0</v>
      </c>
      <c r="M4866" s="26">
        <v>2.0</v>
      </c>
      <c r="N4866" s="26">
        <v>0.0</v>
      </c>
      <c r="O4866" s="26">
        <v>0.0</v>
      </c>
      <c r="P4866" s="34">
        <v>1512.0</v>
      </c>
      <c r="Q4866" s="35">
        <v>188.0</v>
      </c>
      <c r="R4866" s="32">
        <v>45636.0</v>
      </c>
      <c r="S4866" s="32">
        <v>42455.0</v>
      </c>
      <c r="T4866" s="29"/>
      <c r="U4866" s="33"/>
      <c r="V4866" s="1"/>
    </row>
    <row r="4867" ht="24.0" customHeight="1">
      <c r="A4867" s="1"/>
      <c r="B4867" s="24" t="str">
        <f>HYPERLINK("https://www.compass.com/listing/555-west-23rd-street-unit-s3l-manhattan-ny-10011/50877154203799057/view?agent_id=610d3f3370540700019b0833","555 West 23rd Street, Unit S3L")</f>
        <v>555 West 23rd Street, Unit S3L</v>
      </c>
      <c r="C4867" s="25" t="s">
        <v>370</v>
      </c>
      <c r="D4867" s="26" t="s">
        <v>23</v>
      </c>
      <c r="E4867" s="27" t="str">
        <f>HYPERLINK("https://www.compass.com/building/555-w-23-manhattan-ny/281911747042895061/","555 W 23")</f>
        <v>555 W 23</v>
      </c>
      <c r="F4867" s="25" t="s">
        <v>27</v>
      </c>
      <c r="G4867" s="28">
        <v>1675000.0</v>
      </c>
      <c r="H4867" s="28">
        <v>1552.0</v>
      </c>
      <c r="I4867" s="28">
        <v>2511.0</v>
      </c>
      <c r="J4867" s="28">
        <v>16188.0</v>
      </c>
      <c r="K4867" s="25" t="s">
        <v>28</v>
      </c>
      <c r="L4867" s="26">
        <v>5.0</v>
      </c>
      <c r="M4867" s="26">
        <v>2.0</v>
      </c>
      <c r="N4867" s="26">
        <v>0.0</v>
      </c>
      <c r="O4867" s="26">
        <v>0.0</v>
      </c>
      <c r="P4867" s="34">
        <v>1079.0</v>
      </c>
      <c r="Q4867" s="35">
        <v>172.0</v>
      </c>
      <c r="R4867" s="32">
        <v>45636.0</v>
      </c>
      <c r="S4867" s="32">
        <v>42874.0</v>
      </c>
      <c r="T4867" s="29"/>
      <c r="U4867" s="33"/>
      <c r="V4867" s="1"/>
    </row>
    <row r="4868" ht="24.0" customHeight="1">
      <c r="A4868" s="1"/>
      <c r="B4868" s="24" t="str">
        <f>HYPERLINK("https://www.compass.com/listing/148-west-23rd-street-unit-11a-manhattan-ny-10011/4852306361968507345/view?agent_id=610d3f3370540700019b0833","148 West 23rd Street, Unit 11A")</f>
        <v>148 West 23rd Street, Unit 11A</v>
      </c>
      <c r="C4868" s="25" t="s">
        <v>370</v>
      </c>
      <c r="D4868" s="26" t="s">
        <v>23</v>
      </c>
      <c r="E4868" s="27" t="str">
        <f>HYPERLINK("https://www.compass.com/building/chelsea-mews-manhattan-ny/281905569537739077/","Chelsea Mews")</f>
        <v>Chelsea Mews</v>
      </c>
      <c r="F4868" s="25" t="s">
        <v>27</v>
      </c>
      <c r="G4868" s="28">
        <v>950000.0</v>
      </c>
      <c r="H4868" s="28">
        <v>950.0</v>
      </c>
      <c r="I4868" s="28">
        <v>2352.0</v>
      </c>
      <c r="J4868" s="29"/>
      <c r="K4868" s="25" t="s">
        <v>25</v>
      </c>
      <c r="L4868" s="26">
        <v>4.0</v>
      </c>
      <c r="M4868" s="26">
        <v>2.0</v>
      </c>
      <c r="N4868" s="26">
        <v>0.0</v>
      </c>
      <c r="O4868" s="26">
        <v>0.0</v>
      </c>
      <c r="P4868" s="34">
        <v>1000.0</v>
      </c>
      <c r="Q4868" s="35">
        <v>32.0</v>
      </c>
      <c r="R4868" s="32">
        <v>45636.0</v>
      </c>
      <c r="S4868" s="32">
        <v>41344.0</v>
      </c>
      <c r="T4868" s="29"/>
      <c r="U4868" s="33"/>
      <c r="V4868" s="1"/>
    </row>
    <row r="4869" ht="24.0" customHeight="1">
      <c r="A4869" s="1"/>
      <c r="B4869" s="24" t="str">
        <f>HYPERLINK("https://www.compass.com/listing/74-reade-street-unit-4e-manhattan-ny-10007/162416177564423921/view?agent_id=610d3f3370540700019b0833","74 Reade Street, Unit 4E")</f>
        <v>74 Reade Street, Unit 4E</v>
      </c>
      <c r="C4869" s="25" t="s">
        <v>364</v>
      </c>
      <c r="D4869" s="26" t="s">
        <v>23</v>
      </c>
      <c r="E4869" s="27" t="str">
        <f>HYPERLINK("https://www.compass.com/building/74-reade-street-manhattan-ny/281897138172995541/","74 Reade Street")</f>
        <v>74 Reade Street</v>
      </c>
      <c r="F4869" s="25" t="s">
        <v>60</v>
      </c>
      <c r="G4869" s="28">
        <v>2050000.0</v>
      </c>
      <c r="H4869" s="29"/>
      <c r="I4869" s="28">
        <v>2081.0</v>
      </c>
      <c r="J4869" s="29"/>
      <c r="K4869" s="25" t="s">
        <v>25</v>
      </c>
      <c r="L4869" s="26">
        <v>4.0</v>
      </c>
      <c r="M4869" s="26">
        <v>2.0</v>
      </c>
      <c r="N4869" s="26">
        <v>1.0</v>
      </c>
      <c r="O4869" s="26">
        <v>0.0</v>
      </c>
      <c r="P4869" s="30"/>
      <c r="Q4869" s="35">
        <v>206.0</v>
      </c>
      <c r="R4869" s="32">
        <v>45636.0</v>
      </c>
      <c r="S4869" s="32">
        <v>42894.0</v>
      </c>
      <c r="T4869" s="29"/>
      <c r="U4869" s="33"/>
      <c r="V4869" s="1"/>
    </row>
    <row r="4870" ht="24.0" customHeight="1">
      <c r="A4870" s="1"/>
      <c r="B4870" s="24" t="str">
        <f>HYPERLINK("https://www.compass.com/listing/718-broadway-unit-phb-manhattan-ny-10003/1548070952913263593/view?agent_id=610d3f3370540700019b0833","718 Broadway, Unit PHB")</f>
        <v>718 Broadway, Unit PHB</v>
      </c>
      <c r="C4870" s="25" t="s">
        <v>370</v>
      </c>
      <c r="D4870" s="26" t="s">
        <v>23</v>
      </c>
      <c r="E4870" s="27" t="str">
        <f>HYPERLINK("https://www.compass.com/building/718-broadway-manhattan-ny-10003/281894678784122533/","718 Broadway")</f>
        <v>718 Broadway</v>
      </c>
      <c r="F4870" s="25" t="s">
        <v>57</v>
      </c>
      <c r="G4870" s="28">
        <v>2395000.0</v>
      </c>
      <c r="H4870" s="29"/>
      <c r="I4870" s="28">
        <v>3510.0</v>
      </c>
      <c r="J4870" s="28">
        <v>0.0</v>
      </c>
      <c r="K4870" s="25" t="s">
        <v>25</v>
      </c>
      <c r="L4870" s="26">
        <v>5.0</v>
      </c>
      <c r="M4870" s="26">
        <v>2.0</v>
      </c>
      <c r="N4870" s="26">
        <v>1.0</v>
      </c>
      <c r="O4870" s="26">
        <v>0.0</v>
      </c>
      <c r="P4870" s="30"/>
      <c r="Q4870" s="35">
        <v>157.0</v>
      </c>
      <c r="R4870" s="32">
        <v>45543.0</v>
      </c>
      <c r="S4870" s="32">
        <v>45387.0</v>
      </c>
      <c r="T4870" s="29"/>
      <c r="U4870" s="33"/>
      <c r="V4870" s="1"/>
    </row>
    <row r="4871" ht="24.0" customHeight="1">
      <c r="A4871" s="1"/>
      <c r="B4871" s="24" t="str">
        <f>HYPERLINK("https://www.compass.com/listing/320-west-76th-street-unit-3f-manhattan-ny-10023/29507317779251521/view?agent_id=610d3f3370540700019b0833","320 West 76th Street, Unit 3F")</f>
        <v>320 West 76th Street, Unit 3F</v>
      </c>
      <c r="C4871" s="25" t="s">
        <v>364</v>
      </c>
      <c r="D4871" s="26" t="s">
        <v>23</v>
      </c>
      <c r="E4871" s="27" t="str">
        <f>HYPERLINK("https://www.compass.com/building/320-w-76th-st-manhattan-ny-10023/281959867210604629/","320 W 76th St")</f>
        <v>320 W 76th St</v>
      </c>
      <c r="F4871" s="25" t="s">
        <v>29</v>
      </c>
      <c r="G4871" s="28">
        <v>999000.0</v>
      </c>
      <c r="H4871" s="29"/>
      <c r="I4871" s="28">
        <v>1824.0</v>
      </c>
      <c r="J4871" s="29"/>
      <c r="K4871" s="25" t="s">
        <v>25</v>
      </c>
      <c r="L4871" s="26">
        <v>5.0</v>
      </c>
      <c r="M4871" s="26">
        <v>2.0</v>
      </c>
      <c r="N4871" s="26">
        <v>1.0</v>
      </c>
      <c r="O4871" s="26">
        <v>0.0</v>
      </c>
      <c r="P4871" s="30"/>
      <c r="Q4871" s="35">
        <v>175.0</v>
      </c>
      <c r="R4871" s="32">
        <v>45636.0</v>
      </c>
      <c r="S4871" s="32">
        <v>43291.0</v>
      </c>
      <c r="T4871" s="29"/>
      <c r="U4871" s="33"/>
      <c r="V4871" s="1"/>
    </row>
    <row r="4872" ht="24.0" customHeight="1">
      <c r="A4872" s="1"/>
      <c r="B4872" s="24" t="str">
        <f>HYPERLINK("https://www.compass.com/listing/223-west-21st-street-unit-5m-manhattan-ny-10011/29372183352551601/view?agent_id=610d3f3370540700019b0833","223 West 21st Street, Unit 5M")</f>
        <v>223 West 21st Street, Unit 5M</v>
      </c>
      <c r="C4872" s="25" t="s">
        <v>370</v>
      </c>
      <c r="D4872" s="26" t="s">
        <v>23</v>
      </c>
      <c r="E4872" s="27" t="str">
        <f>HYPERLINK("https://www.compass.com/building/223-w-21st-st-manhattan-ny-10011/281907120062877637/","223 W 21st St")</f>
        <v>223 W 21st St</v>
      </c>
      <c r="F4872" s="25" t="s">
        <v>27</v>
      </c>
      <c r="G4872" s="28">
        <v>1150000.0</v>
      </c>
      <c r="H4872" s="29"/>
      <c r="I4872" s="28">
        <v>1271.0</v>
      </c>
      <c r="J4872" s="29"/>
      <c r="K4872" s="25" t="s">
        <v>25</v>
      </c>
      <c r="L4872" s="26">
        <v>4.0</v>
      </c>
      <c r="M4872" s="26">
        <v>2.0</v>
      </c>
      <c r="N4872" s="26">
        <v>1.0</v>
      </c>
      <c r="O4872" s="26">
        <v>0.0</v>
      </c>
      <c r="P4872" s="30"/>
      <c r="Q4872" s="35">
        <v>40.0</v>
      </c>
      <c r="R4872" s="32">
        <v>45636.0</v>
      </c>
      <c r="S4872" s="32">
        <v>43613.0</v>
      </c>
      <c r="T4872" s="29"/>
      <c r="U4872" s="33"/>
      <c r="V4872" s="1"/>
    </row>
    <row r="4873" ht="24.0" customHeight="1">
      <c r="A4873" s="1"/>
      <c r="B4873" s="24" t="str">
        <f>HYPERLINK("https://www.compass.com/listing/117-west-17th-street-unit-4d-manhattan-ny-10011/4852270147081076897/view?agent_id=610d3f3370540700019b0833","117 West 17th Street, Unit 4D")</f>
        <v>117 West 17th Street, Unit 4D</v>
      </c>
      <c r="C4873" s="25" t="s">
        <v>364</v>
      </c>
      <c r="D4873" s="26" t="s">
        <v>23</v>
      </c>
      <c r="E4873" s="27" t="str">
        <f>HYPERLINK("https://www.compass.com/building/117-w-17th-st-manhattan-ny-10011/294837158141559733/","117 W 17th St")</f>
        <v>117 W 17th St</v>
      </c>
      <c r="F4873" s="25" t="s">
        <v>27</v>
      </c>
      <c r="G4873" s="28">
        <v>2750000.0</v>
      </c>
      <c r="H4873" s="28">
        <v>2037.0</v>
      </c>
      <c r="I4873" s="28">
        <v>1944.0</v>
      </c>
      <c r="J4873" s="28">
        <v>15996.0</v>
      </c>
      <c r="K4873" s="25" t="s">
        <v>28</v>
      </c>
      <c r="L4873" s="26">
        <v>4.0</v>
      </c>
      <c r="M4873" s="26">
        <v>2.0</v>
      </c>
      <c r="N4873" s="26">
        <v>0.0</v>
      </c>
      <c r="O4873" s="26">
        <v>0.0</v>
      </c>
      <c r="P4873" s="34">
        <v>1350.0</v>
      </c>
      <c r="Q4873" s="35">
        <v>91.0</v>
      </c>
      <c r="R4873" s="32">
        <v>42216.0</v>
      </c>
      <c r="S4873" s="32">
        <v>42079.0</v>
      </c>
      <c r="T4873" s="29"/>
      <c r="U4873" s="33"/>
      <c r="V4873" s="1"/>
    </row>
    <row r="4874" ht="24.0" customHeight="1">
      <c r="A4874" s="1"/>
      <c r="B4874" s="24" t="str">
        <f>HYPERLINK("https://www.compass.com/listing/135-eastern-parkway-unit-5j-brooklyn-ny-11238/4852279337749054097/view?agent_id=610d3f3370540700019b0833","135 Eastern Parkway, Unit 5J")</f>
        <v>135 Eastern Parkway, Unit 5J</v>
      </c>
      <c r="C4874" s="25" t="s">
        <v>370</v>
      </c>
      <c r="D4874" s="26" t="s">
        <v>23</v>
      </c>
      <c r="E4874" s="27" t="str">
        <f>HYPERLINK("https://www.compass.com/building/turner-towers-brooklyn-ny/293426214163520789/","Turner Towers")</f>
        <v>Turner Towers</v>
      </c>
      <c r="F4874" s="25" t="s">
        <v>39</v>
      </c>
      <c r="G4874" s="28">
        <v>999000.0</v>
      </c>
      <c r="H4874" s="29"/>
      <c r="I4874" s="28">
        <v>1458.0</v>
      </c>
      <c r="J4874" s="29"/>
      <c r="K4874" s="25" t="s">
        <v>25</v>
      </c>
      <c r="L4874" s="26">
        <v>4.0</v>
      </c>
      <c r="M4874" s="26">
        <v>2.0</v>
      </c>
      <c r="N4874" s="26">
        <v>0.0</v>
      </c>
      <c r="O4874" s="26">
        <v>0.0</v>
      </c>
      <c r="P4874" s="30"/>
      <c r="Q4874" s="35">
        <v>134.0</v>
      </c>
      <c r="R4874" s="32">
        <v>45636.0</v>
      </c>
      <c r="S4874" s="32">
        <v>42787.0</v>
      </c>
      <c r="T4874" s="29"/>
      <c r="U4874" s="33"/>
      <c r="V4874" s="1"/>
    </row>
    <row r="4875" ht="24.0" customHeight="1">
      <c r="A4875" s="1"/>
      <c r="B4875" s="24" t="str">
        <f>HYPERLINK("https://www.compass.com/listing/245-west-19th-street-unit-ph1-manhattan-ny-10011/283640735570354273/view?agent_id=610d3f3370540700019b0833","245 West 19th Street, Unit PH1")</f>
        <v>245 West 19th Street, Unit PH1</v>
      </c>
      <c r="C4875" s="25" t="s">
        <v>364</v>
      </c>
      <c r="D4875" s="26" t="s">
        <v>23</v>
      </c>
      <c r="E4875" s="27" t="str">
        <f>HYPERLINK("https://www.compass.com/building/avant-chelsea-manhattan-ny/292802887338192885/","Avant Chelsea")</f>
        <v>Avant Chelsea</v>
      </c>
      <c r="F4875" s="25" t="s">
        <v>27</v>
      </c>
      <c r="G4875" s="28">
        <v>3575000.0</v>
      </c>
      <c r="H4875" s="28">
        <v>1941.0</v>
      </c>
      <c r="I4875" s="28">
        <v>4000.0</v>
      </c>
      <c r="J4875" s="28">
        <v>10068.0</v>
      </c>
      <c r="K4875" s="25" t="s">
        <v>28</v>
      </c>
      <c r="L4875" s="26">
        <v>5.0</v>
      </c>
      <c r="M4875" s="26">
        <v>2.0</v>
      </c>
      <c r="N4875" s="26">
        <v>0.0</v>
      </c>
      <c r="O4875" s="26">
        <v>0.0</v>
      </c>
      <c r="P4875" s="34">
        <v>1842.0</v>
      </c>
      <c r="Q4875" s="35">
        <v>49.0</v>
      </c>
      <c r="R4875" s="32">
        <v>45636.0</v>
      </c>
      <c r="S4875" s="32">
        <v>41296.0</v>
      </c>
      <c r="T4875" s="29"/>
      <c r="U4875" s="33"/>
      <c r="V4875" s="1"/>
    </row>
    <row r="4876" ht="24.0" customHeight="1">
      <c r="A4876" s="1"/>
      <c r="B4876" s="24" t="str">
        <f>HYPERLINK("https://www.compass.com/listing/250-park-place-unit-4a-brooklyn-ny-11238/29512804583173585/view?agent_id=610d3f3370540700019b0833","250 Park Place, Unit 4A")</f>
        <v>250 Park Place, Unit 4A</v>
      </c>
      <c r="C4876" s="25" t="s">
        <v>364</v>
      </c>
      <c r="D4876" s="26" t="s">
        <v>23</v>
      </c>
      <c r="E4876" s="27" t="str">
        <f>HYPERLINK("https://www.compass.com/building/250-park-pl-brooklyn-ny-11238/293424065715179621/","250 Park Pl")</f>
        <v>250 Park Pl</v>
      </c>
      <c r="F4876" s="25" t="s">
        <v>39</v>
      </c>
      <c r="G4876" s="28">
        <v>995000.0</v>
      </c>
      <c r="H4876" s="28">
        <v>1106.0</v>
      </c>
      <c r="I4876" s="28">
        <v>1219.0</v>
      </c>
      <c r="J4876" s="29"/>
      <c r="K4876" s="25" t="s">
        <v>25</v>
      </c>
      <c r="L4876" s="26">
        <v>4.0</v>
      </c>
      <c r="M4876" s="26">
        <v>2.0</v>
      </c>
      <c r="N4876" s="26">
        <v>1.0</v>
      </c>
      <c r="O4876" s="26">
        <v>0.0</v>
      </c>
      <c r="P4876" s="26">
        <v>900.0</v>
      </c>
      <c r="Q4876" s="35">
        <v>236.0</v>
      </c>
      <c r="R4876" s="32">
        <v>45636.0</v>
      </c>
      <c r="S4876" s="32">
        <v>43171.0</v>
      </c>
      <c r="T4876" s="29"/>
      <c r="U4876" s="33"/>
      <c r="V4876" s="1"/>
    </row>
    <row r="4877" ht="24.0" customHeight="1">
      <c r="A4877" s="1"/>
      <c r="B4877" s="24" t="str">
        <f>HYPERLINK("https://www.compass.com/listing/122-greenwich-avenue-unit-2b-manhattan-ny-10011/4852267013642388305/view?agent_id=610d3f3370540700019b0833","122 Greenwich Avenue, Unit 2B")</f>
        <v>122 Greenwich Avenue, Unit 2B</v>
      </c>
      <c r="C4877" s="25" t="s">
        <v>364</v>
      </c>
      <c r="D4877" s="26" t="s">
        <v>23</v>
      </c>
      <c r="E4877" s="27" t="str">
        <f>HYPERLINK("https://www.compass.com/building/one-jackson-square-manhattan-ny/281904773785996853/","One Jackson Square")</f>
        <v>One Jackson Square</v>
      </c>
      <c r="F4877" s="25" t="s">
        <v>26</v>
      </c>
      <c r="G4877" s="28">
        <v>3290000.0</v>
      </c>
      <c r="H4877" s="28">
        <v>2307.0</v>
      </c>
      <c r="I4877" s="28">
        <v>3393.0</v>
      </c>
      <c r="J4877" s="28">
        <v>10428.0</v>
      </c>
      <c r="K4877" s="25" t="s">
        <v>28</v>
      </c>
      <c r="L4877" s="26">
        <v>5.0</v>
      </c>
      <c r="M4877" s="26">
        <v>2.0</v>
      </c>
      <c r="N4877" s="26">
        <v>0.0</v>
      </c>
      <c r="O4877" s="26">
        <v>0.0</v>
      </c>
      <c r="P4877" s="34">
        <v>1426.0</v>
      </c>
      <c r="Q4877" s="35">
        <v>426.0</v>
      </c>
      <c r="R4877" s="32">
        <v>45636.0</v>
      </c>
      <c r="S4877" s="32">
        <v>42452.0</v>
      </c>
      <c r="T4877" s="29"/>
      <c r="U4877" s="33"/>
      <c r="V4877" s="1"/>
    </row>
    <row r="4878" ht="24.0" customHeight="1">
      <c r="A4878" s="1"/>
      <c r="B4878" s="24" t="str">
        <f>HYPERLINK("https://www.compass.com/listing/444-west-19th-street-unit-7e-manhattan-ny-10011/4852276415795575857/view?agent_id=610d3f3370540700019b0833","444 West 19th Street, Unit 7E")</f>
        <v>444 West 19th Street, Unit 7E</v>
      </c>
      <c r="C4878" s="25" t="s">
        <v>364</v>
      </c>
      <c r="D4878" s="26" t="s">
        <v>23</v>
      </c>
      <c r="E4878" s="27" t="str">
        <f>HYPERLINK("https://www.compass.com/building/the-chelsea-club-manhattan-ny/281910522457120389/","The Chelsea Club")</f>
        <v>The Chelsea Club</v>
      </c>
      <c r="F4878" s="25" t="s">
        <v>27</v>
      </c>
      <c r="G4878" s="28">
        <v>2250000.0</v>
      </c>
      <c r="H4878" s="28">
        <v>1659.0</v>
      </c>
      <c r="I4878" s="28">
        <v>2305.0</v>
      </c>
      <c r="J4878" s="28">
        <v>8412.0</v>
      </c>
      <c r="K4878" s="25" t="s">
        <v>28</v>
      </c>
      <c r="L4878" s="26">
        <v>5.0</v>
      </c>
      <c r="M4878" s="26">
        <v>2.0</v>
      </c>
      <c r="N4878" s="26">
        <v>0.0</v>
      </c>
      <c r="O4878" s="26">
        <v>0.0</v>
      </c>
      <c r="P4878" s="34">
        <v>1356.0</v>
      </c>
      <c r="Q4878" s="35">
        <v>1764.0</v>
      </c>
      <c r="R4878" s="32">
        <v>44581.0</v>
      </c>
      <c r="S4878" s="32">
        <v>41172.0</v>
      </c>
      <c r="T4878" s="29"/>
      <c r="U4878" s="33"/>
      <c r="V4878" s="1"/>
    </row>
    <row r="4879" ht="24.0" customHeight="1">
      <c r="A4879" s="1"/>
      <c r="B4879" s="24" t="str">
        <f>HYPERLINK("https://www.compass.com/listing/114-east-13th-street-unit-4d-manhattan-ny-10003/803337993234184977/view?agent_id=610d3f3370540700019b0833","114 East 13th Street, Unit 4D")</f>
        <v>114 East 13th Street, Unit 4D</v>
      </c>
      <c r="C4879" s="25" t="s">
        <v>370</v>
      </c>
      <c r="D4879" s="26" t="s">
        <v>23</v>
      </c>
      <c r="E4879" s="27" t="str">
        <f>HYPERLINK("https://www.compass.com/building/114-e-13th-st-manhattan-ny-10003/281889022253469205/","114 E 13th St")</f>
        <v>114 E 13th St</v>
      </c>
      <c r="F4879" s="25" t="s">
        <v>43</v>
      </c>
      <c r="G4879" s="28">
        <v>1695000.0</v>
      </c>
      <c r="H4879" s="28">
        <v>1809.0</v>
      </c>
      <c r="I4879" s="28">
        <v>2270.0</v>
      </c>
      <c r="J4879" s="28">
        <v>13308.0</v>
      </c>
      <c r="K4879" s="25" t="s">
        <v>28</v>
      </c>
      <c r="L4879" s="26">
        <v>4.0</v>
      </c>
      <c r="M4879" s="26">
        <v>2.0</v>
      </c>
      <c r="N4879" s="26">
        <v>0.0</v>
      </c>
      <c r="O4879" s="26">
        <v>0.0</v>
      </c>
      <c r="P4879" s="26">
        <v>937.0</v>
      </c>
      <c r="Q4879" s="35">
        <v>76.0</v>
      </c>
      <c r="R4879" s="32">
        <v>45636.0</v>
      </c>
      <c r="S4879" s="32">
        <v>42608.0</v>
      </c>
      <c r="T4879" s="29"/>
      <c r="U4879" s="33"/>
      <c r="V4879" s="1"/>
    </row>
    <row r="4880" ht="24.0" customHeight="1">
      <c r="A4880" s="1"/>
      <c r="B4880" s="24" t="str">
        <f>HYPERLINK("https://www.compass.com/listing/107-morton-street-unit-1a-manhattan-ny-10014/1155897052936741625/view?agent_id=610d3f3370540700019b0833","107 Morton Street, Unit 1A")</f>
        <v>107 Morton Street, Unit 1A</v>
      </c>
      <c r="C4880" s="25" t="s">
        <v>370</v>
      </c>
      <c r="D4880" s="26" t="s">
        <v>23</v>
      </c>
      <c r="E4880" s="27" t="str">
        <f>HYPERLINK("https://www.compass.com/building/west-village-houses-manhattan-ny/282062310921504101/","West Village Houses")</f>
        <v>West Village Houses</v>
      </c>
      <c r="F4880" s="25" t="s">
        <v>26</v>
      </c>
      <c r="G4880" s="28">
        <v>1150000.0</v>
      </c>
      <c r="H4880" s="29"/>
      <c r="I4880" s="28">
        <v>1464.0</v>
      </c>
      <c r="J4880" s="29"/>
      <c r="K4880" s="25" t="s">
        <v>25</v>
      </c>
      <c r="L4880" s="26">
        <v>4.0</v>
      </c>
      <c r="M4880" s="26">
        <v>2.0</v>
      </c>
      <c r="N4880" s="26">
        <v>1.0</v>
      </c>
      <c r="O4880" s="26">
        <v>0.0</v>
      </c>
      <c r="P4880" s="30"/>
      <c r="Q4880" s="35">
        <v>70.0</v>
      </c>
      <c r="R4880" s="32">
        <v>45636.0</v>
      </c>
      <c r="S4880" s="32">
        <v>44956.0</v>
      </c>
      <c r="T4880" s="29"/>
      <c r="U4880" s="33"/>
      <c r="V4880" s="1"/>
    </row>
    <row r="4881" ht="24.0" customHeight="1">
      <c r="A4881" s="1"/>
      <c r="B4881" s="24" t="str">
        <f>HYPERLINK("https://www.compass.com/listing/634-washington-street-unit-2a-manhattan-ny-10014/988020624871733297/view?agent_id=610d3f3370540700019b0833","634 Washington Street, Unit 2A")</f>
        <v>634 Washington Street, Unit 2A</v>
      </c>
      <c r="C4881" s="25" t="s">
        <v>365</v>
      </c>
      <c r="D4881" s="26" t="s">
        <v>23</v>
      </c>
      <c r="E4881" s="27" t="str">
        <f>HYPERLINK("https://www.compass.com/building/west-village-houses-manhattan-ny/281935055620720069/","West Village Houses")</f>
        <v>West Village Houses</v>
      </c>
      <c r="F4881" s="25" t="s">
        <v>26</v>
      </c>
      <c r="G4881" s="28">
        <v>1195000.0</v>
      </c>
      <c r="H4881" s="28">
        <v>1366.0</v>
      </c>
      <c r="I4881" s="28">
        <v>1105.0</v>
      </c>
      <c r="J4881" s="29"/>
      <c r="K4881" s="25" t="s">
        <v>248</v>
      </c>
      <c r="L4881" s="26">
        <v>2.0</v>
      </c>
      <c r="M4881" s="26">
        <v>2.0</v>
      </c>
      <c r="N4881" s="26">
        <v>1.0</v>
      </c>
      <c r="O4881" s="30"/>
      <c r="P4881" s="26">
        <v>875.0</v>
      </c>
      <c r="Q4881" s="35">
        <v>97.0</v>
      </c>
      <c r="R4881" s="32">
        <v>44820.0</v>
      </c>
      <c r="S4881" s="32">
        <v>44515.0</v>
      </c>
      <c r="T4881" s="29"/>
      <c r="U4881" s="33"/>
      <c r="V4881" s="1"/>
    </row>
    <row r="4882" ht="24.0" customHeight="1">
      <c r="A4882" s="1"/>
      <c r="B4882" s="24" t="str">
        <f>HYPERLINK("https://www.compass.com/listing/520-west-23rd-street-unit-6b-manhattan-ny-10011/1838953000060652961/view?agent_id=610d3f3370540700019b0833","520 West 23rd Street, Unit 6B")</f>
        <v>520 West 23rd Street, Unit 6B</v>
      </c>
      <c r="C4882" s="25" t="s">
        <v>364</v>
      </c>
      <c r="D4882" s="26" t="s">
        <v>23</v>
      </c>
      <c r="E4882" s="27" t="str">
        <f>HYPERLINK("https://www.compass.com/building/marais-manhattan-ny/281911538384658949/","Marais")</f>
        <v>Marais</v>
      </c>
      <c r="F4882" s="25" t="s">
        <v>27</v>
      </c>
      <c r="G4882" s="28">
        <v>1280000.0</v>
      </c>
      <c r="H4882" s="28">
        <v>1432.0</v>
      </c>
      <c r="I4882" s="28">
        <v>2341.0</v>
      </c>
      <c r="J4882" s="29"/>
      <c r="K4882" s="25" t="s">
        <v>49</v>
      </c>
      <c r="L4882" s="26">
        <v>4.0</v>
      </c>
      <c r="M4882" s="26">
        <v>2.0</v>
      </c>
      <c r="N4882" s="26">
        <v>0.0</v>
      </c>
      <c r="O4882" s="26">
        <v>0.0</v>
      </c>
      <c r="P4882" s="26">
        <v>894.0</v>
      </c>
      <c r="Q4882" s="35">
        <v>1.0</v>
      </c>
      <c r="R4882" s="32">
        <v>44581.0</v>
      </c>
      <c r="S4882" s="32">
        <v>43151.0</v>
      </c>
      <c r="T4882" s="29"/>
      <c r="U4882" s="33"/>
      <c r="V4882" s="1"/>
    </row>
    <row r="4883" ht="24.0" customHeight="1">
      <c r="A4883" s="1"/>
      <c r="B4883" s="24" t="str">
        <f>HYPERLINK("https://www.compass.com/listing/450-west-17th-street-unit-1118-manhattan-ny-10011/921883786572717393/view?agent_id=610d3f3370540700019b0833","450 West 17th Street, Unit 1118")</f>
        <v>450 West 17th Street, Unit 1118</v>
      </c>
      <c r="C4883" s="25" t="s">
        <v>364</v>
      </c>
      <c r="D4883" s="26" t="s">
        <v>23</v>
      </c>
      <c r="E4883" s="27" t="str">
        <f>HYPERLINK("https://www.compass.com/building/the-caledonia-manhattan-ny/281910674349645621/","The Caledonia")</f>
        <v>The Caledonia</v>
      </c>
      <c r="F4883" s="25" t="s">
        <v>27</v>
      </c>
      <c r="G4883" s="28">
        <v>2395000.0</v>
      </c>
      <c r="H4883" s="28">
        <v>2545.0</v>
      </c>
      <c r="I4883" s="28">
        <v>1322.0</v>
      </c>
      <c r="J4883" s="28">
        <v>4644.0</v>
      </c>
      <c r="K4883" s="25" t="s">
        <v>28</v>
      </c>
      <c r="L4883" s="26">
        <v>4.0</v>
      </c>
      <c r="M4883" s="26">
        <v>2.0</v>
      </c>
      <c r="N4883" s="26">
        <v>0.0</v>
      </c>
      <c r="O4883" s="26">
        <v>0.0</v>
      </c>
      <c r="P4883" s="26">
        <v>941.0</v>
      </c>
      <c r="Q4883" s="31"/>
      <c r="R4883" s="32">
        <v>44581.0</v>
      </c>
      <c r="S4883" s="33"/>
      <c r="T4883" s="29"/>
      <c r="U4883" s="33"/>
      <c r="V4883" s="1"/>
    </row>
    <row r="4884" ht="24.0" customHeight="1">
      <c r="A4884" s="1"/>
      <c r="B4884" s="24" t="str">
        <f>HYPERLINK("https://www.compass.com/listing/78-bedford-street-unit-3a-manhattan-ny-10014/1838981181211555905/view?agent_id=610d3f3370540700019b0833","78 Bedford Street, Unit 3A")</f>
        <v>78 Bedford Street, Unit 3A</v>
      </c>
      <c r="C4884" s="25" t="s">
        <v>370</v>
      </c>
      <c r="D4884" s="26" t="s">
        <v>23</v>
      </c>
      <c r="E4884" s="27" t="str">
        <f>HYPERLINK("https://www.compass.com/building/78-bedford-st-manhattan-ny-10014/292831124927861573/","78 Bedford St")</f>
        <v>78 Bedford St</v>
      </c>
      <c r="F4884" s="25" t="s">
        <v>26</v>
      </c>
      <c r="G4884" s="28">
        <v>2100000.0</v>
      </c>
      <c r="H4884" s="28">
        <v>2625.0</v>
      </c>
      <c r="I4884" s="28">
        <v>1260.0</v>
      </c>
      <c r="J4884" s="28">
        <v>7908.0</v>
      </c>
      <c r="K4884" s="25" t="s">
        <v>28</v>
      </c>
      <c r="L4884" s="26">
        <v>4.0</v>
      </c>
      <c r="M4884" s="26">
        <v>2.0</v>
      </c>
      <c r="N4884" s="26">
        <v>0.0</v>
      </c>
      <c r="O4884" s="26">
        <v>0.0</v>
      </c>
      <c r="P4884" s="26">
        <v>800.0</v>
      </c>
      <c r="Q4884" s="35">
        <v>38.0</v>
      </c>
      <c r="R4884" s="32">
        <v>44581.0</v>
      </c>
      <c r="S4884" s="32">
        <v>42963.0</v>
      </c>
      <c r="T4884" s="29"/>
      <c r="U4884" s="33"/>
      <c r="V4884" s="1"/>
    </row>
    <row r="4885" ht="24.0" customHeight="1">
      <c r="A4885" s="1"/>
      <c r="B4885" s="24" t="str">
        <f>HYPERLINK("https://www.compass.com/listing/201-west-17th-street-unit-9c-manhattan-ny-10011/4852312077227795713/view?agent_id=610d3f3370540700019b0833","201 West 17th Street, Unit 9C")</f>
        <v>201 West 17th Street, Unit 9C</v>
      </c>
      <c r="C4885" s="25" t="s">
        <v>364</v>
      </c>
      <c r="D4885" s="26" t="s">
        <v>23</v>
      </c>
      <c r="E4885" s="27" t="str">
        <f>HYPERLINK("https://www.compass.com/building/201-w-17th-st-manhattan-ny-10011/281906517567886661/","201 W 17th St")</f>
        <v>201 W 17th St</v>
      </c>
      <c r="F4885" s="25" t="s">
        <v>27</v>
      </c>
      <c r="G4885" s="28">
        <v>1750000.0</v>
      </c>
      <c r="H4885" s="28">
        <v>1455.0</v>
      </c>
      <c r="I4885" s="28">
        <v>2544.0</v>
      </c>
      <c r="J4885" s="28">
        <v>15528.0</v>
      </c>
      <c r="K4885" s="25" t="s">
        <v>28</v>
      </c>
      <c r="L4885" s="26">
        <v>4.0</v>
      </c>
      <c r="M4885" s="26">
        <v>2.0</v>
      </c>
      <c r="N4885" s="26">
        <v>0.0</v>
      </c>
      <c r="O4885" s="26">
        <v>0.0</v>
      </c>
      <c r="P4885" s="34">
        <v>1203.0</v>
      </c>
      <c r="Q4885" s="35">
        <v>5.0</v>
      </c>
      <c r="R4885" s="32">
        <v>44234.0</v>
      </c>
      <c r="S4885" s="32">
        <v>41558.0</v>
      </c>
      <c r="T4885" s="29"/>
      <c r="U4885" s="33"/>
      <c r="V4885" s="1"/>
    </row>
    <row r="4886" ht="24.0" customHeight="1">
      <c r="A4886" s="1"/>
      <c r="B4886" s="24" t="str">
        <f>HYPERLINK("https://www.compass.com/listing/126-east-12th-street-unit-4d-manhattan-ny-10003/70911023938381665/view?agent_id=610d3f3370540700019b0833","126 East 12th Street, Unit 4D")</f>
        <v>126 East 12th Street, Unit 4D</v>
      </c>
      <c r="C4886" s="25" t="s">
        <v>370</v>
      </c>
      <c r="D4886" s="26" t="s">
        <v>23</v>
      </c>
      <c r="E4886" s="27" t="str">
        <f>HYPERLINK("https://www.compass.com/building/126-e-12th-st-manhattan-ny-10003/281889319461848853/","126 E 12th St")</f>
        <v>126 E 12th St</v>
      </c>
      <c r="F4886" s="25" t="s">
        <v>43</v>
      </c>
      <c r="G4886" s="28">
        <v>749000.0</v>
      </c>
      <c r="H4886" s="28">
        <v>1033.0</v>
      </c>
      <c r="I4886" s="28">
        <v>1436.0</v>
      </c>
      <c r="J4886" s="29"/>
      <c r="K4886" s="25" t="s">
        <v>25</v>
      </c>
      <c r="L4886" s="26">
        <v>5.0</v>
      </c>
      <c r="M4886" s="26">
        <v>2.0</v>
      </c>
      <c r="N4886" s="26">
        <v>0.0</v>
      </c>
      <c r="O4886" s="26">
        <v>0.0</v>
      </c>
      <c r="P4886" s="26">
        <v>725.0</v>
      </c>
      <c r="Q4886" s="35">
        <v>90.0</v>
      </c>
      <c r="R4886" s="32">
        <v>45636.0</v>
      </c>
      <c r="S4886" s="32">
        <v>41451.0</v>
      </c>
      <c r="T4886" s="29"/>
      <c r="U4886" s="33"/>
      <c r="V4886" s="1"/>
    </row>
    <row r="4887" ht="24.0" customHeight="1">
      <c r="A4887" s="1"/>
      <c r="B4887" s="24" t="str">
        <f>HYPERLINK("https://www.compass.com/listing/234-west-21st-street-unit-43-manhattan-ny-10011/79386294706313873/view?agent_id=610d3f3370540700019b0833","234 W 21st St, Unit 43")</f>
        <v>234 W 21st St, Unit 43</v>
      </c>
      <c r="C4887" s="25" t="s">
        <v>370</v>
      </c>
      <c r="D4887" s="26" t="s">
        <v>23</v>
      </c>
      <c r="E4887" s="27" t="str">
        <f>HYPERLINK("https://www.compass.com/building/234-west-21st-street-manhattan-ny/281907472074035573/","234 West 21st Street")</f>
        <v>234 West 21st Street</v>
      </c>
      <c r="F4887" s="25" t="s">
        <v>27</v>
      </c>
      <c r="G4887" s="28">
        <v>1225000.0</v>
      </c>
      <c r="H4887" s="29"/>
      <c r="I4887" s="28">
        <v>1076.0</v>
      </c>
      <c r="J4887" s="29"/>
      <c r="K4887" s="25" t="s">
        <v>25</v>
      </c>
      <c r="L4887" s="26">
        <v>5.0</v>
      </c>
      <c r="M4887" s="26">
        <v>2.0</v>
      </c>
      <c r="N4887" s="30"/>
      <c r="O4887" s="30"/>
      <c r="P4887" s="30"/>
      <c r="Q4887" s="35">
        <v>30.0</v>
      </c>
      <c r="R4887" s="32">
        <v>42476.0</v>
      </c>
      <c r="S4887" s="32">
        <v>39825.0</v>
      </c>
      <c r="T4887" s="29"/>
      <c r="U4887" s="33"/>
      <c r="V4887" s="1"/>
    </row>
    <row r="4888" ht="24.0" customHeight="1">
      <c r="A4888" s="1"/>
      <c r="B4888" s="24" t="str">
        <f>HYPERLINK("https://www.compass.com/listing/547-549-east-12th-street-unit-3c-manhattan-ny-10009/1031522370883988985/view?agent_id=610d3f3370540700019b0833","547-549 East 12th Street, Unit 3C")</f>
        <v>547-549 East 12th Street, Unit 3C</v>
      </c>
      <c r="C4888" s="25" t="s">
        <v>364</v>
      </c>
      <c r="D4888" s="26" t="s">
        <v>23</v>
      </c>
      <c r="E4888" s="27" t="str">
        <f>HYPERLINK("https://www.compass.com/building/547-549-e-12th-st-manhattan-ny-10009/567450259443816429/","547-549 E 12th St")</f>
        <v>547-549 E 12th St</v>
      </c>
      <c r="F4888" s="25" t="s">
        <v>24</v>
      </c>
      <c r="G4888" s="28">
        <v>550000.0</v>
      </c>
      <c r="H4888" s="29"/>
      <c r="I4888" s="28">
        <v>360.0</v>
      </c>
      <c r="J4888" s="29"/>
      <c r="K4888" s="25" t="s">
        <v>25</v>
      </c>
      <c r="L4888" s="26">
        <v>4.0</v>
      </c>
      <c r="M4888" s="26">
        <v>2.0</v>
      </c>
      <c r="N4888" s="30"/>
      <c r="O4888" s="30"/>
      <c r="P4888" s="30"/>
      <c r="Q4888" s="35">
        <v>18.0</v>
      </c>
      <c r="R4888" s="32">
        <v>45238.0</v>
      </c>
      <c r="S4888" s="32">
        <v>45047.0</v>
      </c>
      <c r="T4888" s="28">
        <v>550000.0</v>
      </c>
      <c r="U4888" s="32">
        <v>45230.0</v>
      </c>
      <c r="V4888" s="1"/>
    </row>
    <row r="4889" ht="24.0" customHeight="1">
      <c r="A4889" s="1"/>
      <c r="B4889" s="24" t="str">
        <f>HYPERLINK("https://www.compass.com/listing/175-eastern-parkway-unit-2a-brooklyn-ny-11238/371005637479257969/view?agent_id=610d3f3370540700019b0833","175 Eastern Parkway, Unit 2A")</f>
        <v>175 Eastern Parkway, Unit 2A</v>
      </c>
      <c r="C4889" s="25" t="s">
        <v>364</v>
      </c>
      <c r="D4889" s="26" t="s">
        <v>23</v>
      </c>
      <c r="E4889" s="27" t="str">
        <f>HYPERLINK("https://www.compass.com/building/175-eastern-pkwy-brooklyn-ny-11238/293422878962027109/","175 Eastern Pkwy")</f>
        <v>175 Eastern Pkwy</v>
      </c>
      <c r="F4889" s="25" t="s">
        <v>39</v>
      </c>
      <c r="G4889" s="28">
        <v>1259000.0</v>
      </c>
      <c r="H4889" s="28">
        <v>928.0</v>
      </c>
      <c r="I4889" s="28">
        <v>1157.0</v>
      </c>
      <c r="J4889" s="28">
        <v>0.0</v>
      </c>
      <c r="K4889" s="25" t="s">
        <v>25</v>
      </c>
      <c r="L4889" s="26">
        <v>4.0</v>
      </c>
      <c r="M4889" s="26">
        <v>2.0</v>
      </c>
      <c r="N4889" s="26">
        <v>1.0</v>
      </c>
      <c r="O4889" s="30"/>
      <c r="P4889" s="34">
        <v>1356.0</v>
      </c>
      <c r="Q4889" s="35">
        <v>25.0</v>
      </c>
      <c r="R4889" s="32">
        <v>43790.0</v>
      </c>
      <c r="S4889" s="32">
        <v>43763.0</v>
      </c>
      <c r="T4889" s="29"/>
      <c r="U4889" s="33"/>
      <c r="V4889" s="1"/>
    </row>
    <row r="4890" ht="24.0" customHeight="1">
      <c r="A4890" s="1"/>
      <c r="B4890" s="24" t="str">
        <f>HYPERLINK("https://www.compass.com/listing/121-west-20th-street-unit-2c-manhattan-ny-10011/803322809602205897/view?agent_id=610d3f3370540700019b0833","121 West 20th Street, Unit 2C")</f>
        <v>121 West 20th Street, Unit 2C</v>
      </c>
      <c r="C4890" s="25" t="s">
        <v>370</v>
      </c>
      <c r="D4890" s="26" t="s">
        <v>23</v>
      </c>
      <c r="E4890" s="27" t="str">
        <f>HYPERLINK("https://www.compass.com/building/121-w-20th-st-manhattan-ny-10011/281904745642215397/","121 W 20th St")</f>
        <v>121 W 20th St</v>
      </c>
      <c r="F4890" s="25" t="s">
        <v>27</v>
      </c>
      <c r="G4890" s="28">
        <v>2250000.0</v>
      </c>
      <c r="H4890" s="28">
        <v>1370.0</v>
      </c>
      <c r="I4890" s="28">
        <v>2512.0</v>
      </c>
      <c r="J4890" s="28">
        <v>15492.0</v>
      </c>
      <c r="K4890" s="25" t="s">
        <v>28</v>
      </c>
      <c r="L4890" s="26">
        <v>6.0</v>
      </c>
      <c r="M4890" s="26">
        <v>2.0</v>
      </c>
      <c r="N4890" s="26">
        <v>0.0</v>
      </c>
      <c r="O4890" s="26">
        <v>0.0</v>
      </c>
      <c r="P4890" s="34">
        <v>1642.0</v>
      </c>
      <c r="Q4890" s="35">
        <v>153.0</v>
      </c>
      <c r="R4890" s="32">
        <v>45636.0</v>
      </c>
      <c r="S4890" s="32">
        <v>42571.0</v>
      </c>
      <c r="T4890" s="29"/>
      <c r="U4890" s="33"/>
      <c r="V4890" s="1"/>
    </row>
    <row r="4891" ht="24.0" customHeight="1">
      <c r="A4891" s="1"/>
      <c r="B4891" s="24" t="str">
        <f>HYPERLINK("https://www.compass.com/listing/101-warren-street-unit-1080-manhattan-ny-10007/70910847978952465/view?agent_id=610d3f3370540700019b0833","101 Warren Street, Unit 1080")</f>
        <v>101 Warren Street, Unit 1080</v>
      </c>
      <c r="C4891" s="25" t="s">
        <v>370</v>
      </c>
      <c r="D4891" s="26" t="s">
        <v>23</v>
      </c>
      <c r="E4891" s="27" t="str">
        <f>HYPERLINK("https://www.compass.com/building/99-101-warren-manhattan-ny/307460833541810581/","99-101 Warren")</f>
        <v>99-101 Warren</v>
      </c>
      <c r="F4891" s="25" t="s">
        <v>60</v>
      </c>
      <c r="G4891" s="28">
        <v>2888000.0</v>
      </c>
      <c r="H4891" s="28">
        <v>1961.0</v>
      </c>
      <c r="I4891" s="28">
        <v>1986.0</v>
      </c>
      <c r="J4891" s="28">
        <v>7788.0</v>
      </c>
      <c r="K4891" s="25" t="s">
        <v>209</v>
      </c>
      <c r="L4891" s="26">
        <v>5.0</v>
      </c>
      <c r="M4891" s="26">
        <v>2.0</v>
      </c>
      <c r="N4891" s="26">
        <v>0.0</v>
      </c>
      <c r="O4891" s="26">
        <v>0.0</v>
      </c>
      <c r="P4891" s="34">
        <v>1473.0</v>
      </c>
      <c r="Q4891" s="35">
        <v>96.0</v>
      </c>
      <c r="R4891" s="32">
        <v>45636.0</v>
      </c>
      <c r="S4891" s="32">
        <v>41387.0</v>
      </c>
      <c r="T4891" s="29"/>
      <c r="U4891" s="33"/>
      <c r="V4891" s="1"/>
    </row>
    <row r="4892" ht="24.0" customHeight="1">
      <c r="A4892" s="1"/>
      <c r="B4892" s="24" t="str">
        <f>HYPERLINK("https://www.compass.com/listing/450-west-17th-street-unit-1908-manhattan-ny-10011/29369945171289073/view?agent_id=610d3f3370540700019b0833","450 West 17th Street, Unit 1908")</f>
        <v>450 West 17th Street, Unit 1908</v>
      </c>
      <c r="C4892" s="25" t="s">
        <v>370</v>
      </c>
      <c r="D4892" s="26" t="s">
        <v>23</v>
      </c>
      <c r="E4892" s="27" t="str">
        <f>HYPERLINK("https://www.compass.com/building/the-caledonia-manhattan-ny/281910674349645621/","The Caledonia")</f>
        <v>The Caledonia</v>
      </c>
      <c r="F4892" s="25" t="s">
        <v>27</v>
      </c>
      <c r="G4892" s="28">
        <v>3150000.0</v>
      </c>
      <c r="H4892" s="28">
        <v>2488.0</v>
      </c>
      <c r="I4892" s="28">
        <v>1619.0</v>
      </c>
      <c r="J4892" s="28">
        <v>3624.0</v>
      </c>
      <c r="K4892" s="25" t="s">
        <v>28</v>
      </c>
      <c r="L4892" s="26">
        <v>4.0</v>
      </c>
      <c r="M4892" s="26">
        <v>2.0</v>
      </c>
      <c r="N4892" s="26">
        <v>0.0</v>
      </c>
      <c r="O4892" s="26">
        <v>0.0</v>
      </c>
      <c r="P4892" s="34">
        <v>1266.0</v>
      </c>
      <c r="Q4892" s="35">
        <v>0.0</v>
      </c>
      <c r="R4892" s="32">
        <v>44581.0</v>
      </c>
      <c r="S4892" s="32">
        <v>41513.0</v>
      </c>
      <c r="T4892" s="29"/>
      <c r="U4892" s="33"/>
      <c r="V4892" s="1"/>
    </row>
    <row r="4893" ht="24.0" customHeight="1">
      <c r="A4893" s="1"/>
      <c r="B4893" s="24" t="str">
        <f>HYPERLINK("https://www.compass.com/listing/100-barclay-street-unit-12d-manhattan-ny-10007/581628526909142969/view?agent_id=610d3f3370540700019b0833","100 Barclay Street, Unit 12D")</f>
        <v>100 Barclay Street, Unit 12D</v>
      </c>
      <c r="C4893" s="25" t="s">
        <v>365</v>
      </c>
      <c r="D4893" s="26" t="s">
        <v>23</v>
      </c>
      <c r="E4893" s="27" t="str">
        <f>HYPERLINK("https://www.compass.com/building/100-barclay-manhattan-ny/281896670466155525/","100 Barclay")</f>
        <v>100 Barclay</v>
      </c>
      <c r="F4893" s="25" t="s">
        <v>60</v>
      </c>
      <c r="G4893" s="28">
        <v>2815000.0</v>
      </c>
      <c r="H4893" s="28">
        <v>2059.0</v>
      </c>
      <c r="I4893" s="28">
        <v>3992.0</v>
      </c>
      <c r="J4893" s="28">
        <v>24252.0</v>
      </c>
      <c r="K4893" s="25" t="s">
        <v>28</v>
      </c>
      <c r="L4893" s="26">
        <v>4.0</v>
      </c>
      <c r="M4893" s="26">
        <v>2.0</v>
      </c>
      <c r="N4893" s="30"/>
      <c r="O4893" s="30"/>
      <c r="P4893" s="34">
        <v>1367.0</v>
      </c>
      <c r="Q4893" s="35">
        <v>172.0</v>
      </c>
      <c r="R4893" s="32">
        <v>44131.0</v>
      </c>
      <c r="S4893" s="32">
        <v>43864.0</v>
      </c>
      <c r="T4893" s="29"/>
      <c r="U4893" s="33"/>
      <c r="V4893" s="1"/>
    </row>
    <row r="4894" ht="24.0" customHeight="1">
      <c r="A4894" s="1"/>
      <c r="B4894" s="24" t="str">
        <f>HYPERLINK("https://www.compass.com/listing/212-west-18th-street-unit-9d-manhattan-ny-10011/78898517124418001/view?agent_id=610d3f3370540700019b0833","212 West 18th Street, Unit 9D")</f>
        <v>212 West 18th Street, Unit 9D</v>
      </c>
      <c r="C4894" s="25" t="s">
        <v>364</v>
      </c>
      <c r="D4894" s="26" t="s">
        <v>23</v>
      </c>
      <c r="E4894" s="27" t="str">
        <f>HYPERLINK("https://www.compass.com/building/walker-tower-manhattan-ny/292801735825582245/","Walker Tower")</f>
        <v>Walker Tower</v>
      </c>
      <c r="F4894" s="25" t="s">
        <v>27</v>
      </c>
      <c r="G4894" s="28">
        <v>7950000.0</v>
      </c>
      <c r="H4894" s="28">
        <v>4595.0</v>
      </c>
      <c r="I4894" s="28">
        <v>4140.0</v>
      </c>
      <c r="J4894" s="28">
        <v>25368.0</v>
      </c>
      <c r="K4894" s="25" t="s">
        <v>28</v>
      </c>
      <c r="L4894" s="26">
        <v>4.0</v>
      </c>
      <c r="M4894" s="26">
        <v>2.0</v>
      </c>
      <c r="N4894" s="26">
        <v>0.0</v>
      </c>
      <c r="O4894" s="26">
        <v>0.0</v>
      </c>
      <c r="P4894" s="34">
        <v>1730.0</v>
      </c>
      <c r="Q4894" s="35">
        <v>1319.0</v>
      </c>
      <c r="R4894" s="32">
        <v>45636.0</v>
      </c>
      <c r="S4894" s="32">
        <v>41621.0</v>
      </c>
      <c r="T4894" s="29"/>
      <c r="U4894" s="33"/>
      <c r="V4894" s="1"/>
    </row>
    <row r="4895" ht="24.0" customHeight="1">
      <c r="A4895" s="1"/>
      <c r="B4895" s="24" t="str">
        <f>HYPERLINK("https://www.compass.com/listing/251-west-19th-street-unit-6d-manhattan-ny-10011/190546791744217649/view?agent_id=610d3f3370540700019b0833","251 West 19th Street, Unit 6D")</f>
        <v>251 West 19th Street, Unit 6D</v>
      </c>
      <c r="C4895" s="25" t="s">
        <v>364</v>
      </c>
      <c r="D4895" s="26" t="s">
        <v>23</v>
      </c>
      <c r="E4895" s="27" t="str">
        <f>HYPERLINK("https://www.compass.com/building/251-w-19th-st-manhattan-ny-10011/281907962857935845/","251 W 19th St")</f>
        <v>251 W 19th St</v>
      </c>
      <c r="F4895" s="25" t="s">
        <v>27</v>
      </c>
      <c r="G4895" s="28">
        <v>2195000.0</v>
      </c>
      <c r="H4895" s="28">
        <v>1235.0</v>
      </c>
      <c r="I4895" s="28">
        <v>2453.0</v>
      </c>
      <c r="J4895" s="28">
        <v>13464.0</v>
      </c>
      <c r="K4895" s="25" t="s">
        <v>28</v>
      </c>
      <c r="L4895" s="26">
        <v>4.0</v>
      </c>
      <c r="M4895" s="26">
        <v>2.0</v>
      </c>
      <c r="N4895" s="26">
        <v>0.0</v>
      </c>
      <c r="O4895" s="26">
        <v>0.0</v>
      </c>
      <c r="P4895" s="34">
        <v>1777.0</v>
      </c>
      <c r="Q4895" s="31"/>
      <c r="R4895" s="32">
        <v>44581.0</v>
      </c>
      <c r="S4895" s="33"/>
      <c r="T4895" s="29"/>
      <c r="U4895" s="33"/>
      <c r="V4895" s="1"/>
    </row>
    <row r="4896" ht="24.0" customHeight="1">
      <c r="A4896" s="1"/>
      <c r="B4896" s="24" t="str">
        <f>HYPERLINK("https://www.compass.com/listing/142-east-16th-street-unit-4bc-manhattan-ny-10003/4852324447731850705/view?agent_id=610d3f3370540700019b0833","142 East 16th Street, Unit 4BC")</f>
        <v>142 East 16th Street, Unit 4BC</v>
      </c>
      <c r="C4896" s="25" t="s">
        <v>364</v>
      </c>
      <c r="D4896" s="26" t="s">
        <v>23</v>
      </c>
      <c r="E4896" s="27" t="str">
        <f>HYPERLINK("https://www.compass.com/building/the-gramercy-spire-manhattan-ny/292781134100571525/","The Gramercy Spire")</f>
        <v>The Gramercy Spire</v>
      </c>
      <c r="F4896" s="25" t="s">
        <v>48</v>
      </c>
      <c r="G4896" s="28">
        <v>1650000.0</v>
      </c>
      <c r="H4896" s="28">
        <v>1204.0</v>
      </c>
      <c r="I4896" s="28">
        <v>2148.0</v>
      </c>
      <c r="J4896" s="29"/>
      <c r="K4896" s="25" t="s">
        <v>25</v>
      </c>
      <c r="L4896" s="26">
        <v>4.0</v>
      </c>
      <c r="M4896" s="26">
        <v>2.0</v>
      </c>
      <c r="N4896" s="26">
        <v>0.0</v>
      </c>
      <c r="O4896" s="26">
        <v>0.0</v>
      </c>
      <c r="P4896" s="34">
        <v>1370.0</v>
      </c>
      <c r="Q4896" s="35">
        <v>35.0</v>
      </c>
      <c r="R4896" s="32">
        <v>45636.0</v>
      </c>
      <c r="S4896" s="32">
        <v>41927.0</v>
      </c>
      <c r="T4896" s="29"/>
      <c r="U4896" s="33"/>
      <c r="V4896" s="1"/>
    </row>
    <row r="4897" ht="24.0" customHeight="1">
      <c r="A4897" s="1"/>
      <c r="B4897" s="24" t="str">
        <f>HYPERLINK("https://www.compass.com/listing/157-charles-street-unit-c-manhattan-ny-10014/4852271169962777025/view?agent_id=610d3f3370540700019b0833","157 Charles Street, Unit C")</f>
        <v>157 Charles Street, Unit C</v>
      </c>
      <c r="C4897" s="25" t="s">
        <v>370</v>
      </c>
      <c r="D4897" s="26" t="s">
        <v>23</v>
      </c>
      <c r="E4897" s="27" t="str">
        <f>HYPERLINK("https://www.compass.com/building/157-charles-st-manhattan-ny-10014/294842469296393429/","157 Charles St")</f>
        <v>157 Charles St</v>
      </c>
      <c r="F4897" s="25" t="s">
        <v>26</v>
      </c>
      <c r="G4897" s="28">
        <v>2950000.0</v>
      </c>
      <c r="H4897" s="29"/>
      <c r="I4897" s="28">
        <v>1905.0</v>
      </c>
      <c r="J4897" s="29"/>
      <c r="K4897" s="25" t="s">
        <v>248</v>
      </c>
      <c r="L4897" s="26">
        <v>0.0</v>
      </c>
      <c r="M4897" s="26">
        <v>2.0</v>
      </c>
      <c r="N4897" s="26">
        <v>0.0</v>
      </c>
      <c r="O4897" s="26">
        <v>0.0</v>
      </c>
      <c r="P4897" s="30"/>
      <c r="Q4897" s="35">
        <v>44.0</v>
      </c>
      <c r="R4897" s="32">
        <v>45636.0</v>
      </c>
      <c r="S4897" s="32">
        <v>41577.0</v>
      </c>
      <c r="T4897" s="29"/>
      <c r="U4897" s="33"/>
      <c r="V4897" s="1"/>
    </row>
    <row r="4898" ht="24.0" customHeight="1">
      <c r="A4898" s="1"/>
      <c r="B4898" s="24" t="str">
        <f>HYPERLINK("https://www.compass.com/listing/283-east-4th-street-unit-3c-manhattan-ny-10009/278797175046046321/view?agent_id=610d3f3370540700019b0833","283 East 4th Street, Unit 3C")</f>
        <v>283 East 4th Street, Unit 3C</v>
      </c>
      <c r="C4898" s="25" t="s">
        <v>364</v>
      </c>
      <c r="D4898" s="26" t="s">
        <v>23</v>
      </c>
      <c r="E4898" s="27" t="str">
        <f>HYPERLINK("https://www.compass.com/building/283-e-4th-st-manhattan-ny-10009/281899311376117829/","283 E 4th St")</f>
        <v>283 E 4th St</v>
      </c>
      <c r="F4898" s="25" t="s">
        <v>24</v>
      </c>
      <c r="G4898" s="28">
        <v>750000.0</v>
      </c>
      <c r="H4898" s="28">
        <v>1154.0</v>
      </c>
      <c r="I4898" s="28">
        <v>590.0</v>
      </c>
      <c r="J4898" s="29"/>
      <c r="K4898" s="25" t="s">
        <v>25</v>
      </c>
      <c r="L4898" s="26">
        <v>4.0</v>
      </c>
      <c r="M4898" s="26">
        <v>2.0</v>
      </c>
      <c r="N4898" s="30"/>
      <c r="O4898" s="30"/>
      <c r="P4898" s="26">
        <v>650.0</v>
      </c>
      <c r="Q4898" s="35">
        <v>157.0</v>
      </c>
      <c r="R4898" s="32">
        <v>41640.0</v>
      </c>
      <c r="S4898" s="32">
        <v>41808.0</v>
      </c>
      <c r="T4898" s="29"/>
      <c r="U4898" s="33"/>
      <c r="V4898" s="1"/>
    </row>
    <row r="4899" ht="24.0" customHeight="1">
      <c r="A4899" s="1"/>
      <c r="B4899" s="24" t="str">
        <f>HYPERLINK("https://www.compass.com/listing/230-park-place-unit-3g-brooklyn-ny-11238/844928094802342697/view?agent_id=610d3f3370540700019b0833","230 Park Place, Unit 3G")</f>
        <v>230 Park Place, Unit 3G</v>
      </c>
      <c r="C4899" s="25" t="s">
        <v>364</v>
      </c>
      <c r="D4899" s="26" t="s">
        <v>23</v>
      </c>
      <c r="E4899" s="27" t="str">
        <f>HYPERLINK("https://www.compass.com/building/230-park-pl-brooklyn-ny-11238/293424578309461125/","230 Park Pl")</f>
        <v>230 Park Pl</v>
      </c>
      <c r="F4899" s="25" t="s">
        <v>39</v>
      </c>
      <c r="G4899" s="28">
        <v>825000.0</v>
      </c>
      <c r="H4899" s="28">
        <v>917.0</v>
      </c>
      <c r="I4899" s="28">
        <v>1428.0</v>
      </c>
      <c r="J4899" s="29"/>
      <c r="K4899" s="25" t="s">
        <v>25</v>
      </c>
      <c r="L4899" s="26">
        <v>4.0</v>
      </c>
      <c r="M4899" s="26">
        <v>2.0</v>
      </c>
      <c r="N4899" s="26">
        <v>1.0</v>
      </c>
      <c r="O4899" s="26">
        <v>0.0</v>
      </c>
      <c r="P4899" s="26">
        <v>900.0</v>
      </c>
      <c r="Q4899" s="35">
        <v>12.0</v>
      </c>
      <c r="R4899" s="32">
        <v>45636.0</v>
      </c>
      <c r="S4899" s="32">
        <v>44272.0</v>
      </c>
      <c r="T4899" s="29"/>
      <c r="U4899" s="33"/>
      <c r="V4899" s="1"/>
    </row>
    <row r="4900" ht="24.0" customHeight="1">
      <c r="A4900" s="1"/>
      <c r="B4900" s="24" t="str">
        <f>HYPERLINK("https://www.compass.com/listing/450-west-17th-street-unit-1508-manhattan-ny-10011/29369915995706193/view?agent_id=610d3f3370540700019b0833","450 West 17th Street, Unit 1508")</f>
        <v>450 West 17th Street, Unit 1508</v>
      </c>
      <c r="C4900" s="25" t="s">
        <v>370</v>
      </c>
      <c r="D4900" s="26" t="s">
        <v>23</v>
      </c>
      <c r="E4900" s="27" t="str">
        <f>HYPERLINK("https://www.compass.com/building/the-caledonia-manhattan-ny/281910674349645621/","The Caledonia")</f>
        <v>The Caledonia</v>
      </c>
      <c r="F4900" s="25" t="s">
        <v>27</v>
      </c>
      <c r="G4900" s="28">
        <v>3000000.0</v>
      </c>
      <c r="H4900" s="28">
        <v>2370.0</v>
      </c>
      <c r="I4900" s="28">
        <v>2174.0</v>
      </c>
      <c r="J4900" s="28">
        <v>10068.0</v>
      </c>
      <c r="K4900" s="25" t="s">
        <v>28</v>
      </c>
      <c r="L4900" s="26">
        <v>5.0</v>
      </c>
      <c r="M4900" s="26">
        <v>2.0</v>
      </c>
      <c r="N4900" s="26">
        <v>0.0</v>
      </c>
      <c r="O4900" s="26">
        <v>0.0</v>
      </c>
      <c r="P4900" s="34">
        <v>1266.0</v>
      </c>
      <c r="Q4900" s="35">
        <v>433.0</v>
      </c>
      <c r="R4900" s="32">
        <v>45636.0</v>
      </c>
      <c r="S4900" s="32">
        <v>42772.0</v>
      </c>
      <c r="T4900" s="29"/>
      <c r="U4900" s="33"/>
      <c r="V4900" s="1"/>
    </row>
    <row r="4901" ht="24.0" customHeight="1">
      <c r="A4901" s="1"/>
      <c r="B4901" s="24" t="str">
        <f>HYPERLINK("https://www.compass.com/listing/69-west-9th-street-unit-12g-manhattan-ny-10011/1838922904889147273/view?agent_id=610d3f3370540700019b0833","69 West 9th Street, Unit 12G")</f>
        <v>69 West 9th Street, Unit 12G</v>
      </c>
      <c r="C4901" s="25" t="s">
        <v>370</v>
      </c>
      <c r="D4901" s="26" t="s">
        <v>23</v>
      </c>
      <c r="E4901" s="27" t="str">
        <f>HYPERLINK("https://www.compass.com/building/69-w-9th-st-manhattan-ny-10011/282061360903261253/","69 W 9th St")</f>
        <v>69 W 9th St</v>
      </c>
      <c r="F4901" s="25" t="s">
        <v>43</v>
      </c>
      <c r="G4901" s="28">
        <v>1198000.0</v>
      </c>
      <c r="H4901" s="29"/>
      <c r="I4901" s="28">
        <v>1804.0</v>
      </c>
      <c r="J4901" s="29"/>
      <c r="K4901" s="25" t="s">
        <v>25</v>
      </c>
      <c r="L4901" s="26">
        <v>4.0</v>
      </c>
      <c r="M4901" s="26">
        <v>2.0</v>
      </c>
      <c r="N4901" s="26">
        <v>1.0</v>
      </c>
      <c r="O4901" s="26">
        <v>0.0</v>
      </c>
      <c r="P4901" s="30"/>
      <c r="Q4901" s="35">
        <v>123.0</v>
      </c>
      <c r="R4901" s="32">
        <v>45636.0</v>
      </c>
      <c r="S4901" s="32">
        <v>43558.0</v>
      </c>
      <c r="T4901" s="29"/>
      <c r="U4901" s="33"/>
      <c r="V4901" s="1"/>
    </row>
    <row r="4902" ht="24.0" customHeight="1">
      <c r="A4902" s="1"/>
      <c r="B4902" s="24" t="str">
        <f>HYPERLINK("https://www.compass.com/listing/380-west-12th-street-unit-3d-manhattan-ny-10014/1831316570565455617/view?agent_id=610d3f3370540700019b0833","380 W 12th St, Unit 3D")</f>
        <v>380 W 12th St, Unit 3D</v>
      </c>
      <c r="C4902" s="25" t="s">
        <v>370</v>
      </c>
      <c r="D4902" s="26" t="s">
        <v>23</v>
      </c>
      <c r="E4902" s="27" t="str">
        <f t="shared" ref="E4902:E4903" si="219">HYPERLINK("https://www.compass.com/building/the-waywest-manhattan-ny/281933296462512117/","The Waywest")</f>
        <v>The Waywest</v>
      </c>
      <c r="F4902" s="25" t="s">
        <v>26</v>
      </c>
      <c r="G4902" s="28">
        <v>1199000.0</v>
      </c>
      <c r="H4902" s="28">
        <v>1090.0</v>
      </c>
      <c r="I4902" s="28">
        <v>1403.0</v>
      </c>
      <c r="J4902" s="28">
        <v>0.0</v>
      </c>
      <c r="K4902" s="25" t="s">
        <v>25</v>
      </c>
      <c r="L4902" s="26">
        <v>3.0</v>
      </c>
      <c r="M4902" s="26">
        <v>2.0</v>
      </c>
      <c r="N4902" s="30"/>
      <c r="O4902" s="30"/>
      <c r="P4902" s="34">
        <v>1100.0</v>
      </c>
      <c r="Q4902" s="31"/>
      <c r="R4902" s="32">
        <v>41538.0</v>
      </c>
      <c r="S4902" s="33"/>
      <c r="T4902" s="29"/>
      <c r="U4902" s="33"/>
      <c r="V4902" s="1"/>
    </row>
    <row r="4903" ht="24.0" customHeight="1">
      <c r="A4903" s="1"/>
      <c r="B4903" s="24" t="str">
        <f>HYPERLINK("https://www.compass.com/listing/380-west-12th-street-unit-3d-manhattan-ny-10014/70911060621786433/view?agent_id=610d3f3370540700019b0833","380 West 12th Street, Unit 3D")</f>
        <v>380 West 12th Street, Unit 3D</v>
      </c>
      <c r="C4903" s="25" t="s">
        <v>370</v>
      </c>
      <c r="D4903" s="26" t="s">
        <v>23</v>
      </c>
      <c r="E4903" s="27" t="str">
        <f t="shared" si="219"/>
        <v>The Waywest</v>
      </c>
      <c r="F4903" s="25" t="s">
        <v>26</v>
      </c>
      <c r="G4903" s="28">
        <v>1199000.0</v>
      </c>
      <c r="H4903" s="28">
        <v>1090.0</v>
      </c>
      <c r="I4903" s="28">
        <v>1403.0</v>
      </c>
      <c r="J4903" s="29"/>
      <c r="K4903" s="25" t="s">
        <v>25</v>
      </c>
      <c r="L4903" s="26">
        <v>3.0</v>
      </c>
      <c r="M4903" s="26">
        <v>2.0</v>
      </c>
      <c r="N4903" s="26">
        <v>0.0</v>
      </c>
      <c r="O4903" s="26">
        <v>0.0</v>
      </c>
      <c r="P4903" s="34">
        <v>1100.0</v>
      </c>
      <c r="Q4903" s="35">
        <v>0.0</v>
      </c>
      <c r="R4903" s="32">
        <v>44581.0</v>
      </c>
      <c r="S4903" s="32">
        <v>41513.0</v>
      </c>
      <c r="T4903" s="29"/>
      <c r="U4903" s="33"/>
      <c r="V4903" s="1"/>
    </row>
    <row r="4904" ht="24.0" customHeight="1">
      <c r="A4904" s="1"/>
      <c r="B4904" s="24" t="str">
        <f>HYPERLINK("https://www.compass.com/listing/234-skillman-avenue-unit-6l-brooklyn-ny-11211/890546101665263857/view?agent_id=610d3f3370540700019b0833","234 Skillman Avenue, Unit 6L")</f>
        <v>234 Skillman Avenue, Unit 6L</v>
      </c>
      <c r="C4904" s="25" t="s">
        <v>364</v>
      </c>
      <c r="D4904" s="26" t="s">
        <v>23</v>
      </c>
      <c r="E4904" s="27" t="str">
        <f>HYPERLINK("https://www.compass.com/building/234-skillman-ave-brooklyn-ny-11211/282391414904513685/","234 Skillman Ave")</f>
        <v>234 Skillman Ave</v>
      </c>
      <c r="F4904" s="25" t="s">
        <v>376</v>
      </c>
      <c r="G4904" s="28">
        <v>879000.0</v>
      </c>
      <c r="H4904" s="28">
        <v>1212.0</v>
      </c>
      <c r="I4904" s="28">
        <v>388.0</v>
      </c>
      <c r="J4904" s="28">
        <v>264.0</v>
      </c>
      <c r="K4904" s="25" t="s">
        <v>28</v>
      </c>
      <c r="L4904" s="26">
        <v>4.0</v>
      </c>
      <c r="M4904" s="26">
        <v>2.0</v>
      </c>
      <c r="N4904" s="26">
        <v>1.0</v>
      </c>
      <c r="O4904" s="26">
        <v>0.0</v>
      </c>
      <c r="P4904" s="26">
        <v>725.0</v>
      </c>
      <c r="Q4904" s="35">
        <v>98.0</v>
      </c>
      <c r="R4904" s="32">
        <v>44581.0</v>
      </c>
      <c r="S4904" s="32">
        <v>44480.0</v>
      </c>
      <c r="T4904" s="29"/>
      <c r="U4904" s="33"/>
      <c r="V4904" s="1"/>
    </row>
    <row r="4905" ht="24.0" customHeight="1">
      <c r="A4905" s="1"/>
      <c r="B4905" s="24" t="str">
        <f>HYPERLINK("https://www.compass.com/listing/320-west-76th-street-unit-1b-manhattan-ny-10023/711979665328481945/view?agent_id=610d3f3370540700019b0833","320 West 76th Street, Unit 1B")</f>
        <v>320 West 76th Street, Unit 1B</v>
      </c>
      <c r="C4905" s="25" t="s">
        <v>364</v>
      </c>
      <c r="D4905" s="26" t="s">
        <v>23</v>
      </c>
      <c r="E4905" s="27" t="str">
        <f>HYPERLINK("https://www.compass.com/building/320-w-76th-st-manhattan-ny-10023/281959867210604629/","320 W 76th St")</f>
        <v>320 W 76th St</v>
      </c>
      <c r="F4905" s="25" t="s">
        <v>29</v>
      </c>
      <c r="G4905" s="28">
        <v>998000.0</v>
      </c>
      <c r="H4905" s="29"/>
      <c r="I4905" s="28">
        <v>2090.0</v>
      </c>
      <c r="J4905" s="29"/>
      <c r="K4905" s="25" t="s">
        <v>25</v>
      </c>
      <c r="L4905" s="26">
        <v>4.0</v>
      </c>
      <c r="M4905" s="26">
        <v>2.0</v>
      </c>
      <c r="N4905" s="26">
        <v>1.0</v>
      </c>
      <c r="O4905" s="26">
        <v>0.0</v>
      </c>
      <c r="P4905" s="30"/>
      <c r="Q4905" s="35">
        <v>128.0</v>
      </c>
      <c r="R4905" s="32">
        <v>45636.0</v>
      </c>
      <c r="S4905" s="32">
        <v>44067.0</v>
      </c>
      <c r="T4905" s="29"/>
      <c r="U4905" s="33"/>
      <c r="V4905" s="1"/>
    </row>
    <row r="4906" ht="24.0" customHeight="1">
      <c r="A4906" s="1"/>
      <c r="B4906" s="24" t="str">
        <f>HYPERLINK("https://www.compass.com/listing/505-west-19th-street-unit-2a-manhattan-ny-10011/781345366479349345/view?agent_id=610d3f3370540700019b0833","505 West 19th Street, Unit 2A")</f>
        <v>505 West 19th Street, Unit 2A</v>
      </c>
      <c r="C4906" s="25" t="s">
        <v>364</v>
      </c>
      <c r="D4906" s="26" t="s">
        <v>23</v>
      </c>
      <c r="E4906" s="27" t="str">
        <f>HYPERLINK("https://www.compass.com/building/505-west-19th-manhattan-ny/281911346335867813/","505 West 19th")</f>
        <v>505 West 19th</v>
      </c>
      <c r="F4906" s="25" t="s">
        <v>27</v>
      </c>
      <c r="G4906" s="28">
        <v>5475000.0</v>
      </c>
      <c r="H4906" s="28">
        <v>2586.0</v>
      </c>
      <c r="I4906" s="28">
        <v>7572.0</v>
      </c>
      <c r="J4906" s="28">
        <v>41772.0</v>
      </c>
      <c r="K4906" s="25" t="s">
        <v>28</v>
      </c>
      <c r="L4906" s="26">
        <v>5.0</v>
      </c>
      <c r="M4906" s="26">
        <v>2.0</v>
      </c>
      <c r="N4906" s="26">
        <v>0.0</v>
      </c>
      <c r="O4906" s="26">
        <v>0.0</v>
      </c>
      <c r="P4906" s="34">
        <v>2117.0</v>
      </c>
      <c r="Q4906" s="35">
        <v>80.0</v>
      </c>
      <c r="R4906" s="32">
        <v>44581.0</v>
      </c>
      <c r="S4906" s="32">
        <v>42646.0</v>
      </c>
      <c r="T4906" s="29"/>
      <c r="U4906" s="33"/>
      <c r="V4906" s="1"/>
    </row>
    <row r="4907" ht="24.0" customHeight="1">
      <c r="A4907" s="1"/>
      <c r="B4907" s="24" t="str">
        <f>HYPERLINK("https://www.compass.com/listing/248-east-3rd-street-unit-6c-manhattan-ny-10009/4852282145776861665/view?agent_id=610d3f3370540700019b0833","248 East 3rd Street, Unit 6C")</f>
        <v>248 East 3rd Street, Unit 6C</v>
      </c>
      <c r="C4907" s="25" t="s">
        <v>364</v>
      </c>
      <c r="D4907" s="26" t="s">
        <v>23</v>
      </c>
      <c r="E4907" s="27" t="str">
        <f>HYPERLINK("https://www.compass.com/building/248-e-3rd-st-manhattan-ny-10009/281899021138671365/","248 E 3rd St")</f>
        <v>248 E 3rd St</v>
      </c>
      <c r="F4907" s="25" t="s">
        <v>24</v>
      </c>
      <c r="G4907" s="28">
        <v>415000.0</v>
      </c>
      <c r="H4907" s="28">
        <v>711.0</v>
      </c>
      <c r="I4907" s="28">
        <v>720.0</v>
      </c>
      <c r="J4907" s="29"/>
      <c r="K4907" s="25" t="s">
        <v>25</v>
      </c>
      <c r="L4907" s="26">
        <v>4.0</v>
      </c>
      <c r="M4907" s="26">
        <v>2.0</v>
      </c>
      <c r="N4907" s="26">
        <v>1.0</v>
      </c>
      <c r="O4907" s="26">
        <v>0.0</v>
      </c>
      <c r="P4907" s="26">
        <v>584.0</v>
      </c>
      <c r="Q4907" s="35">
        <v>53.0</v>
      </c>
      <c r="R4907" s="32">
        <v>45636.0</v>
      </c>
      <c r="S4907" s="32">
        <v>42842.0</v>
      </c>
      <c r="T4907" s="29"/>
      <c r="U4907" s="33"/>
      <c r="V4907" s="1"/>
    </row>
    <row r="4908" ht="24.0" customHeight="1">
      <c r="A4908" s="1"/>
      <c r="B4908" s="24" t="str">
        <f>HYPERLINK("https://www.compass.com/listing/340-west-19th-street-unit-4-manhattan-ny-10011/1363727703507365817/view?agent_id=610d3f3370540700019b0833","340 West 19th Street, Unit 4")</f>
        <v>340 West 19th Street, Unit 4</v>
      </c>
      <c r="C4908" s="25" t="s">
        <v>364</v>
      </c>
      <c r="D4908" s="26" t="s">
        <v>23</v>
      </c>
      <c r="E4908" s="27" t="str">
        <f>HYPERLINK("https://www.compass.com/building/340-w-19th-st-manhattan-ny-10011/281909205378554757/","340 W 19th St")</f>
        <v>340 W 19th St</v>
      </c>
      <c r="F4908" s="25" t="s">
        <v>27</v>
      </c>
      <c r="G4908" s="28">
        <v>795000.0</v>
      </c>
      <c r="H4908" s="29"/>
      <c r="I4908" s="28">
        <v>1037.0</v>
      </c>
      <c r="J4908" s="29"/>
      <c r="K4908" s="25" t="s">
        <v>25</v>
      </c>
      <c r="L4908" s="26">
        <v>4.0</v>
      </c>
      <c r="M4908" s="26">
        <v>2.0</v>
      </c>
      <c r="N4908" s="26">
        <v>1.0</v>
      </c>
      <c r="O4908" s="26">
        <v>0.0</v>
      </c>
      <c r="P4908" s="30"/>
      <c r="Q4908" s="35">
        <v>15.0</v>
      </c>
      <c r="R4908" s="32">
        <v>45636.0</v>
      </c>
      <c r="S4908" s="32">
        <v>45133.0</v>
      </c>
      <c r="T4908" s="29"/>
      <c r="U4908" s="33"/>
      <c r="V4908" s="1"/>
    </row>
    <row r="4909" ht="24.0" customHeight="1">
      <c r="A4909" s="1"/>
      <c r="B4909" s="24" t="str">
        <f>HYPERLINK("https://www.compass.com/listing/217-west-19th-street-unit-ph-manhattan-ny-10011/4852272630671090385/view?agent_id=610d3f3370540700019b0833","217 West 19th Street, Unit PH")</f>
        <v>217 West 19th Street, Unit PH</v>
      </c>
      <c r="C4909" s="25" t="s">
        <v>364</v>
      </c>
      <c r="D4909" s="26" t="s">
        <v>23</v>
      </c>
      <c r="E4909" s="27" t="str">
        <f>HYPERLINK("https://www.compass.com/building/217-w-19th-st-manhattan-ny-10011/281906914114162965/","217 W 19th St")</f>
        <v>217 W 19th St</v>
      </c>
      <c r="F4909" s="25" t="s">
        <v>27</v>
      </c>
      <c r="G4909" s="28">
        <v>5995000.0</v>
      </c>
      <c r="H4909" s="28">
        <v>2498.0</v>
      </c>
      <c r="I4909" s="28">
        <v>5788.0</v>
      </c>
      <c r="J4909" s="28">
        <v>47352.0</v>
      </c>
      <c r="K4909" s="25" t="s">
        <v>28</v>
      </c>
      <c r="L4909" s="26">
        <v>5.0</v>
      </c>
      <c r="M4909" s="26">
        <v>2.0</v>
      </c>
      <c r="N4909" s="26">
        <v>0.0</v>
      </c>
      <c r="O4909" s="26">
        <v>0.0</v>
      </c>
      <c r="P4909" s="34">
        <v>2400.0</v>
      </c>
      <c r="Q4909" s="35">
        <v>99.0</v>
      </c>
      <c r="R4909" s="32">
        <v>45636.0</v>
      </c>
      <c r="S4909" s="32">
        <v>42403.0</v>
      </c>
      <c r="T4909" s="29"/>
      <c r="U4909" s="33"/>
      <c r="V4909" s="1"/>
    </row>
    <row r="4910" ht="24.0" customHeight="1">
      <c r="A4910" s="1"/>
      <c r="B4910" s="24" t="str">
        <f>HYPERLINK("https://www.compass.com/listing/259-west-21st-street-unit-4-manhattan-ny-10011/1249489367513644041/view?agent_id=610d3f3370540700019b0833","259 West 21st Street, Unit 4")</f>
        <v>259 West 21st Street, Unit 4</v>
      </c>
      <c r="C4910" s="25" t="s">
        <v>364</v>
      </c>
      <c r="D4910" s="26" t="s">
        <v>23</v>
      </c>
      <c r="E4910" s="27" t="str">
        <f>HYPERLINK("https://www.compass.com/building/259-w-21st-st-manhattan-ny-10011/281908099785186597/","259 W 21st St")</f>
        <v>259 W 21st St</v>
      </c>
      <c r="F4910" s="25" t="s">
        <v>27</v>
      </c>
      <c r="G4910" s="28">
        <v>1299000.0</v>
      </c>
      <c r="H4910" s="29"/>
      <c r="I4910" s="28">
        <v>1568.0</v>
      </c>
      <c r="J4910" s="28">
        <v>0.0</v>
      </c>
      <c r="K4910" s="25" t="s">
        <v>25</v>
      </c>
      <c r="L4910" s="26">
        <v>4.0</v>
      </c>
      <c r="M4910" s="26">
        <v>2.0</v>
      </c>
      <c r="N4910" s="26">
        <v>1.0</v>
      </c>
      <c r="O4910" s="30"/>
      <c r="P4910" s="30"/>
      <c r="Q4910" s="35">
        <v>68.0</v>
      </c>
      <c r="R4910" s="32">
        <v>43859.0</v>
      </c>
      <c r="S4910" s="32">
        <v>43790.0</v>
      </c>
      <c r="T4910" s="29"/>
      <c r="U4910" s="33"/>
      <c r="V4910" s="1"/>
    </row>
    <row r="4911" ht="24.0" customHeight="1">
      <c r="A4911" s="1"/>
      <c r="B4911" s="24" t="str">
        <f>HYPERLINK("https://www.compass.com/listing/101-warren-street-unit-750-manhattan-ny-10007/785343399145153201/view?agent_id=610d3f3370540700019b0833","101 Warren Street, Unit 750")</f>
        <v>101 Warren Street, Unit 750</v>
      </c>
      <c r="C4911" s="25" t="s">
        <v>364</v>
      </c>
      <c r="D4911" s="26" t="s">
        <v>23</v>
      </c>
      <c r="E4911" s="27" t="str">
        <f>HYPERLINK("https://www.compass.com/building/99-101-warren-manhattan-ny/307460833541810581/","99-101 Warren")</f>
        <v>99-101 Warren</v>
      </c>
      <c r="F4911" s="25" t="s">
        <v>60</v>
      </c>
      <c r="G4911" s="28">
        <v>1647000.0</v>
      </c>
      <c r="H4911" s="28">
        <v>1337.0</v>
      </c>
      <c r="I4911" s="28">
        <v>1378.0</v>
      </c>
      <c r="J4911" s="28">
        <v>3468.0</v>
      </c>
      <c r="K4911" s="25" t="s">
        <v>209</v>
      </c>
      <c r="L4911" s="26">
        <v>5.0</v>
      </c>
      <c r="M4911" s="26">
        <v>2.0</v>
      </c>
      <c r="N4911" s="26">
        <v>0.0</v>
      </c>
      <c r="O4911" s="26">
        <v>0.0</v>
      </c>
      <c r="P4911" s="34">
        <v>1232.0</v>
      </c>
      <c r="Q4911" s="35">
        <v>1764.0</v>
      </c>
      <c r="R4911" s="32">
        <v>44581.0</v>
      </c>
      <c r="S4911" s="32">
        <v>41172.0</v>
      </c>
      <c r="T4911" s="29"/>
      <c r="U4911" s="33"/>
      <c r="V4911" s="1"/>
    </row>
    <row r="4912" ht="24.0" customHeight="1">
      <c r="A4912" s="1"/>
      <c r="B4912" s="24" t="str">
        <f>HYPERLINK("https://www.compass.com/listing/610-east-5th-street-unit-13-manhattan-ny-10009/50870722255401825/view?agent_id=610d3f3370540700019b0833","610 East 5th Street, Unit 13")</f>
        <v>610 East 5th Street, Unit 13</v>
      </c>
      <c r="C4912" s="25" t="s">
        <v>364</v>
      </c>
      <c r="D4912" s="26" t="s">
        <v>23</v>
      </c>
      <c r="E4912" s="27" t="str">
        <f>HYPERLINK("https://www.compass.com/building/610-e-5th-st-manhattan-ny-10009/281901108400503621/","610 E 5th St")</f>
        <v>610 E 5th St</v>
      </c>
      <c r="F4912" s="25" t="s">
        <v>24</v>
      </c>
      <c r="G4912" s="28">
        <v>525000.0</v>
      </c>
      <c r="H4912" s="28">
        <v>808.0</v>
      </c>
      <c r="I4912" s="28">
        <v>590.0</v>
      </c>
      <c r="J4912" s="29"/>
      <c r="K4912" s="25" t="s">
        <v>25</v>
      </c>
      <c r="L4912" s="26">
        <v>5.0</v>
      </c>
      <c r="M4912" s="26">
        <v>2.0</v>
      </c>
      <c r="N4912" s="30"/>
      <c r="O4912" s="30"/>
      <c r="P4912" s="26">
        <v>650.0</v>
      </c>
      <c r="Q4912" s="35">
        <v>365.0</v>
      </c>
      <c r="R4912" s="32">
        <v>42989.0</v>
      </c>
      <c r="S4912" s="32">
        <v>42623.0</v>
      </c>
      <c r="T4912" s="29"/>
      <c r="U4912" s="33"/>
      <c r="V4912" s="1"/>
    </row>
    <row r="4913" ht="24.0" customHeight="1">
      <c r="A4913" s="1"/>
      <c r="B4913" s="24" t="str">
        <f>HYPERLINK("https://www.compass.com/listing/225-west-17th-street-unit-5a-manhattan-ny-10011/437125156994361657/view?agent_id=610d3f3370540700019b0833","225 West 17th Street, Unit 5A")</f>
        <v>225 West 17th Street, Unit 5A</v>
      </c>
      <c r="C4913" s="25" t="s">
        <v>364</v>
      </c>
      <c r="D4913" s="26" t="s">
        <v>23</v>
      </c>
      <c r="E4913" s="27" t="str">
        <f>HYPERLINK("https://www.compass.com/building/225-west-17th-street-manhattan-ny/292802090781141541/","225 West 17th Street")</f>
        <v>225 West 17th Street</v>
      </c>
      <c r="F4913" s="25" t="s">
        <v>27</v>
      </c>
      <c r="G4913" s="28">
        <v>4500000.0</v>
      </c>
      <c r="H4913" s="28">
        <v>2304.0</v>
      </c>
      <c r="I4913" s="28">
        <v>3497.0</v>
      </c>
      <c r="J4913" s="28">
        <v>27132.0</v>
      </c>
      <c r="K4913" s="25" t="s">
        <v>28</v>
      </c>
      <c r="L4913" s="26">
        <v>4.0</v>
      </c>
      <c r="M4913" s="26">
        <v>2.0</v>
      </c>
      <c r="N4913" s="26">
        <v>0.0</v>
      </c>
      <c r="O4913" s="26">
        <v>0.0</v>
      </c>
      <c r="P4913" s="34">
        <v>1953.0</v>
      </c>
      <c r="Q4913" s="35">
        <v>28.0</v>
      </c>
      <c r="R4913" s="32">
        <v>44581.0</v>
      </c>
      <c r="S4913" s="32">
        <v>42268.0</v>
      </c>
      <c r="T4913" s="29"/>
      <c r="U4913" s="33"/>
      <c r="V4913" s="1"/>
    </row>
    <row r="4914" ht="24.0" customHeight="1">
      <c r="A4914" s="1"/>
      <c r="B4914" s="24" t="str">
        <f>HYPERLINK("https://www.compass.com/listing/258-broadway-unit-4d-manhattan-ny-10007/1838984264193362129/view?agent_id=610d3f3370540700019b0833","258 Broadway, Unit 4D")</f>
        <v>258 Broadway, Unit 4D</v>
      </c>
      <c r="C4914" s="25" t="s">
        <v>364</v>
      </c>
      <c r="D4914" s="26" t="s">
        <v>23</v>
      </c>
      <c r="E4914" s="27" t="str">
        <f>HYPERLINK("https://www.compass.com/building/city-hall-tower-manhattan-ny/282058464979614261/","City Hall Tower")</f>
        <v>City Hall Tower</v>
      </c>
      <c r="F4914" s="25" t="s">
        <v>60</v>
      </c>
      <c r="G4914" s="28">
        <v>1695000.0</v>
      </c>
      <c r="H4914" s="29"/>
      <c r="I4914" s="28">
        <v>2017.0</v>
      </c>
      <c r="J4914" s="29"/>
      <c r="K4914" s="25" t="s">
        <v>25</v>
      </c>
      <c r="L4914" s="26">
        <v>4.0</v>
      </c>
      <c r="M4914" s="26">
        <v>2.0</v>
      </c>
      <c r="N4914" s="26">
        <v>1.0</v>
      </c>
      <c r="O4914" s="26">
        <v>0.0</v>
      </c>
      <c r="P4914" s="30"/>
      <c r="Q4914" s="35">
        <v>501.0</v>
      </c>
      <c r="R4914" s="32">
        <v>45636.0</v>
      </c>
      <c r="S4914" s="32">
        <v>43299.0</v>
      </c>
      <c r="T4914" s="29"/>
      <c r="U4914" s="33"/>
      <c r="V4914" s="1"/>
    </row>
    <row r="4915" ht="24.0" customHeight="1">
      <c r="A4915" s="1"/>
      <c r="B4915" s="24" t="str">
        <f>HYPERLINK("https://www.compass.com/listing/317-west-95th-street-unit-hg-manhattan-ny-10025/1769791697865665289/view?agent_id=610d3f3370540700019b0833","317 West 95th Street, Unit HG")</f>
        <v>317 West 95th Street, Unit HG</v>
      </c>
      <c r="C4915" s="25" t="s">
        <v>364</v>
      </c>
      <c r="D4915" s="26" t="s">
        <v>23</v>
      </c>
      <c r="E4915" s="27" t="str">
        <f>HYPERLINK("https://www.compass.com/building/the-hudson-court-manhattan-ny/281971170314640389/","The Hudson Court")</f>
        <v>The Hudson Court</v>
      </c>
      <c r="F4915" s="25" t="s">
        <v>29</v>
      </c>
      <c r="G4915" s="28">
        <v>1295000.0</v>
      </c>
      <c r="H4915" s="28">
        <v>1308.0</v>
      </c>
      <c r="I4915" s="28">
        <v>1930.0</v>
      </c>
      <c r="J4915" s="28">
        <v>8676.0</v>
      </c>
      <c r="K4915" s="25" t="s">
        <v>28</v>
      </c>
      <c r="L4915" s="26">
        <v>5.0</v>
      </c>
      <c r="M4915" s="26">
        <v>2.0</v>
      </c>
      <c r="N4915" s="26">
        <v>1.0</v>
      </c>
      <c r="O4915" s="26">
        <v>0.0</v>
      </c>
      <c r="P4915" s="26">
        <v>990.0</v>
      </c>
      <c r="Q4915" s="35">
        <v>70.0</v>
      </c>
      <c r="R4915" s="32">
        <v>45764.0</v>
      </c>
      <c r="S4915" s="32">
        <v>45693.0</v>
      </c>
      <c r="T4915" s="29"/>
      <c r="U4915" s="33"/>
      <c r="V4915" s="1"/>
    </row>
    <row r="4916" ht="24.0" customHeight="1">
      <c r="A4916" s="1"/>
      <c r="B4916" s="24" t="str">
        <f>HYPERLINK("https://www.compass.com/listing/418-central-park-west-unit-22-manhattan-ny-10025/1838874720188375609/view?agent_id=610d3f3370540700019b0833","418 Central Park West, Unit 22")</f>
        <v>418 Central Park West, Unit 22</v>
      </c>
      <c r="C4916" s="25" t="s">
        <v>364</v>
      </c>
      <c r="D4916" s="26" t="s">
        <v>23</v>
      </c>
      <c r="E4916" s="27" t="str">
        <f>HYPERLINK("https://www.compass.com/building/418-central-park-w-manhattan-ny-10025/281925923337444885/","418 Central Park W")</f>
        <v>418 Central Park W</v>
      </c>
      <c r="F4916" s="25" t="s">
        <v>29</v>
      </c>
      <c r="G4916" s="28">
        <v>1145000.0</v>
      </c>
      <c r="H4916" s="28">
        <v>1366.0</v>
      </c>
      <c r="I4916" s="28">
        <v>1671.0</v>
      </c>
      <c r="J4916" s="28">
        <v>9204.0</v>
      </c>
      <c r="K4916" s="25" t="s">
        <v>28</v>
      </c>
      <c r="L4916" s="26">
        <v>4.0</v>
      </c>
      <c r="M4916" s="26">
        <v>2.0</v>
      </c>
      <c r="N4916" s="26">
        <v>1.0</v>
      </c>
      <c r="O4916" s="26">
        <v>0.0</v>
      </c>
      <c r="P4916" s="26">
        <v>838.0</v>
      </c>
      <c r="Q4916" s="35">
        <v>12.0</v>
      </c>
      <c r="R4916" s="32">
        <v>45636.0</v>
      </c>
      <c r="S4916" s="32">
        <v>44232.0</v>
      </c>
      <c r="T4916" s="29"/>
      <c r="U4916" s="33"/>
      <c r="V4916" s="1"/>
    </row>
    <row r="4917" ht="24.0" customHeight="1">
      <c r="A4917" s="1"/>
      <c r="B4917" s="24" t="str">
        <f>HYPERLINK("https://www.compass.com/listing/418-central-park-west-unit-22-manhattan-ny-10025/922860847960735401/view?agent_id=610d3f3370540700019b0833","418 Central Park West, Unit 22")</f>
        <v>418 Central Park West, Unit 22</v>
      </c>
      <c r="C4917" s="25" t="s">
        <v>364</v>
      </c>
      <c r="D4917" s="26" t="s">
        <v>23</v>
      </c>
      <c r="E4917" s="27" t="str">
        <f>HYPERLINK("https://www.compass.com/building/418-central-park-west-manhattan-ny-10025/281925923337444885/","418 Central Park West")</f>
        <v>418 Central Park West</v>
      </c>
      <c r="F4917" s="25" t="s">
        <v>29</v>
      </c>
      <c r="G4917" s="28">
        <v>1145000.0</v>
      </c>
      <c r="H4917" s="28">
        <v>1366.0</v>
      </c>
      <c r="I4917" s="28">
        <v>1671.0</v>
      </c>
      <c r="J4917" s="28">
        <v>9204.0</v>
      </c>
      <c r="K4917" s="25" t="s">
        <v>28</v>
      </c>
      <c r="L4917" s="26">
        <v>4.0</v>
      </c>
      <c r="M4917" s="26">
        <v>2.0</v>
      </c>
      <c r="N4917" s="26">
        <v>1.0</v>
      </c>
      <c r="O4917" s="26">
        <v>0.0</v>
      </c>
      <c r="P4917" s="26">
        <v>838.0</v>
      </c>
      <c r="Q4917" s="35">
        <v>300.0</v>
      </c>
      <c r="R4917" s="32">
        <v>44581.0</v>
      </c>
      <c r="S4917" s="32">
        <v>44034.0</v>
      </c>
      <c r="T4917" s="29"/>
      <c r="U4917" s="33"/>
      <c r="V4917" s="1"/>
    </row>
    <row r="4918" ht="24.0" customHeight="1">
      <c r="A4918" s="1"/>
      <c r="B4918" s="24" t="str">
        <f>HYPERLINK("https://www.compass.com/listing/222-east-17th-street-unit-1-manhattan-ny-10003/921040643270261913/view?agent_id=610d3f3370540700019b0833","222 East 17th Street, Unit 1")</f>
        <v>222 East 17th Street, Unit 1</v>
      </c>
      <c r="C4918" s="25" t="s">
        <v>364</v>
      </c>
      <c r="D4918" s="26" t="s">
        <v>23</v>
      </c>
      <c r="E4918" s="27" t="str">
        <f>HYPERLINK("https://www.compass.com/building/222-e-17th-st-manhattan-ny-10003/281891062111276661/","222 E 17th St")</f>
        <v>222 E 17th St</v>
      </c>
      <c r="F4918" s="25" t="s">
        <v>48</v>
      </c>
      <c r="G4918" s="28">
        <v>1799000.0</v>
      </c>
      <c r="H4918" s="28">
        <v>999.0</v>
      </c>
      <c r="I4918" s="28">
        <v>2830.0</v>
      </c>
      <c r="J4918" s="29"/>
      <c r="K4918" s="25" t="s">
        <v>25</v>
      </c>
      <c r="L4918" s="26">
        <v>6.0</v>
      </c>
      <c r="M4918" s="26">
        <v>2.0</v>
      </c>
      <c r="N4918" s="26">
        <v>0.0</v>
      </c>
      <c r="O4918" s="26">
        <v>0.0</v>
      </c>
      <c r="P4918" s="34">
        <v>1800.0</v>
      </c>
      <c r="Q4918" s="35">
        <v>229.0</v>
      </c>
      <c r="R4918" s="32">
        <v>44581.0</v>
      </c>
      <c r="S4918" s="32">
        <v>42557.0</v>
      </c>
      <c r="T4918" s="29"/>
      <c r="U4918" s="33"/>
      <c r="V4918" s="1"/>
    </row>
    <row r="4919" ht="24.0" customHeight="1">
      <c r="A4919" s="1"/>
      <c r="B4919" s="24" t="str">
        <f>HYPERLINK("https://www.compass.com/listing/372-central-park-west-unit-4d-manhattan-ny-10025/1809603814701757841/view?agent_id=610d3f3370540700019b0833","372 Central Park West, Unit 4D")</f>
        <v>372 Central Park West, Unit 4D</v>
      </c>
      <c r="C4919" s="25" t="s">
        <v>364</v>
      </c>
      <c r="D4919" s="26" t="s">
        <v>23</v>
      </c>
      <c r="E4919" s="27" t="str">
        <f>HYPERLINK("https://www.compass.com/building/the-vaux-manhattan-ny/281971584409886197/","THE VAUX")</f>
        <v>THE VAUX</v>
      </c>
      <c r="F4919" s="25" t="s">
        <v>29</v>
      </c>
      <c r="G4919" s="28">
        <v>1375000.0</v>
      </c>
      <c r="H4919" s="28">
        <v>1206.0</v>
      </c>
      <c r="I4919" s="28">
        <v>1030.0</v>
      </c>
      <c r="J4919" s="28">
        <v>4020.0</v>
      </c>
      <c r="K4919" s="25" t="s">
        <v>28</v>
      </c>
      <c r="L4919" s="26">
        <v>4.0</v>
      </c>
      <c r="M4919" s="26">
        <v>2.0</v>
      </c>
      <c r="N4919" s="26">
        <v>0.0</v>
      </c>
      <c r="O4919" s="26">
        <v>0.0</v>
      </c>
      <c r="P4919" s="34">
        <v>1140.0</v>
      </c>
      <c r="Q4919" s="35">
        <v>1633.0</v>
      </c>
      <c r="R4919" s="32">
        <v>44581.0</v>
      </c>
      <c r="S4919" s="32">
        <v>41303.0</v>
      </c>
      <c r="T4919" s="29"/>
      <c r="U4919" s="33"/>
      <c r="V4919" s="1"/>
    </row>
    <row r="4920" ht="24.0" customHeight="1">
      <c r="A4920" s="1"/>
      <c r="B4920" s="24" t="str">
        <f>HYPERLINK("https://www.compass.com/listing/745-east-6th-street-unit-3b-manhattan-ny-10009/4703679679603700401/view?agent_id=610d3f3370540700019b0833","745 E 6th St, Unit 3B")</f>
        <v>745 E 6th St, Unit 3B</v>
      </c>
      <c r="C4920" s="25" t="s">
        <v>364</v>
      </c>
      <c r="D4920" s="26" t="s">
        <v>23</v>
      </c>
      <c r="E4920" s="27" t="str">
        <f>HYPERLINK("https://www.compass.com/building/745-e-6th-st-manhattan-ny-10009/281901461779004133/","745 E 6th St")</f>
        <v>745 E 6th St</v>
      </c>
      <c r="F4920" s="25" t="s">
        <v>24</v>
      </c>
      <c r="G4920" s="28">
        <v>425000.0</v>
      </c>
      <c r="H4920" s="29"/>
      <c r="I4920" s="28">
        <v>670.0</v>
      </c>
      <c r="J4920" s="29"/>
      <c r="K4920" s="25" t="s">
        <v>25</v>
      </c>
      <c r="L4920" s="26">
        <v>4.0</v>
      </c>
      <c r="M4920" s="26">
        <v>2.0</v>
      </c>
      <c r="N4920" s="30"/>
      <c r="O4920" s="30"/>
      <c r="P4920" s="30"/>
      <c r="Q4920" s="35">
        <v>38.0</v>
      </c>
      <c r="R4920" s="32">
        <v>42477.0</v>
      </c>
      <c r="S4920" s="32">
        <v>41352.0</v>
      </c>
      <c r="T4920" s="29"/>
      <c r="U4920" s="33"/>
      <c r="V4920" s="1"/>
    </row>
    <row r="4921" ht="24.0" customHeight="1">
      <c r="A4921" s="1"/>
      <c r="B4921" s="24" t="str">
        <f>HYPERLINK("https://www.compass.com/listing/444-west-19th-street-unit-304-manhattan-ny-10011/29370001400130273/view?agent_id=610d3f3370540700019b0833","444 West 19th Street, Unit 304")</f>
        <v>444 West 19th Street, Unit 304</v>
      </c>
      <c r="C4921" s="25" t="s">
        <v>370</v>
      </c>
      <c r="D4921" s="26" t="s">
        <v>23</v>
      </c>
      <c r="E4921" s="27" t="str">
        <f>HYPERLINK("https://www.compass.com/building/the-chelsea-club-manhattan-ny/281910522457120389/","The Chelsea Club")</f>
        <v>The Chelsea Club</v>
      </c>
      <c r="F4921" s="25" t="s">
        <v>27</v>
      </c>
      <c r="G4921" s="28">
        <v>1895000.0</v>
      </c>
      <c r="H4921" s="28">
        <v>1364.0</v>
      </c>
      <c r="I4921" s="28">
        <v>1997.0</v>
      </c>
      <c r="J4921" s="28">
        <v>5196.0</v>
      </c>
      <c r="K4921" s="25" t="s">
        <v>28</v>
      </c>
      <c r="L4921" s="26">
        <v>5.0</v>
      </c>
      <c r="M4921" s="26">
        <v>2.0</v>
      </c>
      <c r="N4921" s="26">
        <v>0.0</v>
      </c>
      <c r="O4921" s="26">
        <v>0.0</v>
      </c>
      <c r="P4921" s="34">
        <v>1389.0</v>
      </c>
      <c r="Q4921" s="35">
        <v>0.0</v>
      </c>
      <c r="R4921" s="32">
        <v>44581.0</v>
      </c>
      <c r="S4921" s="32">
        <v>41538.0</v>
      </c>
      <c r="T4921" s="29"/>
      <c r="U4921" s="33"/>
      <c r="V4921" s="1"/>
    </row>
    <row r="4922" ht="24.0" customHeight="1">
      <c r="A4922" s="1"/>
      <c r="B4922" s="24" t="str">
        <f>HYPERLINK("https://www.compass.com/listing/203-bergen-street-unit-1-brooklyn-ny-11217/921327129827761769/view?agent_id=610d3f3370540700019b0833","203 Bergen Street, Unit 1")</f>
        <v>203 Bergen Street, Unit 1</v>
      </c>
      <c r="C4922" s="25" t="s">
        <v>370</v>
      </c>
      <c r="D4922" s="26" t="s">
        <v>23</v>
      </c>
      <c r="E4922" s="27" t="str">
        <f>HYPERLINK("https://www.compass.com/building/203-bergen-st-brooklyn-ny-11217/282509809905915093/","203 Bergen St")</f>
        <v>203 Bergen St</v>
      </c>
      <c r="F4922" s="25" t="s">
        <v>102</v>
      </c>
      <c r="G4922" s="28">
        <v>1599000.0</v>
      </c>
      <c r="H4922" s="28">
        <v>906.0</v>
      </c>
      <c r="I4922" s="28">
        <v>1133.0</v>
      </c>
      <c r="J4922" s="28">
        <v>6240.0</v>
      </c>
      <c r="K4922" s="25" t="s">
        <v>446</v>
      </c>
      <c r="L4922" s="26">
        <v>6.0</v>
      </c>
      <c r="M4922" s="26">
        <v>2.0</v>
      </c>
      <c r="N4922" s="26">
        <v>0.0</v>
      </c>
      <c r="O4922" s="26">
        <v>0.0</v>
      </c>
      <c r="P4922" s="34">
        <v>1765.0</v>
      </c>
      <c r="Q4922" s="35">
        <v>210.0</v>
      </c>
      <c r="R4922" s="32">
        <v>45636.0</v>
      </c>
      <c r="S4922" s="32">
        <v>42999.0</v>
      </c>
      <c r="T4922" s="29"/>
      <c r="U4922" s="33"/>
      <c r="V4922" s="1"/>
    </row>
    <row r="4923" ht="24.0" customHeight="1">
      <c r="A4923" s="1"/>
      <c r="B4923" s="24" t="str">
        <f>HYPERLINK("https://www.compass.com/listing/300-west-14th-street-unit-201-manhattan-ny-10014/66065911320195281/view?agent_id=610d3f3370540700019b0833","300 West 14th Street, Unit 201")</f>
        <v>300 West 14th Street, Unit 201</v>
      </c>
      <c r="C4923" s="25" t="s">
        <v>364</v>
      </c>
      <c r="D4923" s="26" t="s">
        <v>23</v>
      </c>
      <c r="E4923" s="27" t="str">
        <f>HYPERLINK("https://www.compass.com/building/new-york-county-national-bank-manhattan-ny/282059791201762821/","NEW YORK COUNTY NATIONAL BANK")</f>
        <v>NEW YORK COUNTY NATIONAL BANK</v>
      </c>
      <c r="F4923" s="25" t="s">
        <v>27</v>
      </c>
      <c r="G4923" s="28">
        <v>2150000.0</v>
      </c>
      <c r="H4923" s="28">
        <v>1175.0</v>
      </c>
      <c r="I4923" s="28">
        <v>4578.0</v>
      </c>
      <c r="J4923" s="28">
        <v>26544.0</v>
      </c>
      <c r="K4923" s="25" t="s">
        <v>28</v>
      </c>
      <c r="L4923" s="26">
        <v>4.0</v>
      </c>
      <c r="M4923" s="26">
        <v>2.0</v>
      </c>
      <c r="N4923" s="26">
        <v>0.0</v>
      </c>
      <c r="O4923" s="26">
        <v>0.0</v>
      </c>
      <c r="P4923" s="34">
        <v>1830.0</v>
      </c>
      <c r="Q4923" s="35">
        <v>60.0</v>
      </c>
      <c r="R4923" s="32">
        <v>45636.0</v>
      </c>
      <c r="S4923" s="32">
        <v>43178.0</v>
      </c>
      <c r="T4923" s="29"/>
      <c r="U4923" s="33"/>
      <c r="V4923" s="1"/>
    </row>
    <row r="4924" ht="24.0" customHeight="1">
      <c r="A4924" s="1"/>
      <c r="B4924" s="24" t="str">
        <f>HYPERLINK("https://www.compass.com/listing/421-hudson-street-unit-718-manhattan-ny-10014/29366993731834577/view?agent_id=610d3f3370540700019b0833","421 Hudson Street, Unit 718")</f>
        <v>421 Hudson Street, Unit 718</v>
      </c>
      <c r="C4924" s="25" t="s">
        <v>370</v>
      </c>
      <c r="D4924" s="26" t="s">
        <v>23</v>
      </c>
      <c r="E4924" s="27" t="str">
        <f t="shared" ref="E4924:E4925" si="220">HYPERLINK("https://www.compass.com/building/the-printing-house-condominium-manhattan-ny/281933830355470533/","The Printing House Condominium ")</f>
        <v>The Printing House Condominium </v>
      </c>
      <c r="F4924" s="25" t="s">
        <v>26</v>
      </c>
      <c r="G4924" s="28">
        <v>4490000.0</v>
      </c>
      <c r="H4924" s="28">
        <v>2245.0</v>
      </c>
      <c r="I4924" s="28">
        <v>2662.0</v>
      </c>
      <c r="J4924" s="28">
        <v>18312.0</v>
      </c>
      <c r="K4924" s="25" t="s">
        <v>28</v>
      </c>
      <c r="L4924" s="26">
        <v>6.0</v>
      </c>
      <c r="M4924" s="26">
        <v>2.0</v>
      </c>
      <c r="N4924" s="26">
        <v>0.0</v>
      </c>
      <c r="O4924" s="26">
        <v>0.0</v>
      </c>
      <c r="P4924" s="34">
        <v>2000.0</v>
      </c>
      <c r="Q4924" s="35">
        <v>245.0</v>
      </c>
      <c r="R4924" s="32">
        <v>45636.0</v>
      </c>
      <c r="S4924" s="32">
        <v>42257.0</v>
      </c>
      <c r="T4924" s="29"/>
      <c r="U4924" s="33"/>
      <c r="V4924" s="1"/>
    </row>
    <row r="4925" ht="24.0" customHeight="1">
      <c r="A4925" s="1"/>
      <c r="B4925" s="24" t="str">
        <f>HYPERLINK("https://www.compass.com/listing/421-hudson-street-unit-718719-manhattan-ny-10014/4852306595633182273/view?agent_id=610d3f3370540700019b0833","421 Hudson Street, Unit 718719")</f>
        <v>421 Hudson Street, Unit 718719</v>
      </c>
      <c r="C4925" s="25" t="s">
        <v>364</v>
      </c>
      <c r="D4925" s="26" t="s">
        <v>23</v>
      </c>
      <c r="E4925" s="27" t="str">
        <f t="shared" si="220"/>
        <v>The Printing House Condominium </v>
      </c>
      <c r="F4925" s="25" t="s">
        <v>26</v>
      </c>
      <c r="G4925" s="28">
        <v>4490000.0</v>
      </c>
      <c r="H4925" s="28">
        <v>2245.0</v>
      </c>
      <c r="I4925" s="28">
        <v>3705.0</v>
      </c>
      <c r="J4925" s="28">
        <v>20712.0</v>
      </c>
      <c r="K4925" s="25" t="s">
        <v>28</v>
      </c>
      <c r="L4925" s="26">
        <v>6.0</v>
      </c>
      <c r="M4925" s="26">
        <v>2.0</v>
      </c>
      <c r="N4925" s="26">
        <v>0.0</v>
      </c>
      <c r="O4925" s="26">
        <v>0.0</v>
      </c>
      <c r="P4925" s="34">
        <v>2000.0</v>
      </c>
      <c r="Q4925" s="35">
        <v>2043.0</v>
      </c>
      <c r="R4925" s="32">
        <v>45636.0</v>
      </c>
      <c r="S4925" s="32">
        <v>42537.0</v>
      </c>
      <c r="T4925" s="29"/>
      <c r="U4925" s="33"/>
      <c r="V4925" s="1"/>
    </row>
    <row r="4926" ht="24.0" customHeight="1">
      <c r="A4926" s="1"/>
      <c r="B4926" s="24" t="str">
        <f>HYPERLINK("https://www.compass.com/listing/210-west-21st-street-unit-2rw-manhattan-ny-10011/75971625794696113/view?agent_id=610d3f3370540700019b0833","210 West 21st Street, Unit 2RW")</f>
        <v>210 West 21st Street, Unit 2RW</v>
      </c>
      <c r="C4926" s="25" t="s">
        <v>364</v>
      </c>
      <c r="D4926" s="26" t="s">
        <v>23</v>
      </c>
      <c r="E4926" s="27" t="str">
        <f>HYPERLINK("https://www.compass.com/building/210-w-21st-st-manhattan-ny-10011/281906785541967365/","210 W 21st St")</f>
        <v>210 W 21st St</v>
      </c>
      <c r="F4926" s="25" t="s">
        <v>27</v>
      </c>
      <c r="G4926" s="28">
        <v>925000.0</v>
      </c>
      <c r="H4926" s="29"/>
      <c r="I4926" s="28">
        <v>1233.0</v>
      </c>
      <c r="J4926" s="29"/>
      <c r="K4926" s="25" t="s">
        <v>25</v>
      </c>
      <c r="L4926" s="26">
        <v>4.0</v>
      </c>
      <c r="M4926" s="26">
        <v>2.0</v>
      </c>
      <c r="N4926" s="26">
        <v>1.0</v>
      </c>
      <c r="O4926" s="26">
        <v>0.0</v>
      </c>
      <c r="P4926" s="30"/>
      <c r="Q4926" s="35">
        <v>4108.0</v>
      </c>
      <c r="R4926" s="32">
        <v>45636.0</v>
      </c>
      <c r="S4926" s="32">
        <v>37088.0</v>
      </c>
      <c r="T4926" s="29"/>
      <c r="U4926" s="33"/>
      <c r="V4926" s="1"/>
    </row>
    <row r="4927" ht="24.0" customHeight="1">
      <c r="A4927" s="1"/>
      <c r="B4927" s="24" t="str">
        <f>HYPERLINK("https://www.compass.com/listing/55-avenue-c-unit-9-manhattan-ny-10009/70911389060911169/view?agent_id=610d3f3370540700019b0833","55 Avenue C, Unit 9")</f>
        <v>55 Avenue C, Unit 9</v>
      </c>
      <c r="C4927" s="25" t="s">
        <v>370</v>
      </c>
      <c r="D4927" s="26" t="s">
        <v>23</v>
      </c>
      <c r="E4927" s="27" t="str">
        <f>HYPERLINK("https://www.compass.com/building/55-avenue-c-manhattan-ny-10009/389270682556089877/","55 Avenue C")</f>
        <v>55 Avenue C</v>
      </c>
      <c r="F4927" s="25" t="s">
        <v>24</v>
      </c>
      <c r="G4927" s="28">
        <v>733333.0</v>
      </c>
      <c r="H4927" s="29"/>
      <c r="I4927" s="28">
        <v>300.0</v>
      </c>
      <c r="J4927" s="29"/>
      <c r="K4927" s="25" t="s">
        <v>25</v>
      </c>
      <c r="L4927" s="26">
        <v>4.0</v>
      </c>
      <c r="M4927" s="26">
        <v>2.0</v>
      </c>
      <c r="N4927" s="26">
        <v>0.0</v>
      </c>
      <c r="O4927" s="26">
        <v>0.0</v>
      </c>
      <c r="P4927" s="30"/>
      <c r="Q4927" s="35">
        <v>40.0</v>
      </c>
      <c r="R4927" s="32">
        <v>44581.0</v>
      </c>
      <c r="S4927" s="32">
        <v>41507.0</v>
      </c>
      <c r="T4927" s="29"/>
      <c r="U4927" s="33"/>
      <c r="V4927" s="1"/>
    </row>
    <row r="4928" ht="24.0" customHeight="1">
      <c r="A4928" s="1"/>
      <c r="B4928" s="24" t="str">
        <f>HYPERLINK("https://www.compass.com/listing/438-east-12th-street-unit-garden-c-manhattan-ny-10009/334469245656326673/view?agent_id=610d3f3370540700019b0833","438 East 12th Street, Unit GARDEN-C")</f>
        <v>438 East 12th Street, Unit GARDEN-C</v>
      </c>
      <c r="C4928" s="25" t="s">
        <v>364</v>
      </c>
      <c r="D4928" s="26" t="s">
        <v>23</v>
      </c>
      <c r="E4928" s="27" t="str">
        <f>HYPERLINK("https://www.compass.com/building/steiner-east-village-manhattan-ny/281900317572873557/","Steiner East Village")</f>
        <v>Steiner East Village</v>
      </c>
      <c r="F4928" s="25" t="s">
        <v>24</v>
      </c>
      <c r="G4928" s="28">
        <v>2295000.0</v>
      </c>
      <c r="H4928" s="28">
        <v>2141.0</v>
      </c>
      <c r="I4928" s="28">
        <v>3715.0</v>
      </c>
      <c r="J4928" s="28">
        <v>29892.0</v>
      </c>
      <c r="K4928" s="25" t="s">
        <v>28</v>
      </c>
      <c r="L4928" s="26">
        <v>4.0</v>
      </c>
      <c r="M4928" s="26">
        <v>2.0</v>
      </c>
      <c r="N4928" s="30"/>
      <c r="O4928" s="30"/>
      <c r="P4928" s="34">
        <v>1072.0</v>
      </c>
      <c r="Q4928" s="35">
        <v>32.0</v>
      </c>
      <c r="R4928" s="32">
        <v>43747.0</v>
      </c>
      <c r="S4928" s="32">
        <v>43713.0</v>
      </c>
      <c r="T4928" s="29"/>
      <c r="U4928" s="33"/>
      <c r="V4928" s="1"/>
    </row>
    <row r="4929" ht="24.0" customHeight="1">
      <c r="A4929" s="1"/>
      <c r="B4929" s="24" t="str">
        <f>HYPERLINK("https://www.compass.com/listing/222-west-14th-street-unit-9gh-manhattan-ny-10011/611284784708524545/view?agent_id=610d3f3370540700019b0833","222 West 14th Street, Unit 9GH")</f>
        <v>222 West 14th Street, Unit 9GH</v>
      </c>
      <c r="C4929" s="25" t="s">
        <v>364</v>
      </c>
      <c r="D4929" s="26" t="s">
        <v>23</v>
      </c>
      <c r="E4929" s="27" t="str">
        <f>HYPERLINK("https://www.compass.com/building/the-sequoia-manhattan-ny/281907081911490613/","The Sequoia")</f>
        <v>The Sequoia</v>
      </c>
      <c r="F4929" s="25" t="s">
        <v>26</v>
      </c>
      <c r="G4929" s="28">
        <v>2359000.0</v>
      </c>
      <c r="H4929" s="28">
        <v>2137.0</v>
      </c>
      <c r="I4929" s="28">
        <v>3319.0</v>
      </c>
      <c r="J4929" s="28">
        <v>24480.0</v>
      </c>
      <c r="K4929" s="25" t="s">
        <v>28</v>
      </c>
      <c r="L4929" s="26">
        <v>4.0</v>
      </c>
      <c r="M4929" s="26">
        <v>2.0</v>
      </c>
      <c r="N4929" s="30"/>
      <c r="O4929" s="30"/>
      <c r="P4929" s="34">
        <v>1104.0</v>
      </c>
      <c r="Q4929" s="35">
        <v>30.0</v>
      </c>
      <c r="R4929" s="32">
        <v>44124.0</v>
      </c>
      <c r="S4929" s="32">
        <v>44094.0</v>
      </c>
      <c r="T4929" s="29"/>
      <c r="U4929" s="33"/>
      <c r="V4929" s="1"/>
    </row>
    <row r="4930" ht="24.0" customHeight="1">
      <c r="A4930" s="1"/>
      <c r="B4930" s="24" t="str">
        <f>HYPERLINK("https://www.compass.com/listing/718-broadway-unit-6b-manhattan-ny-10003/50865937972267265/view?agent_id=610d3f3370540700019b0833","718 Broadway, Unit 6B")</f>
        <v>718 Broadway, Unit 6B</v>
      </c>
      <c r="C4930" s="25" t="s">
        <v>364</v>
      </c>
      <c r="D4930" s="26" t="s">
        <v>23</v>
      </c>
      <c r="E4930" s="27" t="str">
        <f>HYPERLINK("https://www.compass.com/building/718-broadway-manhattan-ny-10003/281894678784122533/","718 Broadway")</f>
        <v>718 Broadway</v>
      </c>
      <c r="F4930" s="25" t="s">
        <v>57</v>
      </c>
      <c r="G4930" s="28">
        <v>1750000.0</v>
      </c>
      <c r="H4930" s="28">
        <v>1296.0</v>
      </c>
      <c r="I4930" s="28">
        <v>2312.0</v>
      </c>
      <c r="J4930" s="29"/>
      <c r="K4930" s="25" t="s">
        <v>25</v>
      </c>
      <c r="L4930" s="26">
        <v>4.0</v>
      </c>
      <c r="M4930" s="26">
        <v>2.0</v>
      </c>
      <c r="N4930" s="26">
        <v>0.0</v>
      </c>
      <c r="O4930" s="26">
        <v>0.0</v>
      </c>
      <c r="P4930" s="34">
        <v>1350.0</v>
      </c>
      <c r="Q4930" s="35">
        <v>2128.0</v>
      </c>
      <c r="R4930" s="32">
        <v>45636.0</v>
      </c>
      <c r="S4930" s="32">
        <v>42452.0</v>
      </c>
      <c r="T4930" s="29"/>
      <c r="U4930" s="33"/>
      <c r="V4930" s="1"/>
    </row>
    <row r="4931" ht="24.0" customHeight="1">
      <c r="A4931" s="1"/>
      <c r="B4931" s="24" t="str">
        <f>HYPERLINK("https://www.compass.com/listing/365-st-johns-place-unit-i-brooklyn-ny-11238/70754659026980689/view?agent_id=610d3f3370540700019b0833","365 St Johns Place, Unit I")</f>
        <v>365 St Johns Place, Unit I</v>
      </c>
      <c r="C4931" s="25" t="s">
        <v>364</v>
      </c>
      <c r="D4931" s="26" t="s">
        <v>23</v>
      </c>
      <c r="E4931" s="27" t="str">
        <f>HYPERLINK("https://www.compass.com/building/365-st-johns-pl-brooklyn-ny-11238/293426269016628933/","365 St Johns Pl")</f>
        <v>365 St Johns Pl</v>
      </c>
      <c r="F4931" s="25" t="s">
        <v>39</v>
      </c>
      <c r="G4931" s="28">
        <v>679000.0</v>
      </c>
      <c r="H4931" s="29"/>
      <c r="I4931" s="28">
        <v>783.0</v>
      </c>
      <c r="J4931" s="29"/>
      <c r="K4931" s="25" t="s">
        <v>25</v>
      </c>
      <c r="L4931" s="26">
        <v>4.0</v>
      </c>
      <c r="M4931" s="26">
        <v>2.0</v>
      </c>
      <c r="N4931" s="26">
        <v>1.0</v>
      </c>
      <c r="O4931" s="26">
        <v>0.0</v>
      </c>
      <c r="P4931" s="30"/>
      <c r="Q4931" s="35">
        <v>95.0</v>
      </c>
      <c r="R4931" s="32">
        <v>45636.0</v>
      </c>
      <c r="S4931" s="32">
        <v>43349.0</v>
      </c>
      <c r="T4931" s="29"/>
      <c r="U4931" s="33"/>
      <c r="V4931" s="1"/>
    </row>
    <row r="4932" ht="24.0" customHeight="1">
      <c r="A4932" s="1"/>
      <c r="B4932" s="24" t="str">
        <f>HYPERLINK("https://www.compass.com/listing/219-east-7th-street-unit-2c-manhattan-ny-10009/1786706361519374161/view?agent_id=610d3f3370540700019b0833","219 East 7th Street, Unit 2C")</f>
        <v>219 East 7th Street, Unit 2C</v>
      </c>
      <c r="C4932" s="25" t="s">
        <v>364</v>
      </c>
      <c r="D4932" s="26" t="s">
        <v>23</v>
      </c>
      <c r="E4932" s="27" t="str">
        <f t="shared" ref="E4932:E4933" si="221">HYPERLINK("https://www.compass.com/building/219-e-7th-st-manhattan-ny-10009/281898760429122981/","219 E 7th St")</f>
        <v>219 E 7th St</v>
      </c>
      <c r="F4932" s="25" t="s">
        <v>24</v>
      </c>
      <c r="G4932" s="28">
        <v>475000.0</v>
      </c>
      <c r="H4932" s="28">
        <v>597.0</v>
      </c>
      <c r="I4932" s="28">
        <v>545.0</v>
      </c>
      <c r="J4932" s="29"/>
      <c r="K4932" s="25" t="s">
        <v>25</v>
      </c>
      <c r="L4932" s="26">
        <v>4.0</v>
      </c>
      <c r="M4932" s="26">
        <v>2.0</v>
      </c>
      <c r="N4932" s="30"/>
      <c r="O4932" s="30"/>
      <c r="P4932" s="26">
        <v>795.0</v>
      </c>
      <c r="Q4932" s="35">
        <v>60.0</v>
      </c>
      <c r="R4932" s="32">
        <v>41640.0</v>
      </c>
      <c r="S4932" s="32">
        <v>42094.0</v>
      </c>
      <c r="T4932" s="29"/>
      <c r="U4932" s="33"/>
      <c r="V4932" s="1"/>
    </row>
    <row r="4933" ht="24.0" customHeight="1">
      <c r="A4933" s="1"/>
      <c r="B4933" s="24" t="str">
        <f>HYPERLINK("https://www.compass.com/listing/219-east-7th-street-unit-2c-manhattan-ny-10009/4852276736173291217/view?agent_id=610d3f3370540700019b0833","219 East 7th Street, Unit 2C")</f>
        <v>219 East 7th Street, Unit 2C</v>
      </c>
      <c r="C4933" s="25" t="s">
        <v>364</v>
      </c>
      <c r="D4933" s="26" t="s">
        <v>23</v>
      </c>
      <c r="E4933" s="27" t="str">
        <f t="shared" si="221"/>
        <v>219 E 7th St</v>
      </c>
      <c r="F4933" s="25" t="s">
        <v>24</v>
      </c>
      <c r="G4933" s="28">
        <v>475000.0</v>
      </c>
      <c r="H4933" s="28">
        <v>597.0</v>
      </c>
      <c r="I4933" s="28">
        <v>545.0</v>
      </c>
      <c r="J4933" s="29"/>
      <c r="K4933" s="25" t="s">
        <v>25</v>
      </c>
      <c r="L4933" s="26">
        <v>4.0</v>
      </c>
      <c r="M4933" s="26">
        <v>2.0</v>
      </c>
      <c r="N4933" s="26">
        <v>0.0</v>
      </c>
      <c r="O4933" s="26">
        <v>0.0</v>
      </c>
      <c r="P4933" s="26">
        <v>795.0</v>
      </c>
      <c r="Q4933" s="35">
        <v>0.0</v>
      </c>
      <c r="R4933" s="32">
        <v>45636.0</v>
      </c>
      <c r="S4933" s="32">
        <v>42093.0</v>
      </c>
      <c r="T4933" s="29"/>
      <c r="U4933" s="33"/>
      <c r="V4933" s="1"/>
    </row>
    <row r="4934" ht="24.0" customHeight="1">
      <c r="A4934" s="1"/>
      <c r="B4934" s="24" t="str">
        <f>HYPERLINK("https://www.compass.com/listing/9-barrow-street-unit-8f-manhattan-ny-10014/29366550335167745/view?agent_id=610d3f3370540700019b0833","9 Barrow Street, Unit 8F")</f>
        <v>9 Barrow Street, Unit 8F</v>
      </c>
      <c r="C4934" s="25" t="s">
        <v>364</v>
      </c>
      <c r="D4934" s="26" t="s">
        <v>23</v>
      </c>
      <c r="E4934" s="27" t="str">
        <f>HYPERLINK("https://www.compass.com/building/hallanan-manhattan-ny/281936273361390869/","Hallanan")</f>
        <v>Hallanan</v>
      </c>
      <c r="F4934" s="25" t="s">
        <v>26</v>
      </c>
      <c r="G4934" s="28">
        <v>1950000.0</v>
      </c>
      <c r="H4934" s="28">
        <v>1966.0</v>
      </c>
      <c r="I4934" s="28">
        <v>3272.0</v>
      </c>
      <c r="J4934" s="29"/>
      <c r="K4934" s="25" t="s">
        <v>110</v>
      </c>
      <c r="L4934" s="26">
        <v>4.0</v>
      </c>
      <c r="M4934" s="26">
        <v>2.0</v>
      </c>
      <c r="N4934" s="26">
        <v>0.0</v>
      </c>
      <c r="O4934" s="26">
        <v>0.0</v>
      </c>
      <c r="P4934" s="26">
        <v>992.0</v>
      </c>
      <c r="Q4934" s="35">
        <v>39.0</v>
      </c>
      <c r="R4934" s="32">
        <v>45636.0</v>
      </c>
      <c r="S4934" s="32">
        <v>43168.0</v>
      </c>
      <c r="T4934" s="29"/>
      <c r="U4934" s="33"/>
      <c r="V4934" s="1"/>
    </row>
    <row r="4935" ht="24.0" customHeight="1">
      <c r="A4935" s="1"/>
      <c r="B4935" s="24" t="str">
        <f>HYPERLINK("https://www.compass.com/listing/101-warren-street-unit-5h-manhattan-ny-10007/919703174364834521/view?agent_id=610d3f3370540700019b0833","101 Warren Street, Unit 5H")</f>
        <v>101 Warren Street, Unit 5H</v>
      </c>
      <c r="C4935" s="25" t="s">
        <v>364</v>
      </c>
      <c r="D4935" s="26" t="s">
        <v>23</v>
      </c>
      <c r="E4935" s="27" t="str">
        <f>HYPERLINK("https://www.compass.com/building/99-101-warren-manhattan-ny/307460833541810581/","99-101 Warren")</f>
        <v>99-101 Warren</v>
      </c>
      <c r="F4935" s="25" t="s">
        <v>60</v>
      </c>
      <c r="G4935" s="28">
        <v>4799000.0</v>
      </c>
      <c r="H4935" s="28">
        <v>2270.0</v>
      </c>
      <c r="I4935" s="28">
        <v>4124.0</v>
      </c>
      <c r="J4935" s="28">
        <v>19848.0</v>
      </c>
      <c r="K4935" s="25" t="s">
        <v>28</v>
      </c>
      <c r="L4935" s="26">
        <v>4.0</v>
      </c>
      <c r="M4935" s="26">
        <v>2.0</v>
      </c>
      <c r="N4935" s="26">
        <v>0.0</v>
      </c>
      <c r="O4935" s="26">
        <v>0.0</v>
      </c>
      <c r="P4935" s="34">
        <v>2114.0</v>
      </c>
      <c r="Q4935" s="35">
        <v>165.0</v>
      </c>
      <c r="R4935" s="32">
        <v>45636.0</v>
      </c>
      <c r="S4935" s="32">
        <v>42416.0</v>
      </c>
      <c r="T4935" s="29"/>
      <c r="U4935" s="33"/>
      <c r="V4935" s="1"/>
    </row>
    <row r="4936" ht="24.0" customHeight="1">
      <c r="A4936" s="1"/>
      <c r="B4936" s="24" t="str">
        <f>HYPERLINK("https://www.compass.com/listing/150-chambers-street-unit-5east-manhattan-ny-10007/70911699070319345/view?agent_id=610d3f3370540700019b0833","150 Chambers Street, Unit 5EAST")</f>
        <v>150 Chambers Street, Unit 5EAST</v>
      </c>
      <c r="C4936" s="25" t="s">
        <v>370</v>
      </c>
      <c r="D4936" s="26" t="s">
        <v>23</v>
      </c>
      <c r="E4936" s="27" t="str">
        <f>HYPERLINK("https://www.compass.com/building/150-chambers-st-manhattan-ny-10007/281896694507906645/","150 Chambers St")</f>
        <v>150 Chambers St</v>
      </c>
      <c r="F4936" s="25" t="s">
        <v>60</v>
      </c>
      <c r="G4936" s="28">
        <v>2650000.0</v>
      </c>
      <c r="H4936" s="28">
        <v>1710.0</v>
      </c>
      <c r="I4936" s="28">
        <v>1388.0</v>
      </c>
      <c r="J4936" s="28">
        <v>4092.0</v>
      </c>
      <c r="K4936" s="25" t="s">
        <v>28</v>
      </c>
      <c r="L4936" s="26">
        <v>4.0</v>
      </c>
      <c r="M4936" s="26">
        <v>2.0</v>
      </c>
      <c r="N4936" s="26">
        <v>0.0</v>
      </c>
      <c r="O4936" s="26">
        <v>0.0</v>
      </c>
      <c r="P4936" s="34">
        <v>1550.0</v>
      </c>
      <c r="Q4936" s="35">
        <v>0.0</v>
      </c>
      <c r="R4936" s="32">
        <v>44581.0</v>
      </c>
      <c r="S4936" s="32">
        <v>41538.0</v>
      </c>
      <c r="T4936" s="29"/>
      <c r="U4936" s="33"/>
      <c r="V4936" s="1"/>
    </row>
    <row r="4937" ht="24.0" customHeight="1">
      <c r="A4937" s="1"/>
      <c r="B4937" s="24" t="str">
        <f>HYPERLINK("https://www.compass.com/listing/101-warren-street-unit-2830-manhattan-ny-10007/192567854128795009/view?agent_id=610d3f3370540700019b0833","101 Warren Street, Unit 2830")</f>
        <v>101 Warren Street, Unit 2830</v>
      </c>
      <c r="C4937" s="25" t="s">
        <v>364</v>
      </c>
      <c r="D4937" s="26" t="s">
        <v>23</v>
      </c>
      <c r="E4937" s="27" t="str">
        <f>HYPERLINK("https://www.compass.com/building/99-101-warren-manhattan-ny/307460833541810581/","99-101 Warren")</f>
        <v>99-101 Warren</v>
      </c>
      <c r="F4937" s="25" t="s">
        <v>60</v>
      </c>
      <c r="G4937" s="28">
        <v>3750000.0</v>
      </c>
      <c r="H4937" s="28">
        <v>2341.0</v>
      </c>
      <c r="I4937" s="28">
        <v>2363.0</v>
      </c>
      <c r="J4937" s="28">
        <v>8436.0</v>
      </c>
      <c r="K4937" s="25" t="s">
        <v>209</v>
      </c>
      <c r="L4937" s="26">
        <v>5.0</v>
      </c>
      <c r="M4937" s="26">
        <v>2.0</v>
      </c>
      <c r="N4937" s="26">
        <v>0.0</v>
      </c>
      <c r="O4937" s="26">
        <v>0.0</v>
      </c>
      <c r="P4937" s="34">
        <v>1602.0</v>
      </c>
      <c r="Q4937" s="35">
        <v>103.0</v>
      </c>
      <c r="R4937" s="32">
        <v>45636.0</v>
      </c>
      <c r="S4937" s="32">
        <v>41620.0</v>
      </c>
      <c r="T4937" s="29"/>
      <c r="U4937" s="33"/>
      <c r="V4937" s="1"/>
    </row>
    <row r="4938" ht="24.0" customHeight="1">
      <c r="A4938" s="1"/>
      <c r="B4938" s="24" t="str">
        <f>HYPERLINK("https://www.compass.com/listing/232-president-street-unit-3l-brooklyn-ny-11231/4703713672541790001/view?agent_id=610d3f3370540700019b0833","232 President St, Unit 3L")</f>
        <v>232 President St, Unit 3L</v>
      </c>
      <c r="C4938" s="25" t="s">
        <v>364</v>
      </c>
      <c r="D4938" s="26" t="s">
        <v>23</v>
      </c>
      <c r="E4938" s="27" t="str">
        <f>HYPERLINK("https://www.compass.com/building/232-president-st-brooklyn-ny-11231/282500551877408901/","232 President St")</f>
        <v>232 President St</v>
      </c>
      <c r="F4938" s="25" t="s">
        <v>65</v>
      </c>
      <c r="G4938" s="28">
        <v>699000.0</v>
      </c>
      <c r="H4938" s="29"/>
      <c r="I4938" s="28">
        <v>650.0</v>
      </c>
      <c r="J4938" s="29"/>
      <c r="K4938" s="25" t="s">
        <v>25</v>
      </c>
      <c r="L4938" s="26">
        <v>4.0</v>
      </c>
      <c r="M4938" s="26">
        <v>2.0</v>
      </c>
      <c r="N4938" s="30"/>
      <c r="O4938" s="30"/>
      <c r="P4938" s="30"/>
      <c r="Q4938" s="35">
        <v>13.0</v>
      </c>
      <c r="R4938" s="32">
        <v>42104.0</v>
      </c>
      <c r="S4938" s="32">
        <v>40484.0</v>
      </c>
      <c r="T4938" s="29"/>
      <c r="U4938" s="33"/>
      <c r="V4938" s="1"/>
    </row>
    <row r="4939" ht="24.0" customHeight="1">
      <c r="A4939" s="1"/>
      <c r="B4939" s="24" t="str">
        <f>HYPERLINK("https://www.compass.com/listing/147-west-22nd-street-unit-3n-manhattan-ny-10011/921830676759476273/view?agent_id=610d3f3370540700019b0833","147 West 22nd Street, Unit 3N")</f>
        <v>147 West 22nd Street, Unit 3N</v>
      </c>
      <c r="C4939" s="25" t="s">
        <v>370</v>
      </c>
      <c r="D4939" s="26" t="s">
        <v>23</v>
      </c>
      <c r="E4939" s="27" t="str">
        <f>HYPERLINK("https://www.compass.com/building/147-w-22nd-st-manhattan-ny-10011/281905537224820997/","147 W 22nd St")</f>
        <v>147 W 22nd St</v>
      </c>
      <c r="F4939" s="25" t="s">
        <v>27</v>
      </c>
      <c r="G4939" s="28">
        <v>2195000.0</v>
      </c>
      <c r="H4939" s="29"/>
      <c r="I4939" s="28">
        <v>1812.0</v>
      </c>
      <c r="J4939" s="29"/>
      <c r="K4939" s="25" t="s">
        <v>25</v>
      </c>
      <c r="L4939" s="26">
        <v>4.0</v>
      </c>
      <c r="M4939" s="26">
        <v>2.0</v>
      </c>
      <c r="N4939" s="26">
        <v>0.0</v>
      </c>
      <c r="O4939" s="26">
        <v>0.0</v>
      </c>
      <c r="P4939" s="30"/>
      <c r="Q4939" s="35">
        <v>189.0</v>
      </c>
      <c r="R4939" s="32">
        <v>45636.0</v>
      </c>
      <c r="S4939" s="32">
        <v>42420.0</v>
      </c>
      <c r="T4939" s="29"/>
      <c r="U4939" s="33"/>
      <c r="V4939" s="1"/>
    </row>
    <row r="4940" ht="24.0" customHeight="1">
      <c r="A4940" s="1"/>
      <c r="B4940" s="24" t="str">
        <f>HYPERLINK("https://www.compass.com/listing/230-riverside-drive-unit-4l-manhattan-ny-10025/29402726760760337/view?agent_id=610d3f3370540700019b0833","230 Riverside Drive, Unit 4L")</f>
        <v>230 Riverside Drive, Unit 4L</v>
      </c>
      <c r="C4940" s="25" t="s">
        <v>370</v>
      </c>
      <c r="D4940" s="26" t="s">
        <v>23</v>
      </c>
      <c r="E4940" s="27" t="str">
        <f>HYPERLINK("https://www.compass.com/building/the-230-riverside-condominium-manhattan-ny/281969684524389653/","The 230 Riverside Condominium")</f>
        <v>The 230 Riverside Condominium</v>
      </c>
      <c r="F4940" s="25" t="s">
        <v>29</v>
      </c>
      <c r="G4940" s="28">
        <v>1300000.0</v>
      </c>
      <c r="H4940" s="28">
        <v>1526.0</v>
      </c>
      <c r="I4940" s="28">
        <v>1513.0</v>
      </c>
      <c r="J4940" s="28">
        <v>8256.0</v>
      </c>
      <c r="K4940" s="25" t="s">
        <v>28</v>
      </c>
      <c r="L4940" s="26">
        <v>5.0</v>
      </c>
      <c r="M4940" s="26">
        <v>2.0</v>
      </c>
      <c r="N4940" s="26">
        <v>1.0</v>
      </c>
      <c r="O4940" s="26">
        <v>0.0</v>
      </c>
      <c r="P4940" s="26">
        <v>852.0</v>
      </c>
      <c r="Q4940" s="35">
        <v>236.0</v>
      </c>
      <c r="R4940" s="32">
        <v>45075.0</v>
      </c>
      <c r="S4940" s="32">
        <v>44838.0</v>
      </c>
      <c r="T4940" s="29"/>
      <c r="U4940" s="33"/>
      <c r="V4940" s="1"/>
    </row>
    <row r="4941" ht="24.0" customHeight="1">
      <c r="A4941" s="1"/>
      <c r="B4941" s="24" t="str">
        <f>HYPERLINK("https://www.compass.com/listing/35-east-9th-street-unit-79-manhattan-ny-10003/792604666949171401/view?agent_id=610d3f3370540700019b0833","35 East 9th Street, Unit 79")</f>
        <v>35 East 9th Street, Unit 79</v>
      </c>
      <c r="C4941" s="25" t="s">
        <v>364</v>
      </c>
      <c r="D4941" s="26" t="s">
        <v>23</v>
      </c>
      <c r="E4941" s="27" t="str">
        <f>HYPERLINK("https://www.compass.com/building/35-east-9th-street-manhattan-ny/1415361229645972429/","35 East 9th Street")</f>
        <v>35 East 9th Street</v>
      </c>
      <c r="F4941" s="25" t="s">
        <v>43</v>
      </c>
      <c r="G4941" s="28">
        <v>3300000.0</v>
      </c>
      <c r="H4941" s="29"/>
      <c r="I4941" s="28">
        <v>4748.0</v>
      </c>
      <c r="J4941" s="29"/>
      <c r="K4941" s="25" t="s">
        <v>25</v>
      </c>
      <c r="L4941" s="26">
        <v>5.0</v>
      </c>
      <c r="M4941" s="26">
        <v>2.0</v>
      </c>
      <c r="N4941" s="26">
        <v>1.0</v>
      </c>
      <c r="O4941" s="26">
        <v>0.0</v>
      </c>
      <c r="P4941" s="30"/>
      <c r="Q4941" s="35">
        <v>103.0</v>
      </c>
      <c r="R4941" s="32">
        <v>44581.0</v>
      </c>
      <c r="S4941" s="32">
        <v>44345.0</v>
      </c>
      <c r="T4941" s="29"/>
      <c r="U4941" s="33"/>
      <c r="V4941" s="1"/>
    </row>
    <row r="4942" ht="24.0" customHeight="1">
      <c r="A4942" s="1"/>
      <c r="B4942" s="24" t="str">
        <f>HYPERLINK("https://www.compass.com/listing/368-west-23rd-street-unit-2f-manhattan-ny-10011/1861828147890440393/view?agent_id=610d3f3370540700019b0833","368 W 23rd St, Unit 2F")</f>
        <v>368 W 23rd St, Unit 2F</v>
      </c>
      <c r="C4942" s="25" t="s">
        <v>365</v>
      </c>
      <c r="D4942" s="26" t="s">
        <v>23</v>
      </c>
      <c r="E4942" s="27" t="str">
        <f>HYPERLINK("https://www.compass.com/building/368-w-23rd-st-manhattan-ny-10011/281909835631451013/","368 W 23rd St")</f>
        <v>368 W 23rd St</v>
      </c>
      <c r="F4942" s="25" t="s">
        <v>27</v>
      </c>
      <c r="G4942" s="28">
        <v>1195000.0</v>
      </c>
      <c r="H4942" s="29"/>
      <c r="I4942" s="28">
        <v>688.0</v>
      </c>
      <c r="J4942" s="28">
        <v>0.0</v>
      </c>
      <c r="K4942" s="25" t="s">
        <v>25</v>
      </c>
      <c r="L4942" s="26">
        <v>4.0</v>
      </c>
      <c r="M4942" s="26">
        <v>2.0</v>
      </c>
      <c r="N4942" s="26">
        <v>1.0</v>
      </c>
      <c r="O4942" s="26">
        <v>0.0</v>
      </c>
      <c r="P4942" s="30"/>
      <c r="Q4942" s="35">
        <v>50.0</v>
      </c>
      <c r="R4942" s="32">
        <v>43683.0</v>
      </c>
      <c r="S4942" s="32">
        <v>43633.0</v>
      </c>
      <c r="T4942" s="29"/>
      <c r="U4942" s="33"/>
      <c r="V4942" s="1"/>
    </row>
    <row r="4943" ht="24.0" customHeight="1">
      <c r="A4943" s="1"/>
      <c r="B4943" s="24" t="str">
        <f>HYPERLINK("https://www.compass.com/listing/285-riverside-drive-unit-3f-manhattan-ny-10025/1831218564663535433/view?agent_id=610d3f3370540700019b0833","285 Riverside Drive, Unit 3F")</f>
        <v>285 Riverside Drive, Unit 3F</v>
      </c>
      <c r="C4943" s="25" t="s">
        <v>365</v>
      </c>
      <c r="D4943" s="26" t="s">
        <v>23</v>
      </c>
      <c r="E4943" s="27" t="str">
        <f>HYPERLINK("https://www.compass.com/building/285-riverside-drive-corp-manhattan-ny/281970462198683797/","285 Riverside Drive Corp.")</f>
        <v>285 Riverside Drive Corp.</v>
      </c>
      <c r="F4943" s="25" t="s">
        <v>29</v>
      </c>
      <c r="G4943" s="28">
        <v>895000.0</v>
      </c>
      <c r="H4943" s="29"/>
      <c r="I4943" s="28">
        <v>1661.0</v>
      </c>
      <c r="J4943" s="28">
        <v>0.0</v>
      </c>
      <c r="K4943" s="25" t="s">
        <v>25</v>
      </c>
      <c r="L4943" s="26">
        <v>4.0</v>
      </c>
      <c r="M4943" s="26">
        <v>2.0</v>
      </c>
      <c r="N4943" s="26">
        <v>1.0</v>
      </c>
      <c r="O4943" s="26">
        <v>0.0</v>
      </c>
      <c r="P4943" s="30"/>
      <c r="Q4943" s="35">
        <v>63.0</v>
      </c>
      <c r="R4943" s="32">
        <v>45841.0</v>
      </c>
      <c r="S4943" s="32">
        <v>45778.0</v>
      </c>
      <c r="T4943" s="29"/>
      <c r="U4943" s="33"/>
      <c r="V4943" s="1"/>
    </row>
    <row r="4944" ht="24.0" customHeight="1">
      <c r="A4944" s="1"/>
      <c r="B4944" s="24" t="str">
        <f>HYPERLINK("https://www.compass.com/listing/161-west-16th-street-unit-19a-manhattan-ny-10011/29507209297744593/view?agent_id=610d3f3370540700019b0833","161 West 16th Street, Unit 19A")</f>
        <v>161 West 16th Street, Unit 19A</v>
      </c>
      <c r="C4944" s="25" t="s">
        <v>370</v>
      </c>
      <c r="D4944" s="26" t="s">
        <v>23</v>
      </c>
      <c r="E4944" s="27" t="str">
        <f>HYPERLINK("https://www.compass.com/building/161-w-16th-st-manhattan-ny-10011/282059806586470437/","161 W 16th St")</f>
        <v>161 W 16th St</v>
      </c>
      <c r="F4944" s="25" t="s">
        <v>27</v>
      </c>
      <c r="G4944" s="28">
        <v>2450000.0</v>
      </c>
      <c r="H4944" s="29"/>
      <c r="I4944" s="28">
        <v>2598.0</v>
      </c>
      <c r="J4944" s="29"/>
      <c r="K4944" s="25" t="s">
        <v>25</v>
      </c>
      <c r="L4944" s="26">
        <v>4.0</v>
      </c>
      <c r="M4944" s="26">
        <v>2.0</v>
      </c>
      <c r="N4944" s="26">
        <v>0.0</v>
      </c>
      <c r="O4944" s="26">
        <v>0.0</v>
      </c>
      <c r="P4944" s="30"/>
      <c r="Q4944" s="35">
        <v>29.0</v>
      </c>
      <c r="R4944" s="32">
        <v>45636.0</v>
      </c>
      <c r="S4944" s="32">
        <v>42835.0</v>
      </c>
      <c r="T4944" s="29"/>
      <c r="U4944" s="33"/>
      <c r="V4944" s="1"/>
    </row>
    <row r="4945" ht="24.0" customHeight="1">
      <c r="A4945" s="1"/>
      <c r="B4945" s="24" t="str">
        <f>HYPERLINK("https://www.compass.com/listing/146-chambers-street-unit-8-manhattan-ny-10007/252865939412898001/view?agent_id=610d3f3370540700019b0833","146 Chambers Street, Unit 8")</f>
        <v>146 Chambers Street, Unit 8</v>
      </c>
      <c r="C4945" s="25" t="s">
        <v>364</v>
      </c>
      <c r="D4945" s="26" t="s">
        <v>23</v>
      </c>
      <c r="E4945" s="27" t="str">
        <f>HYPERLINK("https://www.compass.com/building/146-chambers-st-manhattan-ny-10007/281896684215084613/","146 Chambers St")</f>
        <v>146 Chambers St</v>
      </c>
      <c r="F4945" s="25" t="s">
        <v>60</v>
      </c>
      <c r="G4945" s="28">
        <v>3575000.0</v>
      </c>
      <c r="H4945" s="28">
        <v>2401.0</v>
      </c>
      <c r="I4945" s="28">
        <v>3743.0</v>
      </c>
      <c r="J4945" s="28">
        <v>28896.0</v>
      </c>
      <c r="K4945" s="25" t="s">
        <v>28</v>
      </c>
      <c r="L4945" s="26">
        <v>4.0</v>
      </c>
      <c r="M4945" s="26">
        <v>2.0</v>
      </c>
      <c r="N4945" s="30"/>
      <c r="O4945" s="30"/>
      <c r="P4945" s="34">
        <v>1489.0</v>
      </c>
      <c r="Q4945" s="35">
        <v>4.0</v>
      </c>
      <c r="R4945" s="32">
        <v>43605.0</v>
      </c>
      <c r="S4945" s="32">
        <v>43600.0</v>
      </c>
      <c r="T4945" s="29"/>
      <c r="U4945" s="33"/>
      <c r="V4945" s="1"/>
    </row>
    <row r="4946" ht="24.0" customHeight="1">
      <c r="A4946" s="1"/>
      <c r="B4946" s="24" t="str">
        <f>HYPERLINK("https://www.compass.com/listing/255-west-23rd-street-unit-5hw-manhattan-ny-10011/79386471613672881/view?agent_id=610d3f3370540700019b0833","255 W 23rd St, Unit 5HW")</f>
        <v>255 W 23rd St, Unit 5HW</v>
      </c>
      <c r="C4946" s="25" t="s">
        <v>364</v>
      </c>
      <c r="D4946" s="26" t="s">
        <v>23</v>
      </c>
      <c r="E4946" s="27" t="str">
        <f>HYPERLINK("https://www.compass.com/building/255-w-23rd-st-manhattan-ny-10011/281908028674956517/","255 W 23rd St")</f>
        <v>255 W 23rd St</v>
      </c>
      <c r="F4946" s="25" t="s">
        <v>27</v>
      </c>
      <c r="G4946" s="28">
        <v>1175000.0</v>
      </c>
      <c r="H4946" s="28">
        <v>1306.0</v>
      </c>
      <c r="I4946" s="28">
        <v>1293.0</v>
      </c>
      <c r="J4946" s="29"/>
      <c r="K4946" s="25" t="s">
        <v>25</v>
      </c>
      <c r="L4946" s="26">
        <v>4.0</v>
      </c>
      <c r="M4946" s="26">
        <v>2.0</v>
      </c>
      <c r="N4946" s="30"/>
      <c r="O4946" s="30"/>
      <c r="P4946" s="26">
        <v>900.0</v>
      </c>
      <c r="Q4946" s="35">
        <v>190.0</v>
      </c>
      <c r="R4946" s="32">
        <v>42478.0</v>
      </c>
      <c r="S4946" s="32">
        <v>40844.0</v>
      </c>
      <c r="T4946" s="29"/>
      <c r="U4946" s="33"/>
      <c r="V4946" s="1"/>
    </row>
    <row r="4947" ht="24.0" customHeight="1">
      <c r="A4947" s="1"/>
      <c r="B4947" s="24" t="str">
        <f>HYPERLINK("https://www.compass.com/listing/11-riverside-drive-unit-13fe-manhattan-ny-10023/1395690419357802041/view?agent_id=610d3f3370540700019b0833","11 Riverside Drive, Unit 13FE")</f>
        <v>11 Riverside Drive, Unit 13FE</v>
      </c>
      <c r="C4947" s="25" t="s">
        <v>364</v>
      </c>
      <c r="D4947" s="26" t="s">
        <v>23</v>
      </c>
      <c r="E4947" s="27" t="str">
        <f>HYPERLINK("https://www.compass.com/building/schwab-manhattan-ny/281956307722900517/","Schwab")</f>
        <v>Schwab</v>
      </c>
      <c r="F4947" s="25" t="s">
        <v>29</v>
      </c>
      <c r="G4947" s="28">
        <v>1200000.0</v>
      </c>
      <c r="H4947" s="29"/>
      <c r="I4947" s="28">
        <v>2394.0</v>
      </c>
      <c r="J4947" s="28">
        <v>0.0</v>
      </c>
      <c r="K4947" s="25" t="s">
        <v>25</v>
      </c>
      <c r="L4947" s="26">
        <v>4.0</v>
      </c>
      <c r="M4947" s="26">
        <v>2.0</v>
      </c>
      <c r="N4947" s="26">
        <v>1.0</v>
      </c>
      <c r="O4947" s="26">
        <v>0.0</v>
      </c>
      <c r="P4947" s="30"/>
      <c r="Q4947" s="35">
        <v>201.0</v>
      </c>
      <c r="R4947" s="32">
        <v>45380.0</v>
      </c>
      <c r="S4947" s="32">
        <v>45177.0</v>
      </c>
      <c r="T4947" s="29"/>
      <c r="U4947" s="33"/>
      <c r="V4947" s="1"/>
    </row>
    <row r="4948" ht="24.0" customHeight="1">
      <c r="A4948" s="1"/>
      <c r="B4948" s="24" t="str">
        <f>HYPERLINK("https://www.compass.com/listing/100-west-93rd-street-unit-7j-manhattan-ny-10025/1073173297548140993/view?agent_id=610d3f3370540700019b0833","100 West 93rd Street, Unit 7J")</f>
        <v>100 West 93rd Street, Unit 7J</v>
      </c>
      <c r="C4948" s="25" t="s">
        <v>364</v>
      </c>
      <c r="D4948" s="26" t="s">
        <v>23</v>
      </c>
      <c r="E4948" s="27" t="str">
        <f>HYPERLINK("https://www.compass.com/building/100-west-manhattan-ny/281968202811000645/","100 West")</f>
        <v>100 West</v>
      </c>
      <c r="F4948" s="25" t="s">
        <v>29</v>
      </c>
      <c r="G4948" s="28">
        <v>1415000.0</v>
      </c>
      <c r="H4948" s="28">
        <v>1457.0</v>
      </c>
      <c r="I4948" s="28">
        <v>1317.0</v>
      </c>
      <c r="J4948" s="28">
        <v>5904.0</v>
      </c>
      <c r="K4948" s="25" t="s">
        <v>28</v>
      </c>
      <c r="L4948" s="26">
        <v>4.0</v>
      </c>
      <c r="M4948" s="26">
        <v>2.0</v>
      </c>
      <c r="N4948" s="26">
        <v>1.0</v>
      </c>
      <c r="O4948" s="26">
        <v>0.0</v>
      </c>
      <c r="P4948" s="26">
        <v>971.0</v>
      </c>
      <c r="Q4948" s="35">
        <v>183.0</v>
      </c>
      <c r="R4948" s="32">
        <v>45636.0</v>
      </c>
      <c r="S4948" s="32">
        <v>44732.0</v>
      </c>
      <c r="T4948" s="29"/>
      <c r="U4948" s="33"/>
      <c r="V4948" s="1"/>
    </row>
    <row r="4949" ht="24.0" customHeight="1">
      <c r="A4949" s="1"/>
      <c r="B4949" s="24" t="str">
        <f>HYPERLINK("https://www.compass.com/listing/258-broadway-unit-4d-manhattan-ny-10007/34719782993473089/view?agent_id=610d3f3370540700019b0833","258 Broadway, Unit 4D")</f>
        <v>258 Broadway, Unit 4D</v>
      </c>
      <c r="C4949" s="25" t="s">
        <v>370</v>
      </c>
      <c r="D4949" s="26" t="s">
        <v>23</v>
      </c>
      <c r="E4949" s="27" t="str">
        <f>HYPERLINK("https://www.compass.com/building/city-hall-tower-manhattan-ny/282058464979614261/","City Hall Tower")</f>
        <v>City Hall Tower</v>
      </c>
      <c r="F4949" s="25" t="s">
        <v>60</v>
      </c>
      <c r="G4949" s="28">
        <v>1650000.0</v>
      </c>
      <c r="H4949" s="29"/>
      <c r="I4949" s="28">
        <v>2017.0</v>
      </c>
      <c r="J4949" s="29"/>
      <c r="K4949" s="25" t="s">
        <v>25</v>
      </c>
      <c r="L4949" s="26">
        <v>4.0</v>
      </c>
      <c r="M4949" s="26">
        <v>2.0</v>
      </c>
      <c r="N4949" s="26">
        <v>1.0</v>
      </c>
      <c r="O4949" s="26">
        <v>0.0</v>
      </c>
      <c r="P4949" s="30"/>
      <c r="Q4949" s="35">
        <v>182.0</v>
      </c>
      <c r="R4949" s="32">
        <v>45636.0</v>
      </c>
      <c r="S4949" s="32">
        <v>43615.0</v>
      </c>
      <c r="T4949" s="29"/>
      <c r="U4949" s="33"/>
      <c r="V4949" s="1"/>
    </row>
    <row r="4950" ht="24.0" customHeight="1">
      <c r="A4950" s="1"/>
      <c r="B4950" s="24" t="str">
        <f>HYPERLINK("https://www.compass.com/listing/121-west-17th-street-unit-3b-manhattan-ny-10011/1838880908346600553/view?agent_id=610d3f3370540700019b0833","121 W 17th St, Unit 3B")</f>
        <v>121 W 17th St, Unit 3B</v>
      </c>
      <c r="C4950" s="25" t="s">
        <v>370</v>
      </c>
      <c r="D4950" s="26" t="s">
        <v>23</v>
      </c>
      <c r="E4950" s="27" t="str">
        <f t="shared" ref="E4950:E4951" si="222">HYPERLINK("https://www.compass.com/building/121-w-17th-st-manhattan-ny-10011/281904716223368741/","121 W 17th St")</f>
        <v>121 W 17th St</v>
      </c>
      <c r="F4950" s="25" t="s">
        <v>27</v>
      </c>
      <c r="G4950" s="28">
        <v>1195000.0</v>
      </c>
      <c r="H4950" s="28">
        <v>916.0</v>
      </c>
      <c r="I4950" s="28">
        <v>771.0</v>
      </c>
      <c r="J4950" s="28">
        <v>0.0</v>
      </c>
      <c r="K4950" s="25" t="s">
        <v>25</v>
      </c>
      <c r="L4950" s="26">
        <v>5.0</v>
      </c>
      <c r="M4950" s="26">
        <v>2.0</v>
      </c>
      <c r="N4950" s="30"/>
      <c r="O4950" s="30"/>
      <c r="P4950" s="34">
        <v>1305.0</v>
      </c>
      <c r="Q4950" s="31"/>
      <c r="R4950" s="32">
        <v>41538.0</v>
      </c>
      <c r="S4950" s="33"/>
      <c r="T4950" s="29"/>
      <c r="U4950" s="33"/>
      <c r="V4950" s="1"/>
    </row>
    <row r="4951" ht="24.0" customHeight="1">
      <c r="A4951" s="1"/>
      <c r="B4951" s="24" t="str">
        <f>HYPERLINK("https://www.compass.com/listing/121-west-17th-street-unit-3b-manhattan-ny-10011/4852306208230477633/view?agent_id=610d3f3370540700019b0833","121 West 17th Street, Unit 3B")</f>
        <v>121 West 17th Street, Unit 3B</v>
      </c>
      <c r="C4951" s="25" t="s">
        <v>370</v>
      </c>
      <c r="D4951" s="26" t="s">
        <v>23</v>
      </c>
      <c r="E4951" s="27" t="str">
        <f t="shared" si="222"/>
        <v>121 W 17th St</v>
      </c>
      <c r="F4951" s="25" t="s">
        <v>27</v>
      </c>
      <c r="G4951" s="28">
        <v>1195000.0</v>
      </c>
      <c r="H4951" s="28">
        <v>916.0</v>
      </c>
      <c r="I4951" s="28">
        <v>771.0</v>
      </c>
      <c r="J4951" s="29"/>
      <c r="K4951" s="25" t="s">
        <v>25</v>
      </c>
      <c r="L4951" s="26">
        <v>5.0</v>
      </c>
      <c r="M4951" s="26">
        <v>2.0</v>
      </c>
      <c r="N4951" s="26">
        <v>0.0</v>
      </c>
      <c r="O4951" s="26">
        <v>0.0</v>
      </c>
      <c r="P4951" s="34">
        <v>1305.0</v>
      </c>
      <c r="Q4951" s="35">
        <v>0.0</v>
      </c>
      <c r="R4951" s="32">
        <v>44581.0</v>
      </c>
      <c r="S4951" s="32">
        <v>41538.0</v>
      </c>
      <c r="T4951" s="29"/>
      <c r="U4951" s="33"/>
      <c r="V4951" s="1"/>
    </row>
    <row r="4952" ht="24.0" customHeight="1">
      <c r="A4952" s="1"/>
      <c r="B4952" s="24" t="str">
        <f>HYPERLINK("https://www.compass.com/listing/505-west-19th-street-unit-7c-manhattan-ny-10011/29369340637787729/view?agent_id=610d3f3370540700019b0833","505 West 19th Street, Unit 7C")</f>
        <v>505 West 19th Street, Unit 7C</v>
      </c>
      <c r="C4952" s="25" t="s">
        <v>370</v>
      </c>
      <c r="D4952" s="26" t="s">
        <v>23</v>
      </c>
      <c r="E4952" s="27" t="str">
        <f>HYPERLINK("https://www.compass.com/building/505-west-19th-manhattan-ny/281911346335867813/","505 West 19th")</f>
        <v>505 West 19th</v>
      </c>
      <c r="F4952" s="25" t="s">
        <v>27</v>
      </c>
      <c r="G4952" s="28">
        <v>4600000.0</v>
      </c>
      <c r="H4952" s="28">
        <v>2711.0</v>
      </c>
      <c r="I4952" s="28">
        <v>6380.0</v>
      </c>
      <c r="J4952" s="28">
        <v>39864.0</v>
      </c>
      <c r="K4952" s="25" t="s">
        <v>28</v>
      </c>
      <c r="L4952" s="26">
        <v>4.0</v>
      </c>
      <c r="M4952" s="26">
        <v>2.0</v>
      </c>
      <c r="N4952" s="26">
        <v>0.0</v>
      </c>
      <c r="O4952" s="26">
        <v>0.0</v>
      </c>
      <c r="P4952" s="34">
        <v>1697.0</v>
      </c>
      <c r="Q4952" s="35">
        <v>147.0</v>
      </c>
      <c r="R4952" s="32">
        <v>45636.0</v>
      </c>
      <c r="S4952" s="32">
        <v>43047.0</v>
      </c>
      <c r="T4952" s="29"/>
      <c r="U4952" s="33"/>
      <c r="V4952" s="1"/>
    </row>
    <row r="4953" ht="24.0" customHeight="1">
      <c r="A4953" s="1"/>
      <c r="B4953" s="24" t="str">
        <f>HYPERLINK("https://www.compass.com/listing/431-sterling-place-unit-2a-brooklyn-ny-11238/4852266858813853601/view?agent_id=610d3f3370540700019b0833","431 Sterling Place, Unit 2A")</f>
        <v>431 Sterling Place, Unit 2A</v>
      </c>
      <c r="C4953" s="25" t="s">
        <v>364</v>
      </c>
      <c r="D4953" s="26" t="s">
        <v>23</v>
      </c>
      <c r="E4953" s="27" t="str">
        <f>HYPERLINK("https://www.compass.com/building/431-sterling-pl-brooklyn-ny-11238/293427801070053381/","431 Sterling Pl")</f>
        <v>431 Sterling Pl</v>
      </c>
      <c r="F4953" s="25" t="s">
        <v>39</v>
      </c>
      <c r="G4953" s="28">
        <v>679000.0</v>
      </c>
      <c r="H4953" s="28">
        <v>918.0</v>
      </c>
      <c r="I4953" s="28">
        <v>600.0</v>
      </c>
      <c r="J4953" s="29"/>
      <c r="K4953" s="25" t="s">
        <v>25</v>
      </c>
      <c r="L4953" s="26">
        <v>4.0</v>
      </c>
      <c r="M4953" s="26">
        <v>2.0</v>
      </c>
      <c r="N4953" s="26">
        <v>0.0</v>
      </c>
      <c r="O4953" s="26">
        <v>0.0</v>
      </c>
      <c r="P4953" s="26">
        <v>740.0</v>
      </c>
      <c r="Q4953" s="35">
        <v>135.0</v>
      </c>
      <c r="R4953" s="32">
        <v>45636.0</v>
      </c>
      <c r="S4953" s="32">
        <v>42157.0</v>
      </c>
      <c r="T4953" s="29"/>
      <c r="U4953" s="33"/>
      <c r="V4953" s="1"/>
    </row>
    <row r="4954" ht="24.0" customHeight="1">
      <c r="A4954" s="1"/>
      <c r="B4954" s="24" t="str">
        <f>HYPERLINK("https://www.compass.com/listing/75-central-park-west-unit-6a-manhattan-ny-10023/1838944570818331873/view?agent_id=610d3f3370540700019b0833","75 Central Park West, Unit 6A")</f>
        <v>75 Central Park West, Unit 6A</v>
      </c>
      <c r="C4954" s="25" t="s">
        <v>364</v>
      </c>
      <c r="D4954" s="26" t="s">
        <v>23</v>
      </c>
      <c r="E4954" s="27" t="str">
        <f>HYPERLINK("https://www.compass.com/building/75-central-park-w-manhattan-ny-10023/281924470304710885/","75 Central Park W")</f>
        <v>75 Central Park W</v>
      </c>
      <c r="F4954" s="25" t="s">
        <v>29</v>
      </c>
      <c r="G4954" s="28">
        <v>1600000.0</v>
      </c>
      <c r="H4954" s="29"/>
      <c r="I4954" s="28">
        <v>2293.0</v>
      </c>
      <c r="J4954" s="29"/>
      <c r="K4954" s="25" t="s">
        <v>25</v>
      </c>
      <c r="L4954" s="26">
        <v>4.0</v>
      </c>
      <c r="M4954" s="26">
        <v>2.0</v>
      </c>
      <c r="N4954" s="26">
        <v>0.0</v>
      </c>
      <c r="O4954" s="26">
        <v>0.0</v>
      </c>
      <c r="P4954" s="30"/>
      <c r="Q4954" s="35">
        <v>650.0</v>
      </c>
      <c r="R4954" s="32">
        <v>45631.0</v>
      </c>
      <c r="S4954" s="32">
        <v>42228.0</v>
      </c>
      <c r="T4954" s="29"/>
      <c r="U4954" s="33"/>
      <c r="V4954" s="1"/>
    </row>
    <row r="4955" ht="24.0" customHeight="1">
      <c r="A4955" s="1"/>
      <c r="B4955" s="24" t="str">
        <f>HYPERLINK("https://www.compass.com/listing/175-west-95th-street-unit-11b-manhattan-ny-10025/339065508741269953/view?agent_id=610d3f3370540700019b0833","175 West 95th Street, Unit 11B")</f>
        <v>175 West 95th Street, Unit 11B</v>
      </c>
      <c r="C4955" s="25" t="s">
        <v>364</v>
      </c>
      <c r="D4955" s="26" t="s">
        <v>23</v>
      </c>
      <c r="E4955" s="27" t="str">
        <f>HYPERLINK("https://www.compass.com/building/175-w-95th-manhattan-ny/292876785429866517/","175 W 95th")</f>
        <v>175 W 95th</v>
      </c>
      <c r="F4955" s="25" t="s">
        <v>29</v>
      </c>
      <c r="G4955" s="28">
        <v>1425000.0</v>
      </c>
      <c r="H4955" s="28">
        <v>1457.0</v>
      </c>
      <c r="I4955" s="28">
        <v>1783.0</v>
      </c>
      <c r="J4955" s="28">
        <v>8880.0</v>
      </c>
      <c r="K4955" s="25" t="s">
        <v>28</v>
      </c>
      <c r="L4955" s="26">
        <v>4.0</v>
      </c>
      <c r="M4955" s="26">
        <v>2.0</v>
      </c>
      <c r="N4955" s="26">
        <v>1.0</v>
      </c>
      <c r="O4955" s="26">
        <v>0.0</v>
      </c>
      <c r="P4955" s="26">
        <v>978.0</v>
      </c>
      <c r="Q4955" s="35">
        <v>89.0</v>
      </c>
      <c r="R4955" s="32">
        <v>45636.0</v>
      </c>
      <c r="S4955" s="32">
        <v>43719.0</v>
      </c>
      <c r="T4955" s="29"/>
      <c r="U4955" s="33"/>
      <c r="V4955" s="1"/>
    </row>
    <row r="4956" ht="24.0" customHeight="1">
      <c r="A4956" s="1"/>
      <c r="B4956" s="24" t="str">
        <f>HYPERLINK("https://www.compass.com/listing/356-west-23rd-street-unit-ga-manhattan-ny-10011/919035412856831777/view?agent_id=610d3f3370540700019b0833","356 West 23rd Street, Unit GA")</f>
        <v>356 West 23rd Street, Unit GA</v>
      </c>
      <c r="C4956" s="25" t="s">
        <v>364</v>
      </c>
      <c r="D4956" s="26" t="s">
        <v>23</v>
      </c>
      <c r="E4956" s="27" t="str">
        <f>HYPERLINK("https://www.compass.com/building/356-w-23rd-st-manhattan-ny-10011/281909619079535301/","356 W 23rd St")</f>
        <v>356 W 23rd St</v>
      </c>
      <c r="F4956" s="25" t="s">
        <v>27</v>
      </c>
      <c r="G4956" s="28">
        <v>765000.0</v>
      </c>
      <c r="H4956" s="29"/>
      <c r="I4956" s="28">
        <v>799.0</v>
      </c>
      <c r="J4956" s="29"/>
      <c r="K4956" s="25" t="s">
        <v>25</v>
      </c>
      <c r="L4956" s="26">
        <v>4.0</v>
      </c>
      <c r="M4956" s="26">
        <v>2.0</v>
      </c>
      <c r="N4956" s="26">
        <v>1.0</v>
      </c>
      <c r="O4956" s="26">
        <v>0.0</v>
      </c>
      <c r="P4956" s="30"/>
      <c r="Q4956" s="35">
        <v>126.0</v>
      </c>
      <c r="R4956" s="32">
        <v>45636.0</v>
      </c>
      <c r="S4956" s="32">
        <v>41789.0</v>
      </c>
      <c r="T4956" s="29"/>
      <c r="U4956" s="33"/>
      <c r="V4956" s="1"/>
    </row>
    <row r="4957" ht="24.0" customHeight="1">
      <c r="A4957" s="1"/>
      <c r="B4957" s="24" t="str">
        <f>HYPERLINK("https://www.compass.com/listing/438-east-12th-street-unit-4b-manhattan-ny-10009/29361654701580865/view?agent_id=610d3f3370540700019b0833","438 East 12th Street, Unit 4B")</f>
        <v>438 East 12th Street, Unit 4B</v>
      </c>
      <c r="C4957" s="25" t="s">
        <v>364</v>
      </c>
      <c r="D4957" s="26" t="s">
        <v>23</v>
      </c>
      <c r="E4957" s="27" t="str">
        <f t="shared" ref="E4957:E4958" si="223">HYPERLINK("https://www.compass.com/building/steiner-east-village-manhattan-ny/281900317572873557/","Steiner East Village")</f>
        <v>Steiner East Village</v>
      </c>
      <c r="F4957" s="25" t="s">
        <v>24</v>
      </c>
      <c r="G4957" s="28">
        <v>2195000.0</v>
      </c>
      <c r="H4957" s="28">
        <v>2010.0</v>
      </c>
      <c r="I4957" s="28">
        <v>2702.0</v>
      </c>
      <c r="J4957" s="28">
        <v>18660.0</v>
      </c>
      <c r="K4957" s="25" t="s">
        <v>28</v>
      </c>
      <c r="L4957" s="26">
        <v>4.0</v>
      </c>
      <c r="M4957" s="26">
        <v>2.0</v>
      </c>
      <c r="N4957" s="26">
        <v>0.0</v>
      </c>
      <c r="O4957" s="26">
        <v>0.0</v>
      </c>
      <c r="P4957" s="34">
        <v>1092.0</v>
      </c>
      <c r="Q4957" s="35">
        <v>89.0</v>
      </c>
      <c r="R4957" s="32">
        <v>45636.0</v>
      </c>
      <c r="S4957" s="32">
        <v>42503.0</v>
      </c>
      <c r="T4957" s="29"/>
      <c r="U4957" s="33"/>
      <c r="V4957" s="1"/>
    </row>
    <row r="4958" ht="24.0" customHeight="1">
      <c r="A4958" s="1"/>
      <c r="B4958" s="24" t="str">
        <f>HYPERLINK("https://www.compass.com/listing/438-east-12th-street-unit-4q-manhattan-ny-10009/29361660263137553/view?agent_id=610d3f3370540700019b0833","438 East 12th Street, Unit 4Q")</f>
        <v>438 East 12th Street, Unit 4Q</v>
      </c>
      <c r="C4958" s="25" t="s">
        <v>364</v>
      </c>
      <c r="D4958" s="26" t="s">
        <v>23</v>
      </c>
      <c r="E4958" s="27" t="str">
        <f t="shared" si="223"/>
        <v>Steiner East Village</v>
      </c>
      <c r="F4958" s="25" t="s">
        <v>24</v>
      </c>
      <c r="G4958" s="28">
        <v>2800000.0</v>
      </c>
      <c r="H4958" s="28">
        <v>1946.0</v>
      </c>
      <c r="I4958" s="28">
        <v>3563.0</v>
      </c>
      <c r="J4958" s="28">
        <v>24600.0</v>
      </c>
      <c r="K4958" s="25" t="s">
        <v>28</v>
      </c>
      <c r="L4958" s="26">
        <v>4.0</v>
      </c>
      <c r="M4958" s="26">
        <v>2.0</v>
      </c>
      <c r="N4958" s="26">
        <v>0.0</v>
      </c>
      <c r="O4958" s="26">
        <v>0.0</v>
      </c>
      <c r="P4958" s="34">
        <v>1439.0</v>
      </c>
      <c r="Q4958" s="35">
        <v>53.0</v>
      </c>
      <c r="R4958" s="32">
        <v>44581.0</v>
      </c>
      <c r="S4958" s="32">
        <v>42473.0</v>
      </c>
      <c r="T4958" s="29"/>
      <c r="U4958" s="33"/>
      <c r="V4958" s="1"/>
    </row>
    <row r="4959" ht="24.0" customHeight="1">
      <c r="A4959" s="1"/>
      <c r="B4959" s="24" t="str">
        <f>HYPERLINK("https://www.compass.com/listing/14-horatio-street-unit-15cd-manhattan-ny-10014/803298354444241505/view?agent_id=610d3f3370540700019b0833","14 Horatio Street, Unit 15CD")</f>
        <v>14 Horatio Street, Unit 15CD</v>
      </c>
      <c r="C4959" s="25" t="s">
        <v>364</v>
      </c>
      <c r="D4959" s="26" t="s">
        <v>23</v>
      </c>
      <c r="E4959" s="27" t="str">
        <f>HYPERLINK("https://www.compass.com/building/14-horatio-st-manhattan-ny-10014/292834290545254549/","14 Horatio St")</f>
        <v>14 Horatio St</v>
      </c>
      <c r="F4959" s="25" t="s">
        <v>26</v>
      </c>
      <c r="G4959" s="28">
        <v>2800000.0</v>
      </c>
      <c r="H4959" s="28">
        <v>2000.0</v>
      </c>
      <c r="I4959" s="28">
        <v>2477.0</v>
      </c>
      <c r="J4959" s="29"/>
      <c r="K4959" s="25" t="s">
        <v>25</v>
      </c>
      <c r="L4959" s="26">
        <v>5.0</v>
      </c>
      <c r="M4959" s="26">
        <v>2.0</v>
      </c>
      <c r="N4959" s="26">
        <v>0.0</v>
      </c>
      <c r="O4959" s="26">
        <v>0.0</v>
      </c>
      <c r="P4959" s="34">
        <v>1400.0</v>
      </c>
      <c r="Q4959" s="35">
        <v>292.0</v>
      </c>
      <c r="R4959" s="32">
        <v>45636.0</v>
      </c>
      <c r="S4959" s="32">
        <v>42207.0</v>
      </c>
      <c r="T4959" s="29"/>
      <c r="U4959" s="33"/>
      <c r="V4959" s="1"/>
    </row>
    <row r="4960" ht="24.0" customHeight="1">
      <c r="A4960" s="1"/>
      <c r="B4960" s="24" t="str">
        <f>HYPERLINK("https://www.compass.com/listing/240-west-98th-street-unit-4k-manhattan-ny-10025/29430359598831809/view?agent_id=610d3f3370540700019b0833","240 West 98th Street, Unit 4K")</f>
        <v>240 West 98th Street, Unit 4K</v>
      </c>
      <c r="C4960" s="25" t="s">
        <v>370</v>
      </c>
      <c r="D4960" s="26" t="s">
        <v>23</v>
      </c>
      <c r="E4960" s="27" t="str">
        <f>HYPERLINK("https://www.compass.com/building/the-sabrina-manhattan-ny/281969809078439653/","The Sabrina")</f>
        <v>The Sabrina</v>
      </c>
      <c r="F4960" s="25" t="s">
        <v>29</v>
      </c>
      <c r="G4960" s="28">
        <v>2200000.0</v>
      </c>
      <c r="H4960" s="28">
        <v>1496.0</v>
      </c>
      <c r="I4960" s="28">
        <v>2471.0</v>
      </c>
      <c r="J4960" s="28">
        <v>13476.0</v>
      </c>
      <c r="K4960" s="25" t="s">
        <v>28</v>
      </c>
      <c r="L4960" s="26">
        <v>5.0</v>
      </c>
      <c r="M4960" s="26">
        <v>2.0</v>
      </c>
      <c r="N4960" s="26">
        <v>0.0</v>
      </c>
      <c r="O4960" s="26">
        <v>0.0</v>
      </c>
      <c r="P4960" s="34">
        <v>1471.0</v>
      </c>
      <c r="Q4960" s="35">
        <v>202.0</v>
      </c>
      <c r="R4960" s="32">
        <v>45636.0</v>
      </c>
      <c r="S4960" s="32">
        <v>42873.0</v>
      </c>
      <c r="T4960" s="29"/>
      <c r="U4960" s="33"/>
      <c r="V4960" s="1"/>
    </row>
    <row r="4961" ht="24.0" customHeight="1">
      <c r="A4961" s="1"/>
      <c r="B4961" s="24" t="str">
        <f>HYPERLINK("https://www.compass.com/listing/201-east-15th-street-unit-2g-manhattan-ny-10003/29379867602661985/view?agent_id=610d3f3370540700019b0833","201 East 15th Street, Unit 2G")</f>
        <v>201 East 15th Street, Unit 2G</v>
      </c>
      <c r="C4961" s="25" t="s">
        <v>364</v>
      </c>
      <c r="D4961" s="26" t="s">
        <v>23</v>
      </c>
      <c r="E4961" s="27" t="str">
        <f>HYPERLINK("https://www.compass.com/building/201-e-15th-st-manhattan-ny-10003/282064252204780933/","201 E 15th St")</f>
        <v>201 E 15th St</v>
      </c>
      <c r="F4961" s="25" t="s">
        <v>48</v>
      </c>
      <c r="G4961" s="28">
        <v>850000.0</v>
      </c>
      <c r="H4961" s="29"/>
      <c r="I4961" s="28">
        <v>1624.0</v>
      </c>
      <c r="J4961" s="29"/>
      <c r="K4961" s="25" t="s">
        <v>25</v>
      </c>
      <c r="L4961" s="26">
        <v>4.0</v>
      </c>
      <c r="M4961" s="26">
        <v>2.0</v>
      </c>
      <c r="N4961" s="26">
        <v>0.0</v>
      </c>
      <c r="O4961" s="26">
        <v>0.0</v>
      </c>
      <c r="P4961" s="30"/>
      <c r="Q4961" s="35">
        <v>28.0</v>
      </c>
      <c r="R4961" s="32">
        <v>45636.0</v>
      </c>
      <c r="S4961" s="32">
        <v>41486.0</v>
      </c>
      <c r="T4961" s="29"/>
      <c r="U4961" s="33"/>
      <c r="V4961" s="1"/>
    </row>
    <row r="4962" ht="24.0" customHeight="1">
      <c r="A4962" s="1"/>
      <c r="B4962" s="24" t="str">
        <f>HYPERLINK("https://www.compass.com/listing/148-west-23rd-street-unit-11a-manhattan-ny-10011/1248233932668030841/view?agent_id=610d3f3370540700019b0833","148 W 23rd St, Unit 11A")</f>
        <v>148 W 23rd St, Unit 11A</v>
      </c>
      <c r="C4962" s="25" t="s">
        <v>364</v>
      </c>
      <c r="D4962" s="26" t="s">
        <v>23</v>
      </c>
      <c r="E4962" s="27" t="str">
        <f>HYPERLINK("https://www.compass.com/building/chelsea-mews-manhattan-ny/281905569537739077/","Chelsea Mews")</f>
        <v>Chelsea Mews</v>
      </c>
      <c r="F4962" s="25" t="s">
        <v>27</v>
      </c>
      <c r="G4962" s="28">
        <v>950000.0</v>
      </c>
      <c r="H4962" s="28">
        <v>950.0</v>
      </c>
      <c r="I4962" s="28">
        <v>2352.0</v>
      </c>
      <c r="J4962" s="29"/>
      <c r="K4962" s="25" t="s">
        <v>25</v>
      </c>
      <c r="L4962" s="26">
        <v>4.0</v>
      </c>
      <c r="M4962" s="26">
        <v>2.0</v>
      </c>
      <c r="N4962" s="30"/>
      <c r="O4962" s="30"/>
      <c r="P4962" s="34">
        <v>1000.0</v>
      </c>
      <c r="Q4962" s="31"/>
      <c r="R4962" s="32">
        <v>42477.0</v>
      </c>
      <c r="S4962" s="33"/>
      <c r="T4962" s="29"/>
      <c r="U4962" s="33"/>
      <c r="V4962" s="1"/>
    </row>
    <row r="4963" ht="24.0" customHeight="1">
      <c r="A4963" s="1"/>
      <c r="B4963" s="24" t="str">
        <f>HYPERLINK("https://www.compass.com/listing/210-east-21st-street-unit-3b-manhattan-ny-10010/102177277072209457/view?agent_id=610d3f3370540700019b0833","210 East 21st Street, Unit 3B")</f>
        <v>210 East 21st Street, Unit 3B</v>
      </c>
      <c r="C4963" s="25" t="s">
        <v>364</v>
      </c>
      <c r="D4963" s="26" t="s">
        <v>23</v>
      </c>
      <c r="E4963" s="27" t="str">
        <f>HYPERLINK("https://www.compass.com/building/210-e-21st-st-manhattan-ny-10010/281902119395542485/","210 E 21st St")</f>
        <v>210 E 21st St</v>
      </c>
      <c r="F4963" s="25" t="s">
        <v>48</v>
      </c>
      <c r="G4963" s="28">
        <v>995000.0</v>
      </c>
      <c r="H4963" s="29"/>
      <c r="I4963" s="28">
        <v>981.0</v>
      </c>
      <c r="J4963" s="29"/>
      <c r="K4963" s="25" t="s">
        <v>25</v>
      </c>
      <c r="L4963" s="26">
        <v>4.0</v>
      </c>
      <c r="M4963" s="26">
        <v>2.0</v>
      </c>
      <c r="N4963" s="26">
        <v>0.0</v>
      </c>
      <c r="O4963" s="26">
        <v>0.0</v>
      </c>
      <c r="P4963" s="30"/>
      <c r="Q4963" s="35">
        <v>77.0</v>
      </c>
      <c r="R4963" s="32">
        <v>45636.0</v>
      </c>
      <c r="S4963" s="32">
        <v>43005.0</v>
      </c>
      <c r="T4963" s="29"/>
      <c r="U4963" s="33"/>
      <c r="V4963" s="1"/>
    </row>
    <row r="4964" ht="24.0" customHeight="1">
      <c r="A4964" s="1"/>
      <c r="B4964" s="24" t="str">
        <f>HYPERLINK("https://www.compass.com/listing/242-lafayette-street-unit-4s-manhattan-ny-10012/1556567074141697873/view?agent_id=610d3f3370540700019b0833","242 Lafayette Street, Unit 4S")</f>
        <v>242 Lafayette Street, Unit 4S</v>
      </c>
      <c r="C4964" s="25" t="s">
        <v>364</v>
      </c>
      <c r="D4964" s="26" t="s">
        <v>23</v>
      </c>
      <c r="E4964" s="27" t="str">
        <f>HYPERLINK("https://www.compass.com/building/242-lafayette-st-manhattan-ny-10012/281914462938624197/","242 Lafayette St")</f>
        <v>242 Lafayette St</v>
      </c>
      <c r="F4964" s="25" t="s">
        <v>53</v>
      </c>
      <c r="G4964" s="28">
        <v>2500000.0</v>
      </c>
      <c r="H4964" s="28">
        <v>1852.0</v>
      </c>
      <c r="I4964" s="28">
        <v>3125.0</v>
      </c>
      <c r="J4964" s="28">
        <v>0.0</v>
      </c>
      <c r="K4964" s="25" t="s">
        <v>132</v>
      </c>
      <c r="L4964" s="26">
        <v>5.0</v>
      </c>
      <c r="M4964" s="26">
        <v>2.0</v>
      </c>
      <c r="N4964" s="26">
        <v>1.0</v>
      </c>
      <c r="O4964" s="26">
        <v>0.0</v>
      </c>
      <c r="P4964" s="34">
        <v>1350.0</v>
      </c>
      <c r="Q4964" s="35">
        <v>205.0</v>
      </c>
      <c r="R4964" s="32">
        <v>45780.0</v>
      </c>
      <c r="S4964" s="32">
        <v>45399.0</v>
      </c>
      <c r="T4964" s="29"/>
      <c r="U4964" s="33"/>
      <c r="V4964" s="1"/>
    </row>
    <row r="4965" ht="24.0" customHeight="1">
      <c r="A4965" s="1"/>
      <c r="B4965" s="24" t="str">
        <f>HYPERLINK("https://www.compass.com/listing/300-west-110th-street-unit-6a-manhattan-ny-10025/1821751099208494457/view?agent_id=610d3f3370540700019b0833","300 West 110th Street, Unit 6A")</f>
        <v>300 West 110th Street, Unit 6A</v>
      </c>
      <c r="C4965" s="25" t="s">
        <v>364</v>
      </c>
      <c r="D4965" s="26" t="s">
        <v>23</v>
      </c>
      <c r="E4965" s="27" t="str">
        <f>HYPERLINK("https://www.compass.com/building/towers-on-the-park-manhattan-ny/294836437610438469/","Towers on the Park")</f>
        <v>Towers on the Park</v>
      </c>
      <c r="F4965" s="25" t="s">
        <v>29</v>
      </c>
      <c r="G4965" s="28">
        <v>995000.0</v>
      </c>
      <c r="H4965" s="28">
        <v>1301.0</v>
      </c>
      <c r="I4965" s="28">
        <v>1600.0</v>
      </c>
      <c r="J4965" s="28">
        <v>12000.0</v>
      </c>
      <c r="K4965" s="25" t="s">
        <v>28</v>
      </c>
      <c r="L4965" s="26">
        <v>3.0</v>
      </c>
      <c r="M4965" s="26">
        <v>2.0</v>
      </c>
      <c r="N4965" s="26">
        <v>1.0</v>
      </c>
      <c r="O4965" s="26">
        <v>0.0</v>
      </c>
      <c r="P4965" s="26">
        <v>765.0</v>
      </c>
      <c r="Q4965" s="35">
        <v>119.0</v>
      </c>
      <c r="R4965" s="32">
        <v>45636.0</v>
      </c>
      <c r="S4965" s="32">
        <v>44988.0</v>
      </c>
      <c r="T4965" s="29"/>
      <c r="U4965" s="33"/>
      <c r="V4965" s="1"/>
    </row>
    <row r="4966" ht="24.0" customHeight="1">
      <c r="A4966" s="1"/>
      <c r="B4966" s="24" t="str">
        <f>HYPERLINK("https://www.compass.com/listing/101-warren-street-unit-1950-manhattan-ny-10007/50865897337826353/view?agent_id=610d3f3370540700019b0833","101 Warren Street, Unit 1950")</f>
        <v>101 Warren Street, Unit 1950</v>
      </c>
      <c r="C4966" s="25" t="s">
        <v>370</v>
      </c>
      <c r="D4966" s="26" t="s">
        <v>23</v>
      </c>
      <c r="E4966" s="27" t="str">
        <f>HYPERLINK("https://www.compass.com/building/99-101-warren-manhattan-ny/307460833541810581/","99-101 Warren")</f>
        <v>99-101 Warren</v>
      </c>
      <c r="F4966" s="25" t="s">
        <v>60</v>
      </c>
      <c r="G4966" s="28">
        <v>4950000.0</v>
      </c>
      <c r="H4966" s="28">
        <v>2809.0</v>
      </c>
      <c r="I4966" s="28">
        <v>3412.0</v>
      </c>
      <c r="J4966" s="28">
        <v>16224.0</v>
      </c>
      <c r="K4966" s="25" t="s">
        <v>209</v>
      </c>
      <c r="L4966" s="26">
        <v>4.0</v>
      </c>
      <c r="M4966" s="26">
        <v>2.0</v>
      </c>
      <c r="N4966" s="26">
        <v>0.0</v>
      </c>
      <c r="O4966" s="26">
        <v>0.0</v>
      </c>
      <c r="P4966" s="34">
        <v>1762.0</v>
      </c>
      <c r="Q4966" s="35">
        <v>36.0</v>
      </c>
      <c r="R4966" s="32">
        <v>45636.0</v>
      </c>
      <c r="S4966" s="32">
        <v>42452.0</v>
      </c>
      <c r="T4966" s="29"/>
      <c r="U4966" s="33"/>
      <c r="V4966" s="1"/>
    </row>
    <row r="4967" ht="24.0" customHeight="1">
      <c r="A4967" s="1"/>
      <c r="B4967" s="24" t="str">
        <f>HYPERLINK("https://www.compass.com/listing/450-west-17th-street-unit-1603-manhattan-ny-10011/624692318366476673/view?agent_id=610d3f3370540700019b0833","450 West 17th Street, Unit 1603")</f>
        <v>450 West 17th Street, Unit 1603</v>
      </c>
      <c r="C4967" s="25" t="s">
        <v>364</v>
      </c>
      <c r="D4967" s="26" t="s">
        <v>23</v>
      </c>
      <c r="E4967" s="27" t="str">
        <f>HYPERLINK("https://www.compass.com/building/the-caledonia-manhattan-ny/281910674349645621/","The Caledonia")</f>
        <v>The Caledonia</v>
      </c>
      <c r="F4967" s="25" t="s">
        <v>27</v>
      </c>
      <c r="G4967" s="28">
        <v>1995000.0</v>
      </c>
      <c r="H4967" s="28">
        <v>1922.0</v>
      </c>
      <c r="I4967" s="28">
        <v>1572.0</v>
      </c>
      <c r="J4967" s="28">
        <v>5556.0</v>
      </c>
      <c r="K4967" s="25" t="s">
        <v>28</v>
      </c>
      <c r="L4967" s="26">
        <v>4.0</v>
      </c>
      <c r="M4967" s="26">
        <v>2.0</v>
      </c>
      <c r="N4967" s="26">
        <v>0.0</v>
      </c>
      <c r="O4967" s="26">
        <v>0.0</v>
      </c>
      <c r="P4967" s="34">
        <v>1038.0</v>
      </c>
      <c r="Q4967" s="35">
        <v>144.0</v>
      </c>
      <c r="R4967" s="32">
        <v>45636.0</v>
      </c>
      <c r="S4967" s="32">
        <v>42403.0</v>
      </c>
      <c r="T4967" s="29"/>
      <c r="U4967" s="33"/>
      <c r="V4967" s="1"/>
    </row>
    <row r="4968" ht="24.0" customHeight="1">
      <c r="A4968" s="1"/>
      <c r="B4968" s="24" t="str">
        <f>HYPERLINK("https://www.compass.com/listing/327-east-3rd-street-unit-3b-manhattan-ny-10009/4848425695992353825/view?agent_id=610d3f3370540700019b0833","327 E 3rd St, Unit 3B")</f>
        <v>327 E 3rd St, Unit 3B</v>
      </c>
      <c r="C4968" s="25" t="s">
        <v>364</v>
      </c>
      <c r="D4968" s="26" t="s">
        <v>23</v>
      </c>
      <c r="E4968" s="27" t="str">
        <f>HYPERLINK("https://www.compass.com/building/327-e-3rd-st-manhattan-ny-10009/281899616352350661/","327 E 3rd St")</f>
        <v>327 E 3rd St</v>
      </c>
      <c r="F4968" s="25" t="s">
        <v>24</v>
      </c>
      <c r="G4968" s="28">
        <v>499000.0</v>
      </c>
      <c r="H4968" s="28">
        <v>768.0</v>
      </c>
      <c r="I4968" s="28">
        <v>229.0</v>
      </c>
      <c r="J4968" s="29"/>
      <c r="K4968" s="25" t="s">
        <v>25</v>
      </c>
      <c r="L4968" s="26">
        <v>3.0</v>
      </c>
      <c r="M4968" s="26">
        <v>2.0</v>
      </c>
      <c r="N4968" s="30"/>
      <c r="O4968" s="30"/>
      <c r="P4968" s="26">
        <v>650.0</v>
      </c>
      <c r="Q4968" s="35">
        <v>170.0</v>
      </c>
      <c r="R4968" s="32">
        <v>42477.0</v>
      </c>
      <c r="S4968" s="32">
        <v>40911.0</v>
      </c>
      <c r="T4968" s="29"/>
      <c r="U4968" s="33"/>
      <c r="V4968" s="1"/>
    </row>
    <row r="4969" ht="24.0" customHeight="1">
      <c r="A4969" s="1"/>
      <c r="B4969" s="24" t="str">
        <f>HYPERLINK("https://www.compass.com/listing/50-54-east-8th-street-unit-4e-manhattan-ny-10003/4703677563929642177/view?agent_id=610d3f3370540700019b0833","50-54 E 8th St, Unit 4E")</f>
        <v>50-54 E 8th St, Unit 4E</v>
      </c>
      <c r="C4969" s="25" t="s">
        <v>364</v>
      </c>
      <c r="D4969" s="26" t="s">
        <v>23</v>
      </c>
      <c r="E4969" s="27" t="str">
        <f>HYPERLINK("https://www.compass.com/building/50-54-e-8th-st-manhattan-ny-10003/436383059332391421/","50-54 E 8th St")</f>
        <v>50-54 E 8th St</v>
      </c>
      <c r="F4969" s="25" t="s">
        <v>43</v>
      </c>
      <c r="G4969" s="28">
        <v>750000.0</v>
      </c>
      <c r="H4969" s="28">
        <v>750.0</v>
      </c>
      <c r="I4969" s="28">
        <v>1519.0</v>
      </c>
      <c r="J4969" s="29"/>
      <c r="K4969" s="25" t="s">
        <v>25</v>
      </c>
      <c r="L4969" s="26">
        <v>4.0</v>
      </c>
      <c r="M4969" s="26">
        <v>2.0</v>
      </c>
      <c r="N4969" s="30"/>
      <c r="O4969" s="30"/>
      <c r="P4969" s="34">
        <v>1000.0</v>
      </c>
      <c r="Q4969" s="35">
        <v>15.0</v>
      </c>
      <c r="R4969" s="32">
        <v>42477.0</v>
      </c>
      <c r="S4969" s="32">
        <v>40114.0</v>
      </c>
      <c r="T4969" s="29"/>
      <c r="U4969" s="33"/>
      <c r="V4969" s="1"/>
    </row>
    <row r="4970" ht="24.0" customHeight="1">
      <c r="A4970" s="1"/>
      <c r="B4970" s="24" t="str">
        <f>HYPERLINK("https://www.compass.com/listing/225-west-17th-street-unit-4a-manhattan-ny-10011/4852323564201714049/view?agent_id=610d3f3370540700019b0833","225 West 17th Street, Unit 4A")</f>
        <v>225 West 17th Street, Unit 4A</v>
      </c>
      <c r="C4970" s="25" t="s">
        <v>364</v>
      </c>
      <c r="D4970" s="26" t="s">
        <v>23</v>
      </c>
      <c r="E4970" s="27" t="str">
        <f>HYPERLINK("https://www.compass.com/building/225-west-17th-street-manhattan-ny/292802090781141541/","225 West 17th Street")</f>
        <v>225 West 17th Street</v>
      </c>
      <c r="F4970" s="25" t="s">
        <v>27</v>
      </c>
      <c r="G4970" s="28">
        <v>4350000.0</v>
      </c>
      <c r="H4970" s="28">
        <v>2227.0</v>
      </c>
      <c r="I4970" s="28">
        <v>5143.0</v>
      </c>
      <c r="J4970" s="28">
        <v>27132.0</v>
      </c>
      <c r="K4970" s="25" t="s">
        <v>28</v>
      </c>
      <c r="L4970" s="26">
        <v>4.0</v>
      </c>
      <c r="M4970" s="26">
        <v>2.0</v>
      </c>
      <c r="N4970" s="26">
        <v>0.0</v>
      </c>
      <c r="O4970" s="26">
        <v>0.0</v>
      </c>
      <c r="P4970" s="34">
        <v>1953.0</v>
      </c>
      <c r="Q4970" s="35">
        <v>68.0</v>
      </c>
      <c r="R4970" s="32">
        <v>44581.0</v>
      </c>
      <c r="S4970" s="32">
        <v>42193.0</v>
      </c>
      <c r="T4970" s="29"/>
      <c r="U4970" s="33"/>
      <c r="V4970" s="1"/>
    </row>
    <row r="4971" ht="24.0" customHeight="1">
      <c r="A4971" s="1"/>
      <c r="B4971" s="24" t="str">
        <f>HYPERLINK("https://www.compass.com/listing/410-west-24th-street-unit-11l-manhattan-ny-10011/4852288451854214849/view?agent_id=610d3f3370540700019b0833","410 W 24th St, Unit 11L")</f>
        <v>410 W 24th St, Unit 11L</v>
      </c>
      <c r="C4971" s="25" t="s">
        <v>364</v>
      </c>
      <c r="D4971" s="26" t="s">
        <v>23</v>
      </c>
      <c r="E4971" s="27" t="str">
        <f>HYPERLINK("https://www.compass.com/building/london-terrace-towers-manhattan-ny/282058990777564581/","London Terrace Towers")</f>
        <v>London Terrace Towers</v>
      </c>
      <c r="F4971" s="25" t="s">
        <v>27</v>
      </c>
      <c r="G4971" s="28">
        <v>1295000.0</v>
      </c>
      <c r="H4971" s="28">
        <v>1233.0</v>
      </c>
      <c r="I4971" s="28">
        <v>2436.0</v>
      </c>
      <c r="J4971" s="29"/>
      <c r="K4971" s="25" t="s">
        <v>25</v>
      </c>
      <c r="L4971" s="26">
        <v>4.0</v>
      </c>
      <c r="M4971" s="26">
        <v>2.0</v>
      </c>
      <c r="N4971" s="30"/>
      <c r="O4971" s="30"/>
      <c r="P4971" s="34">
        <v>1050.0</v>
      </c>
      <c r="Q4971" s="35">
        <v>21.0</v>
      </c>
      <c r="R4971" s="32">
        <v>42476.0</v>
      </c>
      <c r="S4971" s="32">
        <v>38495.0</v>
      </c>
      <c r="T4971" s="29"/>
      <c r="U4971" s="33"/>
      <c r="V4971" s="1"/>
    </row>
    <row r="4972" ht="24.0" customHeight="1">
      <c r="A4972" s="1"/>
      <c r="B4972" s="24" t="str">
        <f>HYPERLINK("https://www.compass.com/listing/280-park-avenue-south-unit-18l-manhattan-ny-10010/29375627698207649/view?agent_id=610d3f3370540700019b0833","280 Park Avenue South, Unit 18L")</f>
        <v>280 Park Avenue South, Unit 18L</v>
      </c>
      <c r="C4972" s="25" t="s">
        <v>364</v>
      </c>
      <c r="D4972" s="26" t="s">
        <v>23</v>
      </c>
      <c r="E4972" s="27" t="str">
        <f>HYPERLINK("https://www.compass.com/building/the-gramercy-place-condo-manhattan-ny/294845589128497029/","The Gramercy Place Condo")</f>
        <v>The Gramercy Place Condo</v>
      </c>
      <c r="F4972" s="25" t="s">
        <v>115</v>
      </c>
      <c r="G4972" s="28">
        <v>2149000.0</v>
      </c>
      <c r="H4972" s="28">
        <v>1931.0</v>
      </c>
      <c r="I4972" s="28">
        <v>2669.0</v>
      </c>
      <c r="J4972" s="28">
        <v>19080.0</v>
      </c>
      <c r="K4972" s="25" t="s">
        <v>28</v>
      </c>
      <c r="L4972" s="26">
        <v>4.0</v>
      </c>
      <c r="M4972" s="26">
        <v>2.0</v>
      </c>
      <c r="N4972" s="26">
        <v>0.0</v>
      </c>
      <c r="O4972" s="26">
        <v>0.0</v>
      </c>
      <c r="P4972" s="34">
        <v>1113.0</v>
      </c>
      <c r="Q4972" s="35">
        <v>320.0</v>
      </c>
      <c r="R4972" s="32">
        <v>45636.0</v>
      </c>
      <c r="S4972" s="32">
        <v>41753.0</v>
      </c>
      <c r="T4972" s="29"/>
      <c r="U4972" s="33"/>
      <c r="V4972" s="1"/>
    </row>
    <row r="4973" ht="24.0" customHeight="1">
      <c r="A4973" s="1"/>
      <c r="B4973" s="24" t="str">
        <f>HYPERLINK("https://www.compass.com/listing/234-west-21st-street-unit-55-manhattan-ny-10011/1060983075761252457/view?agent_id=610d3f3370540700019b0833","234 West 21st Street, Unit 55")</f>
        <v>234 West 21st Street, Unit 55</v>
      </c>
      <c r="C4973" s="25" t="s">
        <v>364</v>
      </c>
      <c r="D4973" s="26" t="s">
        <v>23</v>
      </c>
      <c r="E4973" s="27" t="str">
        <f>HYPERLINK("https://www.compass.com/building/234-west-21st-street-manhattan-ny/281907472074035573/","234 West 21st Street")</f>
        <v>234 West 21st Street</v>
      </c>
      <c r="F4973" s="25" t="s">
        <v>27</v>
      </c>
      <c r="G4973" s="28">
        <v>1250000.0</v>
      </c>
      <c r="H4973" s="29"/>
      <c r="I4973" s="28">
        <v>1144.0</v>
      </c>
      <c r="J4973" s="28">
        <v>0.0</v>
      </c>
      <c r="K4973" s="25" t="s">
        <v>25</v>
      </c>
      <c r="L4973" s="26">
        <v>4.0</v>
      </c>
      <c r="M4973" s="26">
        <v>2.0</v>
      </c>
      <c r="N4973" s="26">
        <v>1.0</v>
      </c>
      <c r="O4973" s="30"/>
      <c r="P4973" s="30"/>
      <c r="Q4973" s="35">
        <v>164.0</v>
      </c>
      <c r="R4973" s="32">
        <v>44881.0</v>
      </c>
      <c r="S4973" s="32">
        <v>44715.0</v>
      </c>
      <c r="T4973" s="29"/>
      <c r="U4973" s="33"/>
      <c r="V4973" s="1"/>
    </row>
    <row r="4974" ht="24.0" customHeight="1">
      <c r="A4974" s="1"/>
      <c r="B4974" s="24" t="str">
        <f>HYPERLINK("https://www.compass.com/listing/121-west-20th-street-unit-2c-manhattan-ny-10011/803322809602205905/view?agent_id=610d3f3370540700019b0833","121 West 20th Street, Unit 2C")</f>
        <v>121 West 20th Street, Unit 2C</v>
      </c>
      <c r="C4974" s="25" t="s">
        <v>370</v>
      </c>
      <c r="D4974" s="26" t="s">
        <v>23</v>
      </c>
      <c r="E4974" s="27" t="str">
        <f>HYPERLINK("https://www.compass.com/building/121-w-20th-st-manhattan-ny-10011/281904745642215397/","121 W 20th St")</f>
        <v>121 W 20th St</v>
      </c>
      <c r="F4974" s="25" t="s">
        <v>27</v>
      </c>
      <c r="G4974" s="28">
        <v>2995000.0</v>
      </c>
      <c r="H4974" s="28">
        <v>1762.0</v>
      </c>
      <c r="I4974" s="28">
        <v>2432.0</v>
      </c>
      <c r="J4974" s="28">
        <v>14532.0</v>
      </c>
      <c r="K4974" s="25" t="s">
        <v>28</v>
      </c>
      <c r="L4974" s="26">
        <v>6.0</v>
      </c>
      <c r="M4974" s="26">
        <v>2.0</v>
      </c>
      <c r="N4974" s="26">
        <v>0.0</v>
      </c>
      <c r="O4974" s="26">
        <v>0.0</v>
      </c>
      <c r="P4974" s="34">
        <v>1700.0</v>
      </c>
      <c r="Q4974" s="35">
        <v>56.0</v>
      </c>
      <c r="R4974" s="32">
        <v>45636.0</v>
      </c>
      <c r="S4974" s="32">
        <v>42507.0</v>
      </c>
      <c r="T4974" s="29"/>
      <c r="U4974" s="33"/>
      <c r="V4974" s="1"/>
    </row>
    <row r="4975" ht="24.0" customHeight="1">
      <c r="A4975" s="1"/>
      <c r="B4975" s="24" t="str">
        <f>HYPERLINK("https://www.compass.com/listing/559-warren-street-unit-3r-brooklyn-ny-11217/923844183223189569/view?agent_id=610d3f3370540700019b0833","559 Warren Street, Unit 3R")</f>
        <v>559 Warren Street, Unit 3R</v>
      </c>
      <c r="C4975" s="25" t="s">
        <v>364</v>
      </c>
      <c r="D4975" s="26" t="s">
        <v>23</v>
      </c>
      <c r="E4975" s="27" t="str">
        <f>HYPERLINK("https://www.compass.com/building/559-warren-st-brooklyn-ny-11217/282500730747694901/","559 Warren St")</f>
        <v>559 Warren St</v>
      </c>
      <c r="F4975" s="25" t="s">
        <v>102</v>
      </c>
      <c r="G4975" s="28">
        <v>799000.0</v>
      </c>
      <c r="H4975" s="28">
        <v>999.0</v>
      </c>
      <c r="I4975" s="28">
        <v>640.0</v>
      </c>
      <c r="J4975" s="29"/>
      <c r="K4975" s="25" t="s">
        <v>25</v>
      </c>
      <c r="L4975" s="26">
        <v>4.0</v>
      </c>
      <c r="M4975" s="26">
        <v>2.0</v>
      </c>
      <c r="N4975" s="26">
        <v>1.0</v>
      </c>
      <c r="O4975" s="26">
        <v>0.0</v>
      </c>
      <c r="P4975" s="26">
        <v>800.0</v>
      </c>
      <c r="Q4975" s="35">
        <v>59.0</v>
      </c>
      <c r="R4975" s="32">
        <v>45636.0</v>
      </c>
      <c r="S4975" s="32">
        <v>44103.0</v>
      </c>
      <c r="T4975" s="29"/>
      <c r="U4975" s="33"/>
      <c r="V4975" s="1"/>
    </row>
    <row r="4976" ht="24.0" customHeight="1">
      <c r="A4976" s="1"/>
      <c r="B4976" s="24" t="str">
        <f>HYPERLINK("https://www.compass.com/listing/368-west-23rd-street-unit-2f-manhattan-ny-10011/1348727031739479393/view?agent_id=610d3f3370540700019b0833","368 West 23rd Street, Unit 2F")</f>
        <v>368 West 23rd Street, Unit 2F</v>
      </c>
      <c r="C4976" s="25" t="s">
        <v>364</v>
      </c>
      <c r="D4976" s="26" t="s">
        <v>23</v>
      </c>
      <c r="E4976" s="27" t="str">
        <f>HYPERLINK("https://www.compass.com/building/368-w-23rd-st-manhattan-ny-10011/281909835631451013/","368 W 23rd St")</f>
        <v>368 W 23rd St</v>
      </c>
      <c r="F4976" s="25" t="s">
        <v>27</v>
      </c>
      <c r="G4976" s="28">
        <v>1025000.0</v>
      </c>
      <c r="H4976" s="28">
        <v>1464.0</v>
      </c>
      <c r="I4976" s="28">
        <v>688.0</v>
      </c>
      <c r="J4976" s="28">
        <v>0.0</v>
      </c>
      <c r="K4976" s="25" t="s">
        <v>25</v>
      </c>
      <c r="L4976" s="26">
        <v>4.0</v>
      </c>
      <c r="M4976" s="26">
        <v>2.0</v>
      </c>
      <c r="N4976" s="26">
        <v>1.0</v>
      </c>
      <c r="O4976" s="26">
        <v>0.0</v>
      </c>
      <c r="P4976" s="26">
        <v>700.0</v>
      </c>
      <c r="Q4976" s="35">
        <v>184.0</v>
      </c>
      <c r="R4976" s="32">
        <v>45636.0</v>
      </c>
      <c r="S4976" s="32">
        <v>45112.0</v>
      </c>
      <c r="T4976" s="29"/>
      <c r="U4976" s="33"/>
      <c r="V4976" s="1"/>
    </row>
    <row r="4977" ht="24.0" customHeight="1">
      <c r="A4977" s="1"/>
      <c r="B4977" s="24" t="str">
        <f>HYPERLINK("https://www.compass.com/listing/115-4th-avenue-unit-7j-manhattan-ny-10003/29364582359346209/view?agent_id=610d3f3370540700019b0833","115 4th Avenue, Unit 7J")</f>
        <v>115 4th Avenue, Unit 7J</v>
      </c>
      <c r="C4977" s="25" t="s">
        <v>370</v>
      </c>
      <c r="D4977" s="26" t="s">
        <v>23</v>
      </c>
      <c r="E4977" s="27" t="str">
        <f>HYPERLINK("https://www.compass.com/building/the-petersfield-manhattan-ny/281889031103448549/","THE PETERSFIELD")</f>
        <v>THE PETERSFIELD</v>
      </c>
      <c r="F4977" s="25" t="s">
        <v>43</v>
      </c>
      <c r="G4977" s="28">
        <v>2650000.0</v>
      </c>
      <c r="H4977" s="28">
        <v>2208.0</v>
      </c>
      <c r="I4977" s="28">
        <v>3116.0</v>
      </c>
      <c r="J4977" s="28">
        <v>16104.0</v>
      </c>
      <c r="K4977" s="25" t="s">
        <v>28</v>
      </c>
      <c r="L4977" s="26">
        <v>4.0</v>
      </c>
      <c r="M4977" s="26">
        <v>2.0</v>
      </c>
      <c r="N4977" s="26">
        <v>0.0</v>
      </c>
      <c r="O4977" s="26">
        <v>0.0</v>
      </c>
      <c r="P4977" s="34">
        <v>1200.0</v>
      </c>
      <c r="Q4977" s="35">
        <v>70.0</v>
      </c>
      <c r="R4977" s="32">
        <v>45636.0</v>
      </c>
      <c r="S4977" s="32">
        <v>43164.0</v>
      </c>
      <c r="T4977" s="29"/>
      <c r="U4977" s="33"/>
      <c r="V4977" s="1"/>
    </row>
    <row r="4978" ht="24.0" customHeight="1">
      <c r="A4978" s="1"/>
      <c r="B4978" s="24" t="str">
        <f>HYPERLINK("https://www.compass.com/listing/401-east-86th-street-unit-2c-manhattan-ny-10028/1850036741263631785/view?agent_id=610d3f3370540700019b0833","401 East 86th Street, Unit 2C")</f>
        <v>401 East 86th Street, Unit 2C</v>
      </c>
      <c r="C4978" s="25" t="s">
        <v>365</v>
      </c>
      <c r="D4978" s="26" t="s">
        <v>23</v>
      </c>
      <c r="E4978" s="27" t="str">
        <f>HYPERLINK("https://www.compass.com/building/fairmont-manor-manhattan-ny/292892315696084149/","Fairmont Manor")</f>
        <v>Fairmont Manor</v>
      </c>
      <c r="F4978" s="25" t="s">
        <v>44</v>
      </c>
      <c r="G4978" s="28">
        <v>695000.0</v>
      </c>
      <c r="H4978" s="28">
        <v>772.0</v>
      </c>
      <c r="I4978" s="28">
        <v>1512.0</v>
      </c>
      <c r="J4978" s="28">
        <v>0.0</v>
      </c>
      <c r="K4978" s="25" t="s">
        <v>25</v>
      </c>
      <c r="L4978" s="26">
        <v>4.0</v>
      </c>
      <c r="M4978" s="26">
        <v>2.0</v>
      </c>
      <c r="N4978" s="26">
        <v>1.0</v>
      </c>
      <c r="O4978" s="26">
        <v>0.0</v>
      </c>
      <c r="P4978" s="26">
        <v>900.0</v>
      </c>
      <c r="Q4978" s="35">
        <v>1.0</v>
      </c>
      <c r="R4978" s="32">
        <v>45805.0</v>
      </c>
      <c r="S4978" s="32">
        <v>45804.0</v>
      </c>
      <c r="T4978" s="29"/>
      <c r="U4978" s="33"/>
      <c r="V4978" s="1"/>
    </row>
    <row r="4979" ht="24.0" customHeight="1">
      <c r="A4979" s="1"/>
      <c r="B4979" s="24" t="str">
        <f>HYPERLINK("https://www.compass.com/listing/547-549-east-12th-street-unit-3-manhattan-ny-10009/867075733133032417/view?agent_id=610d3f3370540700019b0833","547-549 East 12th Street, Unit 3")</f>
        <v>547-549 East 12th Street, Unit 3</v>
      </c>
      <c r="C4979" s="25" t="s">
        <v>364</v>
      </c>
      <c r="D4979" s="26" t="s">
        <v>23</v>
      </c>
      <c r="E4979" s="27" t="str">
        <f>HYPERLINK("https://www.compass.com/building/547-549-e-12th-st-manhattan-ny-10009/567450259443816429/","547-549 E 12th St")</f>
        <v>547-549 E 12th St</v>
      </c>
      <c r="F4979" s="25" t="s">
        <v>24</v>
      </c>
      <c r="G4979" s="28">
        <v>600000.0</v>
      </c>
      <c r="H4979" s="29"/>
      <c r="I4979" s="28">
        <v>380.0</v>
      </c>
      <c r="J4979" s="29"/>
      <c r="K4979" s="25" t="s">
        <v>25</v>
      </c>
      <c r="L4979" s="26">
        <v>4.0</v>
      </c>
      <c r="M4979" s="26">
        <v>2.0</v>
      </c>
      <c r="N4979" s="30"/>
      <c r="O4979" s="30"/>
      <c r="P4979" s="30"/>
      <c r="Q4979" s="35">
        <v>636.0</v>
      </c>
      <c r="R4979" s="32">
        <v>45083.0</v>
      </c>
      <c r="S4979" s="32">
        <v>44446.0</v>
      </c>
      <c r="T4979" s="29"/>
      <c r="U4979" s="33"/>
      <c r="V4979" s="1"/>
    </row>
    <row r="4980" ht="24.0" customHeight="1">
      <c r="A4980" s="1"/>
      <c r="B4980" s="24" t="str">
        <f>HYPERLINK("https://www.compass.com/listing/525-east-6th-street-unit-1r-manhattan-ny-10009/50871518913202801/view?agent_id=610d3f3370540700019b0833","525 East 6th Street, Unit 1R")</f>
        <v>525 East 6th Street, Unit 1R</v>
      </c>
      <c r="C4980" s="25" t="s">
        <v>370</v>
      </c>
      <c r="D4980" s="26" t="s">
        <v>23</v>
      </c>
      <c r="E4980" s="27" t="str">
        <f>HYPERLINK("https://www.compass.com/building/525-e-6th-st-manhattan-ny-10009/281900743244398501/","525 E 6th St")</f>
        <v>525 E 6th St</v>
      </c>
      <c r="F4980" s="25" t="s">
        <v>24</v>
      </c>
      <c r="G4980" s="28">
        <v>600000.0</v>
      </c>
      <c r="H4980" s="29"/>
      <c r="I4980" s="28">
        <v>250.0</v>
      </c>
      <c r="J4980" s="29"/>
      <c r="K4980" s="25" t="s">
        <v>25</v>
      </c>
      <c r="L4980" s="26">
        <v>4.0</v>
      </c>
      <c r="M4980" s="26">
        <v>2.0</v>
      </c>
      <c r="N4980" s="26">
        <v>0.0</v>
      </c>
      <c r="O4980" s="26">
        <v>0.0</v>
      </c>
      <c r="P4980" s="30"/>
      <c r="Q4980" s="35">
        <v>345.0</v>
      </c>
      <c r="R4980" s="32">
        <v>45636.0</v>
      </c>
      <c r="S4980" s="32">
        <v>42608.0</v>
      </c>
      <c r="T4980" s="29"/>
      <c r="U4980" s="33"/>
      <c r="V4980" s="1"/>
    </row>
    <row r="4981" ht="24.0" customHeight="1">
      <c r="A4981" s="1"/>
      <c r="B4981" s="24" t="str">
        <f>HYPERLINK("https://www.compass.com/listing/176-east-3rd-street-unit-1h-manhattan-ny-10009/4852277062263647825/view?agent_id=610d3f3370540700019b0833","176 East 3rd Street, Unit 1H")</f>
        <v>176 East 3rd Street, Unit 1H</v>
      </c>
      <c r="C4981" s="25" t="s">
        <v>364</v>
      </c>
      <c r="D4981" s="26" t="s">
        <v>23</v>
      </c>
      <c r="E4981" s="27" t="str">
        <f>HYPERLINK("https://www.compass.com/building/the-jesse-at-3rd-manhattan-ny/281898114883793621/","The Jesse at 3rd")</f>
        <v>The Jesse at 3rd</v>
      </c>
      <c r="F4981" s="25" t="s">
        <v>24</v>
      </c>
      <c r="G4981" s="28">
        <v>3550.0</v>
      </c>
      <c r="H4981" s="29"/>
      <c r="I4981" s="28">
        <v>0.0</v>
      </c>
      <c r="J4981" s="29"/>
      <c r="K4981" s="25" t="s">
        <v>28</v>
      </c>
      <c r="L4981" s="26">
        <v>3.0</v>
      </c>
      <c r="M4981" s="26">
        <v>2.0</v>
      </c>
      <c r="N4981" s="26">
        <v>0.0</v>
      </c>
      <c r="O4981" s="26">
        <v>0.0</v>
      </c>
      <c r="P4981" s="30"/>
      <c r="Q4981" s="35">
        <v>0.0</v>
      </c>
      <c r="R4981" s="32">
        <v>44581.0</v>
      </c>
      <c r="S4981" s="32">
        <v>42758.0</v>
      </c>
      <c r="T4981" s="29"/>
      <c r="U4981" s="33"/>
      <c r="V4981" s="1"/>
    </row>
    <row r="4982" ht="24.0" customHeight="1">
      <c r="A4982" s="1"/>
      <c r="B4982" s="24" t="str">
        <f>HYPERLINK("https://www.compass.com/listing/165-west-18th-street-unit-5c-manhattan-ny-10011/1053472568100195689/view?agent_id=610d3f3370540700019b0833","165 West 18th Street, Unit 5C")</f>
        <v>165 West 18th Street, Unit 5C</v>
      </c>
      <c r="C4982" s="25" t="s">
        <v>364</v>
      </c>
      <c r="D4982" s="26" t="s">
        <v>23</v>
      </c>
      <c r="E4982" s="27" t="str">
        <f>HYPERLINK("https://www.compass.com/building/slate-condominiums-manhattan-ny/515114565977505805/","Slate Condominiums")</f>
        <v>Slate Condominiums</v>
      </c>
      <c r="F4982" s="25" t="s">
        <v>27</v>
      </c>
      <c r="G4982" s="28">
        <v>2500000.0</v>
      </c>
      <c r="H4982" s="28">
        <v>2078.0</v>
      </c>
      <c r="I4982" s="28">
        <v>4169.0</v>
      </c>
      <c r="J4982" s="28">
        <v>25620.0</v>
      </c>
      <c r="K4982" s="25" t="s">
        <v>28</v>
      </c>
      <c r="L4982" s="26">
        <v>5.0</v>
      </c>
      <c r="M4982" s="26">
        <v>2.0</v>
      </c>
      <c r="N4982" s="30"/>
      <c r="O4982" s="30"/>
      <c r="P4982" s="34">
        <v>1203.0</v>
      </c>
      <c r="Q4982" s="35">
        <v>27.0</v>
      </c>
      <c r="R4982" s="32">
        <v>44903.0</v>
      </c>
      <c r="S4982" s="32">
        <v>44704.0</v>
      </c>
      <c r="T4982" s="29"/>
      <c r="U4982" s="33"/>
      <c r="V4982" s="1"/>
    </row>
    <row r="4983" ht="24.0" customHeight="1">
      <c r="A4983" s="1"/>
      <c r="B4983" s="24" t="str">
        <f>HYPERLINK("https://www.compass.com/listing/4-lexington-avenue-unit-3p6d13m-manhattan-ny-10010/4852272478275253425/view?agent_id=610d3f3370540700019b0833","4 Lexington Avenue, Unit 3P6D13M")</f>
        <v>4 Lexington Avenue, Unit 3P6D13M</v>
      </c>
      <c r="C4983" s="25" t="s">
        <v>370</v>
      </c>
      <c r="D4983" s="26" t="s">
        <v>23</v>
      </c>
      <c r="E4983" s="27" t="str">
        <f>HYPERLINK("https://www.compass.com/building/the-sage-house-manhattan-ny/281903394136802309/","The Sage House")</f>
        <v>The Sage House</v>
      </c>
      <c r="F4983" s="25" t="s">
        <v>48</v>
      </c>
      <c r="G4983" s="28">
        <v>1750000.0</v>
      </c>
      <c r="H4983" s="29"/>
      <c r="I4983" s="28">
        <v>2686.0</v>
      </c>
      <c r="J4983" s="29"/>
      <c r="K4983" s="25" t="s">
        <v>25</v>
      </c>
      <c r="L4983" s="26">
        <v>7.0</v>
      </c>
      <c r="M4983" s="26">
        <v>2.0</v>
      </c>
      <c r="N4983" s="26">
        <v>0.0</v>
      </c>
      <c r="O4983" s="26">
        <v>0.0</v>
      </c>
      <c r="P4983" s="30"/>
      <c r="Q4983" s="35">
        <v>86.0</v>
      </c>
      <c r="R4983" s="32">
        <v>44581.0</v>
      </c>
      <c r="S4983" s="32">
        <v>42400.0</v>
      </c>
      <c r="T4983" s="29"/>
      <c r="U4983" s="33"/>
      <c r="V4983" s="1"/>
    </row>
    <row r="4984" ht="24.0" customHeight="1">
      <c r="A4984" s="1"/>
      <c r="B4984" s="24" t="str">
        <f>HYPERLINK("https://www.compass.com/listing/101-warren-street-unit-820-manhattan-ny-10007/50863117177042337/view?agent_id=610d3f3370540700019b0833","101 Warren Street, Unit 820")</f>
        <v>101 Warren Street, Unit 820</v>
      </c>
      <c r="C4984" s="25" t="s">
        <v>370</v>
      </c>
      <c r="D4984" s="26" t="s">
        <v>23</v>
      </c>
      <c r="E4984" s="27" t="str">
        <f t="shared" ref="E4984:E4985" si="224">HYPERLINK("https://www.compass.com/building/99-101-warren-manhattan-ny/307460833541810581/","99-101 Warren")</f>
        <v>99-101 Warren</v>
      </c>
      <c r="F4984" s="25" t="s">
        <v>60</v>
      </c>
      <c r="G4984" s="28">
        <v>4000000.0</v>
      </c>
      <c r="H4984" s="28">
        <v>2151.0</v>
      </c>
      <c r="I4984" s="28">
        <v>3298.0</v>
      </c>
      <c r="J4984" s="28">
        <v>15888.0</v>
      </c>
      <c r="K4984" s="25" t="s">
        <v>209</v>
      </c>
      <c r="L4984" s="26">
        <v>4.0</v>
      </c>
      <c r="M4984" s="26">
        <v>2.0</v>
      </c>
      <c r="N4984" s="26">
        <v>0.0</v>
      </c>
      <c r="O4984" s="26">
        <v>0.0</v>
      </c>
      <c r="P4984" s="34">
        <v>1860.0</v>
      </c>
      <c r="Q4984" s="35">
        <v>179.0</v>
      </c>
      <c r="R4984" s="32">
        <v>45636.0</v>
      </c>
      <c r="S4984" s="32">
        <v>42349.0</v>
      </c>
      <c r="T4984" s="29"/>
      <c r="U4984" s="33"/>
      <c r="V4984" s="1"/>
    </row>
    <row r="4985" ht="24.0" customHeight="1">
      <c r="A4985" s="1"/>
      <c r="B4985" s="24" t="str">
        <f>HYPERLINK("https://www.compass.com/listing/101-warren-street-unit-2140-manhattan-ny-10007/70911520392919409/view?agent_id=610d3f3370540700019b0833","101 Warren Street, Unit 2140")</f>
        <v>101 Warren Street, Unit 2140</v>
      </c>
      <c r="C4985" s="25" t="s">
        <v>370</v>
      </c>
      <c r="D4985" s="26" t="s">
        <v>23</v>
      </c>
      <c r="E4985" s="27" t="str">
        <f t="shared" si="224"/>
        <v>99-101 Warren</v>
      </c>
      <c r="F4985" s="25" t="s">
        <v>60</v>
      </c>
      <c r="G4985" s="28">
        <v>2650000.0</v>
      </c>
      <c r="H4985" s="28">
        <v>1514.0</v>
      </c>
      <c r="I4985" s="28">
        <v>1713.0</v>
      </c>
      <c r="J4985" s="28">
        <v>3384.0</v>
      </c>
      <c r="K4985" s="25" t="s">
        <v>49</v>
      </c>
      <c r="L4985" s="26">
        <v>4.0</v>
      </c>
      <c r="M4985" s="26">
        <v>2.0</v>
      </c>
      <c r="N4985" s="26">
        <v>0.0</v>
      </c>
      <c r="O4985" s="26">
        <v>0.0</v>
      </c>
      <c r="P4985" s="34">
        <v>1750.0</v>
      </c>
      <c r="Q4985" s="35">
        <v>0.0</v>
      </c>
      <c r="R4985" s="32">
        <v>44581.0</v>
      </c>
      <c r="S4985" s="32">
        <v>41538.0</v>
      </c>
      <c r="T4985" s="29"/>
      <c r="U4985" s="33"/>
      <c r="V4985" s="1"/>
    </row>
    <row r="4986" ht="24.0" customHeight="1">
      <c r="A4986" s="1"/>
      <c r="B4986" s="24" t="str">
        <f>HYPERLINK("https://www.compass.com/listing/78-bedford-street-unit-3a-manhattan-ny-10014/1838969352175922241/view?agent_id=610d3f3370540700019b0833","78 Bedford Street, Unit 3A")</f>
        <v>78 Bedford Street, Unit 3A</v>
      </c>
      <c r="C4986" s="25" t="s">
        <v>370</v>
      </c>
      <c r="D4986" s="26" t="s">
        <v>23</v>
      </c>
      <c r="E4986" s="27" t="str">
        <f>HYPERLINK("https://www.compass.com/building/78-bedford-st-manhattan-ny-10014/292831124927861573/","78 Bedford St")</f>
        <v>78 Bedford St</v>
      </c>
      <c r="F4986" s="25" t="s">
        <v>26</v>
      </c>
      <c r="G4986" s="28">
        <v>2100000.0</v>
      </c>
      <c r="H4986" s="28">
        <v>2800.0</v>
      </c>
      <c r="I4986" s="28">
        <v>1260.0</v>
      </c>
      <c r="J4986" s="28">
        <v>7908.0</v>
      </c>
      <c r="K4986" s="25" t="s">
        <v>28</v>
      </c>
      <c r="L4986" s="26">
        <v>4.0</v>
      </c>
      <c r="M4986" s="26">
        <v>2.0</v>
      </c>
      <c r="N4986" s="26">
        <v>0.0</v>
      </c>
      <c r="O4986" s="26">
        <v>0.0</v>
      </c>
      <c r="P4986" s="26">
        <v>750.0</v>
      </c>
      <c r="Q4986" s="35">
        <v>132.0</v>
      </c>
      <c r="R4986" s="32">
        <v>45636.0</v>
      </c>
      <c r="S4986" s="32">
        <v>43210.0</v>
      </c>
      <c r="T4986" s="29"/>
      <c r="U4986" s="33"/>
      <c r="V4986" s="1"/>
    </row>
    <row r="4987" ht="24.0" customHeight="1">
      <c r="A4987" s="1"/>
      <c r="B4987" s="24" t="str">
        <f>HYPERLINK("https://www.compass.com/listing/258-broadway-unit-6d-manhattan-ny-10007/1860495407830789377/view?agent_id=610d3f3370540700019b0833","258 Broadway, Unit 6D")</f>
        <v>258 Broadway, Unit 6D</v>
      </c>
      <c r="C4987" s="25" t="s">
        <v>364</v>
      </c>
      <c r="D4987" s="26" t="s">
        <v>23</v>
      </c>
      <c r="E4987" s="27" t="str">
        <f>HYPERLINK("https://www.compass.com/building/city-hall-tower-manhattan-ny/282058464979614261/","City Hall Tower")</f>
        <v>City Hall Tower</v>
      </c>
      <c r="F4987" s="25" t="s">
        <v>60</v>
      </c>
      <c r="G4987" s="28">
        <v>1395000.0</v>
      </c>
      <c r="H4987" s="28">
        <v>1385.0</v>
      </c>
      <c r="I4987" s="28">
        <v>2044.0</v>
      </c>
      <c r="J4987" s="28">
        <v>0.0</v>
      </c>
      <c r="K4987" s="25" t="s">
        <v>25</v>
      </c>
      <c r="L4987" s="26">
        <v>4.0</v>
      </c>
      <c r="M4987" s="26">
        <v>2.0</v>
      </c>
      <c r="N4987" s="26">
        <v>1.0</v>
      </c>
      <c r="O4987" s="26">
        <v>0.0</v>
      </c>
      <c r="P4987" s="34">
        <v>1007.0</v>
      </c>
      <c r="Q4987" s="35">
        <v>53.0</v>
      </c>
      <c r="R4987" s="32">
        <v>43403.0</v>
      </c>
      <c r="S4987" s="32">
        <v>43350.0</v>
      </c>
      <c r="T4987" s="29"/>
      <c r="U4987" s="33"/>
      <c r="V4987" s="1"/>
    </row>
    <row r="4988" ht="24.0" customHeight="1">
      <c r="A4988" s="1"/>
      <c r="B4988" s="24" t="str">
        <f>HYPERLINK("https://www.compass.com/listing/200-chambers-street-unit-5c-manhattan-ny-10007/4852305646688677121/view?agent_id=610d3f3370540700019b0833","200 Chambers Street, Unit 5C")</f>
        <v>200 Chambers Street, Unit 5C</v>
      </c>
      <c r="C4988" s="25" t="s">
        <v>370</v>
      </c>
      <c r="D4988" s="26" t="s">
        <v>23</v>
      </c>
      <c r="E4988" s="27" t="str">
        <f>HYPERLINK("https://www.compass.com/building/200-chambers-st-manhattan-ny-10007/281896823650526357/","200 Chambers St")</f>
        <v>200 Chambers St</v>
      </c>
      <c r="F4988" s="25" t="s">
        <v>60</v>
      </c>
      <c r="G4988" s="28">
        <v>2225000.0</v>
      </c>
      <c r="H4988" s="28">
        <v>1450.0</v>
      </c>
      <c r="I4988" s="28">
        <v>1315.0</v>
      </c>
      <c r="J4988" s="28">
        <v>2244.0</v>
      </c>
      <c r="K4988" s="25" t="s">
        <v>28</v>
      </c>
      <c r="L4988" s="26">
        <v>4.0</v>
      </c>
      <c r="M4988" s="26">
        <v>2.0</v>
      </c>
      <c r="N4988" s="26">
        <v>0.0</v>
      </c>
      <c r="O4988" s="26">
        <v>0.0</v>
      </c>
      <c r="P4988" s="34">
        <v>1534.0</v>
      </c>
      <c r="Q4988" s="35">
        <v>0.0</v>
      </c>
      <c r="R4988" s="32">
        <v>44581.0</v>
      </c>
      <c r="S4988" s="32">
        <v>41538.0</v>
      </c>
      <c r="T4988" s="29"/>
      <c r="U4988" s="33"/>
      <c r="V4988" s="1"/>
    </row>
    <row r="4989" ht="24.0" customHeight="1">
      <c r="A4989" s="1"/>
      <c r="B4989" s="24" t="str">
        <f>HYPERLINK("https://www.compass.com/listing/146-west-16th-street-unit-3a-manhattan-ny-10011/192570462658690337/view?agent_id=610d3f3370540700019b0833","146 West 16th Street, Unit 3A")</f>
        <v>146 West 16th Street, Unit 3A</v>
      </c>
      <c r="C4989" s="25" t="s">
        <v>364</v>
      </c>
      <c r="D4989" s="26" t="s">
        <v>23</v>
      </c>
      <c r="E4989" s="27" t="str">
        <f>HYPERLINK("https://www.compass.com/building/146-w-16th-st-manhattan-ny-10011/281905488092746117/","146 W 16th St")</f>
        <v>146 W 16th St</v>
      </c>
      <c r="F4989" s="25" t="s">
        <v>27</v>
      </c>
      <c r="G4989" s="28">
        <v>1290000.0</v>
      </c>
      <c r="H4989" s="29"/>
      <c r="I4989" s="28">
        <v>1265.0</v>
      </c>
      <c r="J4989" s="29"/>
      <c r="K4989" s="25" t="s">
        <v>25</v>
      </c>
      <c r="L4989" s="26">
        <v>5.0</v>
      </c>
      <c r="M4989" s="26">
        <v>2.0</v>
      </c>
      <c r="N4989" s="26">
        <v>0.0</v>
      </c>
      <c r="O4989" s="26">
        <v>0.0</v>
      </c>
      <c r="P4989" s="30"/>
      <c r="Q4989" s="35">
        <v>387.0</v>
      </c>
      <c r="R4989" s="32">
        <v>45636.0</v>
      </c>
      <c r="S4989" s="32">
        <v>41800.0</v>
      </c>
      <c r="T4989" s="29"/>
      <c r="U4989" s="33"/>
      <c r="V4989" s="1"/>
    </row>
    <row r="4990" ht="24.0" customHeight="1">
      <c r="A4990" s="1"/>
      <c r="B4990" s="24" t="str">
        <f>HYPERLINK("https://www.compass.com/listing/121-east-23rd-street-unit-8d-manhattan-ny-10010/29378246017578369/view?agent_id=610d3f3370540700019b0833","121 East 23rd Street, Unit 8D")</f>
        <v>121 East 23rd Street, Unit 8D</v>
      </c>
      <c r="C4990" s="25" t="s">
        <v>364</v>
      </c>
      <c r="D4990" s="26" t="s">
        <v>23</v>
      </c>
      <c r="E4990" s="27" t="str">
        <f>HYPERLINK("https://www.compass.com/building/crossing-23rd-manhattan-ny/281901772048448549/","Crossing 23rd")</f>
        <v>Crossing 23rd</v>
      </c>
      <c r="F4990" s="25" t="s">
        <v>115</v>
      </c>
      <c r="G4990" s="28">
        <v>1850000.0</v>
      </c>
      <c r="H4990" s="28">
        <v>1544.0</v>
      </c>
      <c r="I4990" s="28">
        <v>2743.0</v>
      </c>
      <c r="J4990" s="28">
        <v>13116.0</v>
      </c>
      <c r="K4990" s="25" t="s">
        <v>28</v>
      </c>
      <c r="L4990" s="26">
        <v>5.0</v>
      </c>
      <c r="M4990" s="26">
        <v>2.0</v>
      </c>
      <c r="N4990" s="26">
        <v>0.0</v>
      </c>
      <c r="O4990" s="26">
        <v>0.0</v>
      </c>
      <c r="P4990" s="34">
        <v>1198.0</v>
      </c>
      <c r="Q4990" s="35">
        <v>50.0</v>
      </c>
      <c r="R4990" s="32">
        <v>45636.0</v>
      </c>
      <c r="S4990" s="32">
        <v>42474.0</v>
      </c>
      <c r="T4990" s="29"/>
      <c r="U4990" s="33"/>
      <c r="V4990" s="1"/>
    </row>
    <row r="4991" ht="24.0" customHeight="1">
      <c r="A4991" s="1"/>
      <c r="B4991" s="24" t="str">
        <f>HYPERLINK("https://www.compass.com/listing/250-west-24th-street-unit-4hw-manhattan-ny-10011/278792157567932289/view?agent_id=610d3f3370540700019b0833","250 West 24th Street, Unit 4HW")</f>
        <v>250 West 24th Street, Unit 4HW</v>
      </c>
      <c r="C4991" s="25" t="s">
        <v>364</v>
      </c>
      <c r="D4991" s="26" t="s">
        <v>23</v>
      </c>
      <c r="E4991" s="27" t="str">
        <f>HYPERLINK("https://www.compass.com/building/250-w-24th-st-manhattan-ny-10011/282059763049596805/","250 W 24th St")</f>
        <v>250 W 24th St</v>
      </c>
      <c r="F4991" s="25" t="s">
        <v>27</v>
      </c>
      <c r="G4991" s="28">
        <v>1700000.0</v>
      </c>
      <c r="H4991" s="29"/>
      <c r="I4991" s="28">
        <v>1400.0</v>
      </c>
      <c r="J4991" s="29"/>
      <c r="K4991" s="25" t="s">
        <v>25</v>
      </c>
      <c r="L4991" s="26">
        <v>5.0</v>
      </c>
      <c r="M4991" s="26">
        <v>2.0</v>
      </c>
      <c r="N4991" s="30"/>
      <c r="O4991" s="30"/>
      <c r="P4991" s="30"/>
      <c r="Q4991" s="35">
        <v>99.0</v>
      </c>
      <c r="R4991" s="32">
        <v>41640.0</v>
      </c>
      <c r="S4991" s="32">
        <v>42298.0</v>
      </c>
      <c r="T4991" s="29"/>
      <c r="U4991" s="33"/>
      <c r="V4991" s="1"/>
    </row>
    <row r="4992" ht="24.0" customHeight="1">
      <c r="A4992" s="1"/>
      <c r="B4992" s="24" t="str">
        <f>HYPERLINK("https://www.compass.com/listing/210-west-21st-street-unit-2re-manhattan-ny-10011/1593418244356527497/view?agent_id=610d3f3370540700019b0833","210 West 21st Street, Unit 2RE")</f>
        <v>210 West 21st Street, Unit 2RE</v>
      </c>
      <c r="C4992" s="25" t="s">
        <v>364</v>
      </c>
      <c r="D4992" s="26" t="s">
        <v>23</v>
      </c>
      <c r="E4992" s="27" t="str">
        <f>HYPERLINK("https://www.compass.com/building/210-w-21st-st-manhattan-ny-10011/281906785541967365/","210 W 21st St")</f>
        <v>210 W 21st St</v>
      </c>
      <c r="F4992" s="25" t="s">
        <v>27</v>
      </c>
      <c r="G4992" s="28">
        <v>1095000.0</v>
      </c>
      <c r="H4992" s="29"/>
      <c r="I4992" s="28">
        <v>1811.0</v>
      </c>
      <c r="J4992" s="28">
        <v>0.0</v>
      </c>
      <c r="K4992" s="25" t="s">
        <v>25</v>
      </c>
      <c r="L4992" s="26">
        <v>5.0</v>
      </c>
      <c r="M4992" s="26">
        <v>2.0</v>
      </c>
      <c r="N4992" s="26">
        <v>1.0</v>
      </c>
      <c r="O4992" s="26">
        <v>0.0</v>
      </c>
      <c r="P4992" s="30"/>
      <c r="Q4992" s="35">
        <v>202.0</v>
      </c>
      <c r="R4992" s="32">
        <v>45753.0</v>
      </c>
      <c r="S4992" s="32">
        <v>45460.0</v>
      </c>
      <c r="T4992" s="29"/>
      <c r="U4992" s="33"/>
      <c r="V4992" s="1"/>
    </row>
    <row r="4993" ht="24.0" customHeight="1">
      <c r="A4993" s="1"/>
      <c r="B4993" s="24" t="str">
        <f>HYPERLINK("https://www.compass.com/listing/311-east-3rd-street-unit-30-manhattan-ny-10009/79373583876472129/view?agent_id=610d3f3370540700019b0833","311 E 3rd St, Unit 30")</f>
        <v>311 E 3rd St, Unit 30</v>
      </c>
      <c r="C4993" s="25" t="s">
        <v>364</v>
      </c>
      <c r="D4993" s="26" t="s">
        <v>23</v>
      </c>
      <c r="E4993" s="27" t="str">
        <f>HYPERLINK("https://www.compass.com/building/311-e-3rd-st-manhattan-ny-10009/281899527953200005/","311 E 3rd St")</f>
        <v>311 E 3rd St</v>
      </c>
      <c r="F4993" s="25" t="s">
        <v>24</v>
      </c>
      <c r="G4993" s="28">
        <v>420000.0</v>
      </c>
      <c r="H4993" s="29"/>
      <c r="I4993" s="28">
        <v>373.0</v>
      </c>
      <c r="J4993" s="29"/>
      <c r="K4993" s="25" t="s">
        <v>25</v>
      </c>
      <c r="L4993" s="26">
        <v>4.0</v>
      </c>
      <c r="M4993" s="26">
        <v>2.0</v>
      </c>
      <c r="N4993" s="30"/>
      <c r="O4993" s="30"/>
      <c r="P4993" s="30"/>
      <c r="Q4993" s="35">
        <v>33.0</v>
      </c>
      <c r="R4993" s="32">
        <v>42829.0</v>
      </c>
      <c r="S4993" s="32">
        <v>39658.0</v>
      </c>
      <c r="T4993" s="29"/>
      <c r="U4993" s="33"/>
      <c r="V4993" s="1"/>
    </row>
    <row r="4994" ht="24.0" customHeight="1">
      <c r="A4994" s="1"/>
      <c r="B4994" s="24" t="str">
        <f>HYPERLINK("https://www.compass.com/listing/22-warren-street-unit-ph-manhattan-ny-10007/1809618827810058073/view?agent_id=610d3f3370540700019b0833","22 Warren Street, Unit PH")</f>
        <v>22 Warren Street, Unit PH</v>
      </c>
      <c r="C4994" s="25" t="s">
        <v>364</v>
      </c>
      <c r="D4994" s="26" t="s">
        <v>23</v>
      </c>
      <c r="E4994" s="27" t="str">
        <f t="shared" ref="E4994:E4995" si="225">HYPERLINK("https://www.compass.com/building/22-warren-st-manhattan-ny-10007/281896828104877765/","22 Warren St")</f>
        <v>22 Warren St</v>
      </c>
      <c r="F4994" s="25" t="s">
        <v>60</v>
      </c>
      <c r="G4994" s="28">
        <v>3350000.0</v>
      </c>
      <c r="H4994" s="29"/>
      <c r="I4994" s="28">
        <v>1952.0</v>
      </c>
      <c r="J4994" s="28">
        <v>10488.0</v>
      </c>
      <c r="K4994" s="25" t="s">
        <v>28</v>
      </c>
      <c r="L4994" s="26">
        <v>4.0</v>
      </c>
      <c r="M4994" s="26">
        <v>2.0</v>
      </c>
      <c r="N4994" s="26">
        <v>0.0</v>
      </c>
      <c r="O4994" s="26">
        <v>0.0</v>
      </c>
      <c r="P4994" s="30"/>
      <c r="Q4994" s="35">
        <v>1631.0</v>
      </c>
      <c r="R4994" s="32">
        <v>44581.0</v>
      </c>
      <c r="S4994" s="32">
        <v>41305.0</v>
      </c>
      <c r="T4994" s="29"/>
      <c r="U4994" s="33"/>
      <c r="V4994" s="1"/>
    </row>
    <row r="4995" ht="24.0" customHeight="1">
      <c r="A4995" s="1"/>
      <c r="B4995" s="24" t="str">
        <f>HYPERLINK("https://www.compass.com/listing/22-warren-street-unit-ph-manhattan-ny-10007/826841310869341153/view?agent_id=610d3f3370540700019b0833","22 Warren Street, Unit PH")</f>
        <v>22 Warren Street, Unit PH</v>
      </c>
      <c r="C4995" s="25" t="s">
        <v>364</v>
      </c>
      <c r="D4995" s="26" t="s">
        <v>23</v>
      </c>
      <c r="E4995" s="27" t="str">
        <f t="shared" si="225"/>
        <v>22 Warren St</v>
      </c>
      <c r="F4995" s="25" t="s">
        <v>60</v>
      </c>
      <c r="G4995" s="28">
        <v>3350000.0</v>
      </c>
      <c r="H4995" s="29"/>
      <c r="I4995" s="28">
        <v>1952.0</v>
      </c>
      <c r="J4995" s="28">
        <v>10488.0</v>
      </c>
      <c r="K4995" s="25" t="s">
        <v>28</v>
      </c>
      <c r="L4995" s="26">
        <v>4.0</v>
      </c>
      <c r="M4995" s="26">
        <v>2.0</v>
      </c>
      <c r="N4995" s="26">
        <v>0.0</v>
      </c>
      <c r="O4995" s="26">
        <v>0.0</v>
      </c>
      <c r="P4995" s="30"/>
      <c r="Q4995" s="31"/>
      <c r="R4995" s="32">
        <v>44581.0</v>
      </c>
      <c r="S4995" s="33"/>
      <c r="T4995" s="29"/>
      <c r="U4995" s="33"/>
      <c r="V4995" s="1"/>
    </row>
    <row r="4996" ht="24.0" customHeight="1">
      <c r="A4996" s="1"/>
      <c r="B4996" s="24" t="str">
        <f>HYPERLINK("https://www.compass.com/listing/16-west-21st-street-unit-3a-manhattan-ny-10010/29374656129656593/view?agent_id=610d3f3370540700019b0833","16 West 21st Street, Unit 3A")</f>
        <v>16 West 21st Street, Unit 3A</v>
      </c>
      <c r="C4996" s="25" t="s">
        <v>370</v>
      </c>
      <c r="D4996" s="26" t="s">
        <v>23</v>
      </c>
      <c r="E4996" s="27" t="str">
        <f>HYPERLINK("https://www.compass.com/building/16-w-21st-st-manhattan-ny-10010/281901988952687925/","16 W 21st St")</f>
        <v>16 W 21st St</v>
      </c>
      <c r="F4996" s="25" t="s">
        <v>115</v>
      </c>
      <c r="G4996" s="28">
        <v>2500000.0</v>
      </c>
      <c r="H4996" s="28">
        <v>1827.0</v>
      </c>
      <c r="I4996" s="28">
        <v>1875.0</v>
      </c>
      <c r="J4996" s="28">
        <v>5616.0</v>
      </c>
      <c r="K4996" s="25" t="s">
        <v>28</v>
      </c>
      <c r="L4996" s="26">
        <v>6.0</v>
      </c>
      <c r="M4996" s="26">
        <v>2.0</v>
      </c>
      <c r="N4996" s="26">
        <v>0.0</v>
      </c>
      <c r="O4996" s="26">
        <v>0.0</v>
      </c>
      <c r="P4996" s="34">
        <v>1368.0</v>
      </c>
      <c r="Q4996" s="35">
        <v>124.0</v>
      </c>
      <c r="R4996" s="32">
        <v>45636.0</v>
      </c>
      <c r="S4996" s="32">
        <v>41850.0</v>
      </c>
      <c r="T4996" s="29"/>
      <c r="U4996" s="33"/>
      <c r="V4996" s="1"/>
    </row>
    <row r="4997" ht="24.0" customHeight="1">
      <c r="A4997" s="1"/>
      <c r="B4997" s="24" t="str">
        <f>HYPERLINK("https://www.compass.com/listing/1-lexington-avenue-unit-9d-manhattan-ny-10010/705241896950546777/view?agent_id=610d3f3370540700019b0833","1 Lexington Avenue, Unit 9D")</f>
        <v>1 Lexington Avenue, Unit 9D</v>
      </c>
      <c r="C4997" s="25" t="s">
        <v>364</v>
      </c>
      <c r="D4997" s="26" t="s">
        <v>23</v>
      </c>
      <c r="E4997" s="27" t="str">
        <f>HYPERLINK("https://www.compass.com/building/1-lexington-ave-manhattan-ny-10010/281901620424358869/","1 Lexington Ave")</f>
        <v>1 Lexington Ave</v>
      </c>
      <c r="F4997" s="25" t="s">
        <v>48</v>
      </c>
      <c r="G4997" s="28">
        <v>1680000.0</v>
      </c>
      <c r="H4997" s="29"/>
      <c r="I4997" s="28">
        <v>2712.0</v>
      </c>
      <c r="J4997" s="29"/>
      <c r="K4997" s="25" t="s">
        <v>25</v>
      </c>
      <c r="L4997" s="26">
        <v>4.0</v>
      </c>
      <c r="M4997" s="26">
        <v>2.0</v>
      </c>
      <c r="N4997" s="26">
        <v>1.0</v>
      </c>
      <c r="O4997" s="26">
        <v>0.0</v>
      </c>
      <c r="P4997" s="30"/>
      <c r="Q4997" s="35">
        <v>19.0</v>
      </c>
      <c r="R4997" s="32">
        <v>45636.0</v>
      </c>
      <c r="S4997" s="32">
        <v>44559.0</v>
      </c>
      <c r="T4997" s="29"/>
      <c r="U4997" s="33"/>
      <c r="V4997" s="1"/>
    </row>
    <row r="4998" ht="24.0" customHeight="1">
      <c r="A4998" s="1"/>
      <c r="B4998" s="24" t="str">
        <f>HYPERLINK("https://www.compass.com/listing/444-west-19th-street-unit-704-manhattan-ny-10011/29370009855847441/view?agent_id=610d3f3370540700019b0833","444 West 19th Street, Unit 704")</f>
        <v>444 West 19th Street, Unit 704</v>
      </c>
      <c r="C4998" s="25" t="s">
        <v>370</v>
      </c>
      <c r="D4998" s="26" t="s">
        <v>23</v>
      </c>
      <c r="E4998" s="27" t="str">
        <f>HYPERLINK("https://www.compass.com/building/the-chelsea-club-manhattan-ny/281910522457120389/","The Chelsea Club")</f>
        <v>The Chelsea Club</v>
      </c>
      <c r="F4998" s="25" t="s">
        <v>27</v>
      </c>
      <c r="G4998" s="28">
        <v>1995000.0</v>
      </c>
      <c r="H4998" s="28">
        <v>1471.0</v>
      </c>
      <c r="I4998" s="28">
        <v>2013.0</v>
      </c>
      <c r="J4998" s="28">
        <v>4908.0</v>
      </c>
      <c r="K4998" s="25" t="s">
        <v>28</v>
      </c>
      <c r="L4998" s="26">
        <v>5.0</v>
      </c>
      <c r="M4998" s="26">
        <v>2.0</v>
      </c>
      <c r="N4998" s="26">
        <v>0.0</v>
      </c>
      <c r="O4998" s="26">
        <v>0.0</v>
      </c>
      <c r="P4998" s="34">
        <v>1356.0</v>
      </c>
      <c r="Q4998" s="35">
        <v>0.0</v>
      </c>
      <c r="R4998" s="32">
        <v>44581.0</v>
      </c>
      <c r="S4998" s="32">
        <v>41538.0</v>
      </c>
      <c r="T4998" s="29"/>
      <c r="U4998" s="33"/>
      <c r="V4998" s="1"/>
    </row>
    <row r="4999" ht="24.0" customHeight="1">
      <c r="A4999" s="1"/>
      <c r="B4999" s="24" t="str">
        <f>HYPERLINK("https://www.compass.com/listing/114-st-marks-place-unit-2-manhattan-ny-10009/4703700649739575009/view?agent_id=610d3f3370540700019b0833","114 St Marks Pl, Unit 2")</f>
        <v>114 St Marks Pl, Unit 2</v>
      </c>
      <c r="C4999" s="25" t="s">
        <v>364</v>
      </c>
      <c r="D4999" s="26" t="s">
        <v>23</v>
      </c>
      <c r="E4999" s="27" t="str">
        <f>HYPERLINK("https://www.compass.com/building/114-st-marks-pl-manhattan-ny-10009/281897511466053509/","114 St Marks Pl")</f>
        <v>114 St Marks Pl</v>
      </c>
      <c r="F4999" s="25" t="s">
        <v>24</v>
      </c>
      <c r="G4999" s="28">
        <v>685000.0</v>
      </c>
      <c r="H4999" s="28">
        <v>685.0</v>
      </c>
      <c r="I4999" s="28">
        <v>760.0</v>
      </c>
      <c r="J4999" s="29"/>
      <c r="K4999" s="25" t="s">
        <v>25</v>
      </c>
      <c r="L4999" s="26">
        <v>5.0</v>
      </c>
      <c r="M4999" s="26">
        <v>2.0</v>
      </c>
      <c r="N4999" s="30"/>
      <c r="O4999" s="30"/>
      <c r="P4999" s="34">
        <v>1000.0</v>
      </c>
      <c r="Q4999" s="35">
        <v>77.0</v>
      </c>
      <c r="R4999" s="32">
        <v>42475.0</v>
      </c>
      <c r="S4999" s="32">
        <v>37921.0</v>
      </c>
      <c r="T4999" s="29"/>
      <c r="U4999" s="33"/>
      <c r="V4999" s="1"/>
    </row>
    <row r="5000" ht="24.0" customHeight="1">
      <c r="A5000" s="1"/>
      <c r="B5000" s="24" t="str">
        <f>HYPERLINK("https://www.compass.com/listing/101-warren-street-unit-5h-manhattan-ny-10007/50864565939988417/view?agent_id=610d3f3370540700019b0833","101 Warren Street, Unit 5H")</f>
        <v>101 Warren Street, Unit 5H</v>
      </c>
      <c r="C5000" s="25" t="s">
        <v>370</v>
      </c>
      <c r="D5000" s="26" t="s">
        <v>23</v>
      </c>
      <c r="E5000" s="27" t="str">
        <f>HYPERLINK("https://www.compass.com/building/99-101-warren-manhattan-ny/307460833541810581/","99-101 Warren")</f>
        <v>99-101 Warren</v>
      </c>
      <c r="F5000" s="25" t="s">
        <v>60</v>
      </c>
      <c r="G5000" s="28">
        <v>5400000.0</v>
      </c>
      <c r="H5000" s="28">
        <v>2554.0</v>
      </c>
      <c r="I5000" s="28">
        <v>4013.0</v>
      </c>
      <c r="J5000" s="28">
        <v>20232.0</v>
      </c>
      <c r="K5000" s="25" t="s">
        <v>209</v>
      </c>
      <c r="L5000" s="26">
        <v>5.0</v>
      </c>
      <c r="M5000" s="26">
        <v>2.0</v>
      </c>
      <c r="N5000" s="26">
        <v>0.0</v>
      </c>
      <c r="O5000" s="26">
        <v>0.0</v>
      </c>
      <c r="P5000" s="34">
        <v>2114.0</v>
      </c>
      <c r="Q5000" s="35">
        <v>176.0</v>
      </c>
      <c r="R5000" s="32">
        <v>44581.0</v>
      </c>
      <c r="S5000" s="32">
        <v>41853.0</v>
      </c>
      <c r="T5000" s="29"/>
      <c r="U5000" s="33"/>
      <c r="V5000" s="1"/>
    </row>
    <row r="5001" ht="24.0" customHeight="1">
      <c r="A5001" s="1"/>
      <c r="B5001" s="24" t="str">
        <f>HYPERLINK("https://www.compass.com/listing/35-west-15th-street-unit-8d-manhattan-ny-10011/70928963588947137/view?agent_id=610d3f3370540700019b0833","35 West 15th Street, Unit 8D")</f>
        <v>35 West 15th Street, Unit 8D</v>
      </c>
      <c r="C5001" s="25" t="s">
        <v>364</v>
      </c>
      <c r="D5001" s="26" t="s">
        <v>23</v>
      </c>
      <c r="E5001" s="27" t="str">
        <f>HYPERLINK("https://www.compass.com/building/35xv-manhattan-ny/292803792032789093/","35XV")</f>
        <v>35XV</v>
      </c>
      <c r="F5001" s="25" t="s">
        <v>115</v>
      </c>
      <c r="G5001" s="28">
        <v>4500000.0</v>
      </c>
      <c r="H5001" s="28">
        <v>2409.0</v>
      </c>
      <c r="I5001" s="28">
        <v>4320.0</v>
      </c>
      <c r="J5001" s="28">
        <v>28404.0</v>
      </c>
      <c r="K5001" s="25" t="s">
        <v>28</v>
      </c>
      <c r="L5001" s="26">
        <v>5.0</v>
      </c>
      <c r="M5001" s="26">
        <v>2.0</v>
      </c>
      <c r="N5001" s="26">
        <v>0.0</v>
      </c>
      <c r="O5001" s="26">
        <v>0.0</v>
      </c>
      <c r="P5001" s="34">
        <v>1868.0</v>
      </c>
      <c r="Q5001" s="35">
        <v>96.0</v>
      </c>
      <c r="R5001" s="32">
        <v>45636.0</v>
      </c>
      <c r="S5001" s="32">
        <v>43005.0</v>
      </c>
      <c r="T5001" s="29"/>
      <c r="U5001" s="33"/>
      <c r="V5001" s="1"/>
    </row>
    <row r="5002" ht="24.0" customHeight="1">
      <c r="A5002" s="1"/>
      <c r="B5002" s="24" t="str">
        <f>HYPERLINK("https://www.compass.com/listing/121-west-20th-street-unit-5d-manhattan-ny-10011/29373175154404065/view?agent_id=610d3f3370540700019b0833","121 West 20th Street, Unit 5D")</f>
        <v>121 West 20th Street, Unit 5D</v>
      </c>
      <c r="C5002" s="25" t="s">
        <v>364</v>
      </c>
      <c r="D5002" s="26" t="s">
        <v>23</v>
      </c>
      <c r="E5002" s="27" t="str">
        <f>HYPERLINK("https://www.compass.com/building/121-w-20th-st-manhattan-ny-10011/281904745642215397/","121 W 20th St")</f>
        <v>121 W 20th St</v>
      </c>
      <c r="F5002" s="25" t="s">
        <v>27</v>
      </c>
      <c r="G5002" s="28">
        <v>3250000.0</v>
      </c>
      <c r="H5002" s="28">
        <v>1912.0</v>
      </c>
      <c r="I5002" s="28">
        <v>2519.0</v>
      </c>
      <c r="J5002" s="28">
        <v>12360.0</v>
      </c>
      <c r="K5002" s="25" t="s">
        <v>28</v>
      </c>
      <c r="L5002" s="26">
        <v>7.0</v>
      </c>
      <c r="M5002" s="26">
        <v>2.0</v>
      </c>
      <c r="N5002" s="26">
        <v>0.0</v>
      </c>
      <c r="O5002" s="26">
        <v>0.0</v>
      </c>
      <c r="P5002" s="34">
        <v>1700.0</v>
      </c>
      <c r="Q5002" s="35">
        <v>180.0</v>
      </c>
      <c r="R5002" s="32">
        <v>45636.0</v>
      </c>
      <c r="S5002" s="32">
        <v>41381.0</v>
      </c>
      <c r="T5002" s="29"/>
      <c r="U5002" s="33"/>
      <c r="V5002" s="1"/>
    </row>
    <row r="5003" ht="24.0" customHeight="1">
      <c r="A5003" s="1"/>
      <c r="B5003" s="24" t="str">
        <f>HYPERLINK("https://www.compass.com/listing/124-west-93rd-street-unit-4b-manhattan-ny-10025/921183706038510025/view?agent_id=610d3f3370540700019b0833","124 West 93rd Street, Unit 4B")</f>
        <v>124 West 93rd Street, Unit 4B</v>
      </c>
      <c r="C5003" s="25" t="s">
        <v>370</v>
      </c>
      <c r="D5003" s="26" t="s">
        <v>23</v>
      </c>
      <c r="E5003" s="27" t="str">
        <f>HYPERLINK("https://www.compass.com/building/the-westerly-condominium-manhattan-ny/281925715492905845/","The Westerly Condominium")</f>
        <v>The Westerly Condominium</v>
      </c>
      <c r="F5003" s="25" t="s">
        <v>29</v>
      </c>
      <c r="G5003" s="28">
        <v>1895000.0</v>
      </c>
      <c r="H5003" s="29"/>
      <c r="I5003" s="28">
        <v>2997.0</v>
      </c>
      <c r="J5003" s="28">
        <v>20340.0</v>
      </c>
      <c r="K5003" s="25" t="s">
        <v>28</v>
      </c>
      <c r="L5003" s="26">
        <v>5.0</v>
      </c>
      <c r="M5003" s="26">
        <v>2.0</v>
      </c>
      <c r="N5003" s="26">
        <v>0.0</v>
      </c>
      <c r="O5003" s="26">
        <v>0.0</v>
      </c>
      <c r="P5003" s="30"/>
      <c r="Q5003" s="35">
        <v>163.0</v>
      </c>
      <c r="R5003" s="32">
        <v>45695.0</v>
      </c>
      <c r="S5003" s="32">
        <v>43271.0</v>
      </c>
      <c r="T5003" s="29"/>
      <c r="U5003" s="33"/>
      <c r="V5003" s="1"/>
    </row>
    <row r="5004" ht="24.0" customHeight="1">
      <c r="A5004" s="1"/>
      <c r="B5004" s="24" t="str">
        <f>HYPERLINK("https://www.compass.com/listing/130-barrow-street-unit-219-manhattan-ny-10014/29507168780785633/view?agent_id=610d3f3370540700019b0833","130 Barrow Street, Unit 219")</f>
        <v>130 Barrow Street, Unit 219</v>
      </c>
      <c r="C5004" s="25" t="s">
        <v>370</v>
      </c>
      <c r="D5004" s="26" t="s">
        <v>23</v>
      </c>
      <c r="E5004" s="27" t="str">
        <f>HYPERLINK("https://www.compass.com/building/130-barrow-st-manhattan-ny-10014/281929836933460117/","130 Barrow St")</f>
        <v>130 Barrow St</v>
      </c>
      <c r="F5004" s="25" t="s">
        <v>26</v>
      </c>
      <c r="G5004" s="28">
        <v>1565000.0</v>
      </c>
      <c r="H5004" s="28">
        <v>1164.0</v>
      </c>
      <c r="I5004" s="28">
        <v>1972.0</v>
      </c>
      <c r="J5004" s="28">
        <v>10524.0</v>
      </c>
      <c r="K5004" s="25" t="s">
        <v>28</v>
      </c>
      <c r="L5004" s="26">
        <v>4.0</v>
      </c>
      <c r="M5004" s="26">
        <v>2.0</v>
      </c>
      <c r="N5004" s="26">
        <v>0.0</v>
      </c>
      <c r="O5004" s="26">
        <v>0.0</v>
      </c>
      <c r="P5004" s="34">
        <v>1345.0</v>
      </c>
      <c r="Q5004" s="35">
        <v>143.0</v>
      </c>
      <c r="R5004" s="32">
        <v>45636.0</v>
      </c>
      <c r="S5004" s="32">
        <v>43175.0</v>
      </c>
      <c r="T5004" s="29"/>
      <c r="U5004" s="33"/>
      <c r="V5004" s="1"/>
    </row>
    <row r="5005" ht="24.0" customHeight="1">
      <c r="A5005" s="1"/>
      <c r="B5005" s="24" t="str">
        <f>HYPERLINK("https://www.compass.com/listing/135-west-14th-street-unit-3-manhattan-ny-10011/803344696386654193/view?agent_id=610d3f3370540700019b0833","135 West 14th Street, Unit 3")</f>
        <v>135 West 14th Street, Unit 3</v>
      </c>
      <c r="C5005" s="25" t="s">
        <v>364</v>
      </c>
      <c r="D5005" s="26" t="s">
        <v>23</v>
      </c>
      <c r="E5005" s="27" t="str">
        <f>HYPERLINK("https://www.compass.com/building/loft-14-manhattan-ny/281905163378116421/","Loft 14")</f>
        <v>Loft 14</v>
      </c>
      <c r="F5005" s="25" t="s">
        <v>27</v>
      </c>
      <c r="G5005" s="28">
        <v>4750000.0</v>
      </c>
      <c r="H5005" s="28">
        <v>2198.0</v>
      </c>
      <c r="I5005" s="28">
        <v>3500.0</v>
      </c>
      <c r="J5005" s="28">
        <v>22800.0</v>
      </c>
      <c r="K5005" s="25" t="s">
        <v>28</v>
      </c>
      <c r="L5005" s="26">
        <v>4.0</v>
      </c>
      <c r="M5005" s="26">
        <v>2.0</v>
      </c>
      <c r="N5005" s="26">
        <v>0.0</v>
      </c>
      <c r="O5005" s="26">
        <v>0.0</v>
      </c>
      <c r="P5005" s="34">
        <v>2161.0</v>
      </c>
      <c r="Q5005" s="35">
        <v>685.0</v>
      </c>
      <c r="R5005" s="32">
        <v>44581.0</v>
      </c>
      <c r="S5005" s="32">
        <v>42193.0</v>
      </c>
      <c r="T5005" s="29"/>
      <c r="U5005" s="33"/>
      <c r="V5005" s="1"/>
    </row>
    <row r="5006" ht="24.0" customHeight="1">
      <c r="A5006" s="1"/>
      <c r="B5006" s="24" t="str">
        <f>HYPERLINK("https://www.compass.com/listing/175-west-95th-street-unit-9g-manhattan-ny-10025/29400322250239953/view?agent_id=610d3f3370540700019b0833","175 W 95th St, Unit 9G")</f>
        <v>175 W 95th St, Unit 9G</v>
      </c>
      <c r="C5006" s="25" t="s">
        <v>364</v>
      </c>
      <c r="D5006" s="26" t="s">
        <v>23</v>
      </c>
      <c r="E5006" s="27" t="str">
        <f t="shared" ref="E5006:E5007" si="226">HYPERLINK("https://www.compass.com/building/175-w-95th-manhattan-ny/292876785429866517/","175 W 95th")</f>
        <v>175 W 95th</v>
      </c>
      <c r="F5006" s="25" t="s">
        <v>29</v>
      </c>
      <c r="G5006" s="28">
        <v>1375000.0</v>
      </c>
      <c r="H5006" s="28">
        <v>1429.0</v>
      </c>
      <c r="I5006" s="28">
        <v>1445.0</v>
      </c>
      <c r="J5006" s="28">
        <v>5016.0</v>
      </c>
      <c r="K5006" s="25" t="s">
        <v>28</v>
      </c>
      <c r="L5006" s="26">
        <v>4.0</v>
      </c>
      <c r="M5006" s="26">
        <v>2.0</v>
      </c>
      <c r="N5006" s="30"/>
      <c r="O5006" s="30"/>
      <c r="P5006" s="26">
        <v>962.0</v>
      </c>
      <c r="Q5006" s="35">
        <v>48.0</v>
      </c>
      <c r="R5006" s="32">
        <v>42144.0</v>
      </c>
      <c r="S5006" s="32">
        <v>42141.0</v>
      </c>
      <c r="T5006" s="29"/>
      <c r="U5006" s="33"/>
      <c r="V5006" s="1"/>
    </row>
    <row r="5007" ht="24.0" customHeight="1">
      <c r="A5007" s="1"/>
      <c r="B5007" s="24" t="str">
        <f>HYPERLINK("https://www.compass.com/listing/175-west-95th-street-unit-24f-manhattan-ny-10025/29400337005801761/view?agent_id=610d3f3370540700019b0833","175 W 95th St, Unit 24F")</f>
        <v>175 W 95th St, Unit 24F</v>
      </c>
      <c r="C5007" s="25" t="s">
        <v>364</v>
      </c>
      <c r="D5007" s="26" t="s">
        <v>23</v>
      </c>
      <c r="E5007" s="27" t="str">
        <f t="shared" si="226"/>
        <v>175 W 95th</v>
      </c>
      <c r="F5007" s="25" t="s">
        <v>29</v>
      </c>
      <c r="G5007" s="28">
        <v>1440000.0</v>
      </c>
      <c r="H5007" s="28">
        <v>1517.0</v>
      </c>
      <c r="I5007" s="28">
        <v>1533.0</v>
      </c>
      <c r="J5007" s="28">
        <v>5328.0</v>
      </c>
      <c r="K5007" s="25" t="s">
        <v>28</v>
      </c>
      <c r="L5007" s="26">
        <v>4.0</v>
      </c>
      <c r="M5007" s="26">
        <v>2.0</v>
      </c>
      <c r="N5007" s="30"/>
      <c r="O5007" s="30"/>
      <c r="P5007" s="26">
        <v>949.0</v>
      </c>
      <c r="Q5007" s="35">
        <v>103.0</v>
      </c>
      <c r="R5007" s="32">
        <v>42104.0</v>
      </c>
      <c r="S5007" s="32">
        <v>42046.0</v>
      </c>
      <c r="T5007" s="29"/>
      <c r="U5007" s="33"/>
      <c r="V5007" s="1"/>
    </row>
    <row r="5008" ht="24.0" customHeight="1">
      <c r="A5008" s="1"/>
      <c r="B5008" s="24" t="str">
        <f>HYPERLINK("https://www.compass.com/listing/519-court-street-brooklyn-ny-11231/29463488023779089/view?agent_id=610d3f3370540700019b0833","519 Court Street")</f>
        <v>519 Court Street</v>
      </c>
      <c r="C5008" s="25" t="s">
        <v>370</v>
      </c>
      <c r="D5008" s="26" t="s">
        <v>23</v>
      </c>
      <c r="E5008" s="27" t="str">
        <f>HYPERLINK("https://www.compass.com/building/519-court-st-brooklyn-ny-11231/282515944360735109/","519 Court St")</f>
        <v>519 Court St</v>
      </c>
      <c r="F5008" s="25" t="s">
        <v>65</v>
      </c>
      <c r="G5008" s="28">
        <v>2450000.0</v>
      </c>
      <c r="H5008" s="28">
        <v>907.0</v>
      </c>
      <c r="I5008" s="28">
        <v>0.0</v>
      </c>
      <c r="J5008" s="29"/>
      <c r="K5008" s="25" t="s">
        <v>447</v>
      </c>
      <c r="L5008" s="26">
        <v>4.0</v>
      </c>
      <c r="M5008" s="26">
        <v>2.0</v>
      </c>
      <c r="N5008" s="26">
        <v>0.0</v>
      </c>
      <c r="O5008" s="26">
        <v>0.0</v>
      </c>
      <c r="P5008" s="34">
        <v>2700.0</v>
      </c>
      <c r="Q5008" s="35">
        <v>352.0</v>
      </c>
      <c r="R5008" s="32">
        <v>44581.0</v>
      </c>
      <c r="S5008" s="32">
        <v>42757.0</v>
      </c>
      <c r="T5008" s="29"/>
      <c r="U5008" s="33"/>
      <c r="V5008" s="1"/>
    </row>
    <row r="5009" ht="24.0" customHeight="1">
      <c r="A5009" s="1"/>
      <c r="B5009" s="24" t="str">
        <f>HYPERLINK("https://www.compass.com/listing/327-west-11th-street-unit-4r-manhattan-ny-10014/29368713195048433/view?agent_id=610d3f3370540700019b0833","327 West 11th Street, Unit 4R")</f>
        <v>327 West 11th Street, Unit 4R</v>
      </c>
      <c r="C5009" s="25" t="s">
        <v>370</v>
      </c>
      <c r="D5009" s="26" t="s">
        <v>23</v>
      </c>
      <c r="E5009" s="27" t="str">
        <f>HYPERLINK("https://www.compass.com/building/327-w-11th-st-manhattan-ny-10014/282060578833334917/","327 W 11th St")</f>
        <v>327 W 11th St</v>
      </c>
      <c r="F5009" s="25" t="s">
        <v>26</v>
      </c>
      <c r="G5009" s="28">
        <v>2399000.0</v>
      </c>
      <c r="H5009" s="29"/>
      <c r="I5009" s="28">
        <v>1900.0</v>
      </c>
      <c r="J5009" s="29"/>
      <c r="K5009" s="25" t="s">
        <v>25</v>
      </c>
      <c r="L5009" s="26">
        <v>5.0</v>
      </c>
      <c r="M5009" s="26">
        <v>2.0</v>
      </c>
      <c r="N5009" s="26">
        <v>0.0</v>
      </c>
      <c r="O5009" s="26">
        <v>0.0</v>
      </c>
      <c r="P5009" s="30"/>
      <c r="Q5009" s="35">
        <v>172.0</v>
      </c>
      <c r="R5009" s="32">
        <v>45636.0</v>
      </c>
      <c r="S5009" s="32">
        <v>41777.0</v>
      </c>
      <c r="T5009" s="29"/>
      <c r="U5009" s="33"/>
      <c r="V5009" s="1"/>
    </row>
    <row r="5010" ht="24.0" customHeight="1">
      <c r="A5010" s="1"/>
      <c r="B5010" s="24" t="str">
        <f>HYPERLINK("https://www.compass.com/listing/399-east-8th-street-unit-3a-manhattan-ny-10009/1838897261552438705/view?agent_id=610d3f3370540700019b0833","399 E 8th St, Unit 3A")</f>
        <v>399 E 8th St, Unit 3A</v>
      </c>
      <c r="C5010" s="25" t="s">
        <v>364</v>
      </c>
      <c r="D5010" s="26" t="s">
        <v>23</v>
      </c>
      <c r="E5010" s="27" t="str">
        <f>HYPERLINK("https://www.compass.com/building/three99-on-eighth-manhattan-ny/281899849236886213/","THREE99 On Eighth")</f>
        <v>THREE99 On Eighth</v>
      </c>
      <c r="F5010" s="25" t="s">
        <v>24</v>
      </c>
      <c r="G5010" s="28">
        <v>1048950.0</v>
      </c>
      <c r="H5010" s="28">
        <v>1568.0</v>
      </c>
      <c r="I5010" s="28">
        <v>557.0</v>
      </c>
      <c r="J5010" s="28">
        <v>577.0</v>
      </c>
      <c r="K5010" s="25" t="s">
        <v>28</v>
      </c>
      <c r="L5010" s="26">
        <v>4.0</v>
      </c>
      <c r="M5010" s="26">
        <v>2.0</v>
      </c>
      <c r="N5010" s="26">
        <v>1.0</v>
      </c>
      <c r="O5010" s="26">
        <v>0.0</v>
      </c>
      <c r="P5010" s="26">
        <v>669.0</v>
      </c>
      <c r="Q5010" s="35">
        <v>34.0</v>
      </c>
      <c r="R5010" s="32">
        <v>44059.0</v>
      </c>
      <c r="S5010" s="32">
        <v>43928.0</v>
      </c>
      <c r="T5010" s="29"/>
      <c r="U5010" s="33"/>
      <c r="V5010" s="1"/>
    </row>
    <row r="5011" ht="24.0" customHeight="1">
      <c r="A5011" s="1"/>
      <c r="B5011" s="24" t="str">
        <f>HYPERLINK("https://www.compass.com/listing/178-bleecker-street-unit-5-manhattan-ny-10012/4821971717171718913/view?agent_id=610d3f3370540700019b0833","178 Bleecker Street, Unit 5")</f>
        <v>178 Bleecker Street, Unit 5</v>
      </c>
      <c r="C5011" s="25" t="s">
        <v>364</v>
      </c>
      <c r="D5011" s="26" t="s">
        <v>23</v>
      </c>
      <c r="E5011" s="27" t="str">
        <f>HYPERLINK("https://www.compass.com/building/178-bleecker-st-manhattan-ny-10012/281913488861850821/","178 Bleecker St")</f>
        <v>178 Bleecker St</v>
      </c>
      <c r="F5011" s="25" t="s">
        <v>43</v>
      </c>
      <c r="G5011" s="28">
        <v>3267000.0</v>
      </c>
      <c r="H5011" s="29"/>
      <c r="I5011" s="28">
        <v>3179.0</v>
      </c>
      <c r="J5011" s="28">
        <v>23076.0</v>
      </c>
      <c r="K5011" s="25" t="s">
        <v>28</v>
      </c>
      <c r="L5011" s="26">
        <v>4.0</v>
      </c>
      <c r="M5011" s="26">
        <v>2.0</v>
      </c>
      <c r="N5011" s="26">
        <v>1.0</v>
      </c>
      <c r="O5011" s="26">
        <v>0.0</v>
      </c>
      <c r="P5011" s="30"/>
      <c r="Q5011" s="35">
        <v>58.0</v>
      </c>
      <c r="R5011" s="32">
        <v>44581.0</v>
      </c>
      <c r="S5011" s="32">
        <v>43111.0</v>
      </c>
      <c r="T5011" s="29"/>
      <c r="U5011" s="33"/>
      <c r="V5011" s="1"/>
    </row>
    <row r="5012" ht="24.0" customHeight="1">
      <c r="A5012" s="1"/>
      <c r="B5012" s="24" t="str">
        <f>HYPERLINK("https://www.compass.com/listing/327-east-3rd-street-unit-5b-manhattan-ny-10009/1838949497741502337/view?agent_id=610d3f3370540700019b0833","327 East 3rd Street, Unit 5B")</f>
        <v>327 East 3rd Street, Unit 5B</v>
      </c>
      <c r="C5012" s="25" t="s">
        <v>364</v>
      </c>
      <c r="D5012" s="26" t="s">
        <v>23</v>
      </c>
      <c r="E5012" s="27" t="str">
        <f>HYPERLINK("https://www.compass.com/building/327-e-3rd-st-manhattan-ny-10009/281899616352350661/","327 E 3rd St")</f>
        <v>327 E 3rd St</v>
      </c>
      <c r="F5012" s="25" t="s">
        <v>24</v>
      </c>
      <c r="G5012" s="28">
        <v>439995.0</v>
      </c>
      <c r="H5012" s="29"/>
      <c r="I5012" s="28">
        <v>268.0</v>
      </c>
      <c r="J5012" s="29"/>
      <c r="K5012" s="25" t="s">
        <v>25</v>
      </c>
      <c r="L5012" s="26">
        <v>4.0</v>
      </c>
      <c r="M5012" s="26">
        <v>2.0</v>
      </c>
      <c r="N5012" s="26">
        <v>0.0</v>
      </c>
      <c r="O5012" s="26">
        <v>0.0</v>
      </c>
      <c r="P5012" s="30"/>
      <c r="Q5012" s="35">
        <v>0.0</v>
      </c>
      <c r="R5012" s="32">
        <v>44581.0</v>
      </c>
      <c r="S5012" s="32">
        <v>41493.0</v>
      </c>
      <c r="T5012" s="29"/>
      <c r="U5012" s="33"/>
      <c r="V5012" s="1"/>
    </row>
    <row r="5013" ht="24.0" customHeight="1">
      <c r="A5013" s="1"/>
      <c r="B5013" s="24" t="str">
        <f>HYPERLINK("https://www.compass.com/listing/92-horatio-street-unit-4k-manhattan-ny-10014/29369177202528369/view?agent_id=610d3f3370540700019b0833","92 Horatio Street, Unit 4K")</f>
        <v>92 Horatio Street, Unit 4K</v>
      </c>
      <c r="C5013" s="25" t="s">
        <v>370</v>
      </c>
      <c r="D5013" s="26" t="s">
        <v>23</v>
      </c>
      <c r="E5013" s="27" t="str">
        <f>HYPERLINK("https://www.compass.com/building/92-horatio-st-manhattan-ny-10014/281936370476307461/","92 Horatio St")</f>
        <v>92 Horatio St</v>
      </c>
      <c r="F5013" s="25" t="s">
        <v>26</v>
      </c>
      <c r="G5013" s="28">
        <v>650000.0</v>
      </c>
      <c r="H5013" s="29"/>
      <c r="I5013" s="28">
        <v>2047.0</v>
      </c>
      <c r="J5013" s="29"/>
      <c r="K5013" s="25" t="s">
        <v>25</v>
      </c>
      <c r="L5013" s="26">
        <v>4.0</v>
      </c>
      <c r="M5013" s="26">
        <v>2.0</v>
      </c>
      <c r="N5013" s="26">
        <v>0.0</v>
      </c>
      <c r="O5013" s="26">
        <v>0.0</v>
      </c>
      <c r="P5013" s="30"/>
      <c r="Q5013" s="35">
        <v>49.0</v>
      </c>
      <c r="R5013" s="32">
        <v>44581.0</v>
      </c>
      <c r="S5013" s="32">
        <v>42157.0</v>
      </c>
      <c r="T5013" s="29"/>
      <c r="U5013" s="33"/>
      <c r="V5013" s="1"/>
    </row>
    <row r="5014" ht="24.0" customHeight="1">
      <c r="A5014" s="1"/>
      <c r="B5014" s="24" t="str">
        <f>HYPERLINK("https://www.compass.com/listing/399-east-8th-street-unit-5a-manhattan-ny-10009/1787251958504600753/view?agent_id=610d3f3370540700019b0833","399 E 8th St, Unit 5A")</f>
        <v>399 E 8th St, Unit 5A</v>
      </c>
      <c r="C5014" s="25" t="s">
        <v>364</v>
      </c>
      <c r="D5014" s="26" t="s">
        <v>23</v>
      </c>
      <c r="E5014" s="27" t="str">
        <f>HYPERLINK("https://www.compass.com/building/three99-on-eighth-manhattan-ny/281899849236886213/","THREE99 On Eighth")</f>
        <v>THREE99 On Eighth</v>
      </c>
      <c r="F5014" s="25" t="s">
        <v>24</v>
      </c>
      <c r="G5014" s="28">
        <v>1037400.0</v>
      </c>
      <c r="H5014" s="29"/>
      <c r="I5014" s="28">
        <v>711.0</v>
      </c>
      <c r="J5014" s="28">
        <v>588.0</v>
      </c>
      <c r="K5014" s="25" t="s">
        <v>28</v>
      </c>
      <c r="L5014" s="26">
        <v>4.0</v>
      </c>
      <c r="M5014" s="26">
        <v>2.0</v>
      </c>
      <c r="N5014" s="26">
        <v>1.0</v>
      </c>
      <c r="O5014" s="26">
        <v>0.0</v>
      </c>
      <c r="P5014" s="30"/>
      <c r="Q5014" s="35">
        <v>231.0</v>
      </c>
      <c r="R5014" s="32">
        <v>44272.0</v>
      </c>
      <c r="S5014" s="32">
        <v>44041.0</v>
      </c>
      <c r="T5014" s="29"/>
      <c r="U5014" s="33"/>
      <c r="V5014" s="1"/>
    </row>
    <row r="5015" ht="24.0" customHeight="1">
      <c r="A5015" s="1"/>
      <c r="B5015" s="24" t="str">
        <f>HYPERLINK("https://www.compass.com/listing/655-6th-avenue-unit-3e-manhattan-ny-10010/1809621806328237713/view?agent_id=610d3f3370540700019b0833","655 6th Avenue, Unit 3E")</f>
        <v>655 6th Avenue, Unit 3E</v>
      </c>
      <c r="C5015" s="25" t="s">
        <v>364</v>
      </c>
      <c r="D5015" s="26" t="s">
        <v>23</v>
      </c>
      <c r="E5015" s="27" t="str">
        <f t="shared" ref="E5015:E5016" si="227">HYPERLINK("https://www.compass.com/building/655-6th-ave-manhattan-ny-10010/307450308648902101/","655 6th Ave")</f>
        <v>655 6th Ave</v>
      </c>
      <c r="F5015" s="25" t="s">
        <v>27</v>
      </c>
      <c r="G5015" s="28">
        <v>3150000.0</v>
      </c>
      <c r="H5015" s="28">
        <v>1972.0</v>
      </c>
      <c r="I5015" s="28">
        <v>3908.0</v>
      </c>
      <c r="J5015" s="28">
        <v>27000.0</v>
      </c>
      <c r="K5015" s="25" t="s">
        <v>28</v>
      </c>
      <c r="L5015" s="26">
        <v>4.0</v>
      </c>
      <c r="M5015" s="26">
        <v>2.0</v>
      </c>
      <c r="N5015" s="26">
        <v>0.0</v>
      </c>
      <c r="O5015" s="26">
        <v>0.0</v>
      </c>
      <c r="P5015" s="34">
        <v>1597.0</v>
      </c>
      <c r="Q5015" s="35">
        <v>1595.0</v>
      </c>
      <c r="R5015" s="32">
        <v>44581.0</v>
      </c>
      <c r="S5015" s="32">
        <v>42985.0</v>
      </c>
      <c r="T5015" s="29"/>
      <c r="U5015" s="33"/>
      <c r="V5015" s="1"/>
    </row>
    <row r="5016" ht="24.0" customHeight="1">
      <c r="A5016" s="1"/>
      <c r="B5016" s="24" t="str">
        <f>HYPERLINK("https://www.compass.com/listing/655-6th-avenue-unit-3e-manhattan-ny-10010/803301367842301977/view?agent_id=610d3f3370540700019b0833","655 6th Avenue, Unit 3E")</f>
        <v>655 6th Avenue, Unit 3E</v>
      </c>
      <c r="C5016" s="25" t="s">
        <v>364</v>
      </c>
      <c r="D5016" s="26" t="s">
        <v>23</v>
      </c>
      <c r="E5016" s="27" t="str">
        <f t="shared" si="227"/>
        <v>655 6th Ave</v>
      </c>
      <c r="F5016" s="25" t="s">
        <v>27</v>
      </c>
      <c r="G5016" s="28">
        <v>3150000.0</v>
      </c>
      <c r="H5016" s="28">
        <v>1972.0</v>
      </c>
      <c r="I5016" s="28">
        <v>3908.0</v>
      </c>
      <c r="J5016" s="28">
        <v>27000.0</v>
      </c>
      <c r="K5016" s="25" t="s">
        <v>28</v>
      </c>
      <c r="L5016" s="26">
        <v>4.0</v>
      </c>
      <c r="M5016" s="26">
        <v>2.0</v>
      </c>
      <c r="N5016" s="26">
        <v>0.0</v>
      </c>
      <c r="O5016" s="26">
        <v>0.0</v>
      </c>
      <c r="P5016" s="34">
        <v>1597.0</v>
      </c>
      <c r="Q5016" s="35">
        <v>174.0</v>
      </c>
      <c r="R5016" s="32">
        <v>45636.0</v>
      </c>
      <c r="S5016" s="32">
        <v>42803.0</v>
      </c>
      <c r="T5016" s="29"/>
      <c r="U5016" s="33"/>
      <c r="V5016" s="1"/>
    </row>
    <row r="5017" ht="24.0" customHeight="1">
      <c r="A5017" s="1"/>
      <c r="B5017" s="24" t="str">
        <f>HYPERLINK("https://www.compass.com/listing/101-warren-street-unit-1850-manhattan-ny-10007/29358136259275249/view?agent_id=610d3f3370540700019b0833","101 Warren Street, Unit 1850")</f>
        <v>101 Warren Street, Unit 1850</v>
      </c>
      <c r="C5017" s="25" t="s">
        <v>370</v>
      </c>
      <c r="D5017" s="26" t="s">
        <v>23</v>
      </c>
      <c r="E5017" s="27" t="str">
        <f t="shared" ref="E5017:E5018" si="228">HYPERLINK("https://www.compass.com/building/99-101-warren-manhattan-ny/307460833541810581/","99-101 Warren")</f>
        <v>99-101 Warren</v>
      </c>
      <c r="F5017" s="25" t="s">
        <v>60</v>
      </c>
      <c r="G5017" s="28">
        <v>4350000.0</v>
      </c>
      <c r="H5017" s="28">
        <v>2469.0</v>
      </c>
      <c r="I5017" s="28">
        <v>2640.0</v>
      </c>
      <c r="J5017" s="28">
        <v>10128.0</v>
      </c>
      <c r="K5017" s="25" t="s">
        <v>209</v>
      </c>
      <c r="L5017" s="26">
        <v>4.0</v>
      </c>
      <c r="M5017" s="26">
        <v>2.0</v>
      </c>
      <c r="N5017" s="26">
        <v>0.0</v>
      </c>
      <c r="O5017" s="26">
        <v>0.0</v>
      </c>
      <c r="P5017" s="34">
        <v>1762.0</v>
      </c>
      <c r="Q5017" s="35">
        <v>56.0</v>
      </c>
      <c r="R5017" s="32">
        <v>44581.0</v>
      </c>
      <c r="S5017" s="32">
        <v>41641.0</v>
      </c>
      <c r="T5017" s="29"/>
      <c r="U5017" s="33"/>
      <c r="V5017" s="1"/>
    </row>
    <row r="5018" ht="24.0" customHeight="1">
      <c r="A5018" s="1"/>
      <c r="B5018" s="24" t="str">
        <f>HYPERLINK("https://www.compass.com/listing/101-warren-street-unit-1850-manhattan-ny-10007/70910889963900289/view?agent_id=610d3f3370540700019b0833","101 Warren Street, Unit 1850")</f>
        <v>101 Warren Street, Unit 1850</v>
      </c>
      <c r="C5018" s="25" t="s">
        <v>370</v>
      </c>
      <c r="D5018" s="26" t="s">
        <v>23</v>
      </c>
      <c r="E5018" s="27" t="str">
        <f t="shared" si="228"/>
        <v>99-101 Warren</v>
      </c>
      <c r="F5018" s="25" t="s">
        <v>60</v>
      </c>
      <c r="G5018" s="28">
        <v>4500000.0</v>
      </c>
      <c r="H5018" s="28">
        <v>2554.0</v>
      </c>
      <c r="I5018" s="28">
        <v>2758.0</v>
      </c>
      <c r="J5018" s="28">
        <v>10452.0</v>
      </c>
      <c r="K5018" s="25" t="s">
        <v>209</v>
      </c>
      <c r="L5018" s="26">
        <v>4.0</v>
      </c>
      <c r="M5018" s="26">
        <v>2.0</v>
      </c>
      <c r="N5018" s="26">
        <v>0.0</v>
      </c>
      <c r="O5018" s="26">
        <v>0.0</v>
      </c>
      <c r="P5018" s="34">
        <v>1762.0</v>
      </c>
      <c r="Q5018" s="35">
        <v>62.0</v>
      </c>
      <c r="R5018" s="32">
        <v>44581.0</v>
      </c>
      <c r="S5018" s="32">
        <v>41289.0</v>
      </c>
      <c r="T5018" s="29"/>
      <c r="U5018" s="33"/>
      <c r="V5018" s="1"/>
    </row>
    <row r="5019" ht="24.0" customHeight="1">
      <c r="A5019" s="1"/>
      <c r="B5019" s="24" t="str">
        <f>HYPERLINK("https://www.compass.com/listing/468-west-broadway-unit-1e-manhattan-ny-10012/50942352210101217/view?agent_id=610d3f3370540700019b0833","468 West Broadway, Unit 1E")</f>
        <v>468 West Broadway, Unit 1E</v>
      </c>
      <c r="C5019" s="25" t="s">
        <v>370</v>
      </c>
      <c r="D5019" s="26" t="s">
        <v>23</v>
      </c>
      <c r="E5019" s="27" t="str">
        <f>HYPERLINK("https://www.compass.com/building/the-west-broadway-arches-manhattan-ny/292809175556195477/","The West Broadway Arches")</f>
        <v>The West Broadway Arches</v>
      </c>
      <c r="F5019" s="25" t="s">
        <v>53</v>
      </c>
      <c r="G5019" s="28">
        <v>2600000.0</v>
      </c>
      <c r="H5019" s="29"/>
      <c r="I5019" s="28">
        <v>2442.0</v>
      </c>
      <c r="J5019" s="29"/>
      <c r="K5019" s="25" t="s">
        <v>25</v>
      </c>
      <c r="L5019" s="26">
        <v>3.0</v>
      </c>
      <c r="M5019" s="26">
        <v>2.0</v>
      </c>
      <c r="N5019" s="26">
        <v>0.0</v>
      </c>
      <c r="O5019" s="26">
        <v>0.0</v>
      </c>
      <c r="P5019" s="30"/>
      <c r="Q5019" s="35">
        <v>174.0</v>
      </c>
      <c r="R5019" s="32">
        <v>45636.0</v>
      </c>
      <c r="S5019" s="32">
        <v>42886.0</v>
      </c>
      <c r="T5019" s="29"/>
      <c r="U5019" s="33"/>
      <c r="V5019" s="1"/>
    </row>
    <row r="5020" ht="24.0" customHeight="1">
      <c r="A5020" s="1"/>
      <c r="B5020" s="24" t="str">
        <f>HYPERLINK("https://www.compass.com/listing/53-murray-street-unit-1-manhattan-ny-10007/654839676152113033/view?agent_id=610d3f3370540700019b0833","53 Murray St, Unit 1")</f>
        <v>53 Murray St, Unit 1</v>
      </c>
      <c r="C5020" s="25" t="s">
        <v>364</v>
      </c>
      <c r="D5020" s="26" t="s">
        <v>23</v>
      </c>
      <c r="E5020" s="27" t="str">
        <f>HYPERLINK("https://www.compass.com/building/the-mansions-on-murray-manhattan-ny/281897056778331429/","The Mansions on Murray")</f>
        <v>The Mansions on Murray</v>
      </c>
      <c r="F5020" s="25" t="s">
        <v>60</v>
      </c>
      <c r="G5020" s="28">
        <v>4500000.0</v>
      </c>
      <c r="H5020" s="28">
        <v>840.0</v>
      </c>
      <c r="I5020" s="28">
        <v>4247.0</v>
      </c>
      <c r="J5020" s="28">
        <v>40776.0</v>
      </c>
      <c r="K5020" s="25" t="s">
        <v>28</v>
      </c>
      <c r="L5020" s="26">
        <v>7.0</v>
      </c>
      <c r="M5020" s="26">
        <v>2.0</v>
      </c>
      <c r="N5020" s="26">
        <v>0.0</v>
      </c>
      <c r="O5020" s="26">
        <v>0.0</v>
      </c>
      <c r="P5020" s="34">
        <v>5355.0</v>
      </c>
      <c r="Q5020" s="35">
        <v>219.0</v>
      </c>
      <c r="R5020" s="32">
        <v>45636.0</v>
      </c>
      <c r="S5020" s="32">
        <v>42345.0</v>
      </c>
      <c r="T5020" s="29"/>
      <c r="U5020" s="33"/>
      <c r="V5020" s="1"/>
    </row>
    <row r="5021" ht="24.0" customHeight="1">
      <c r="A5021" s="1"/>
      <c r="B5021" s="24" t="str">
        <f>HYPERLINK("https://www.compass.com/listing/80-warren-street-unit-19-manhattan-ny-10007/4852306310462450433/view?agent_id=610d3f3370540700019b0833","80 Warren St, Unit 19")</f>
        <v>80 Warren St, Unit 19</v>
      </c>
      <c r="C5021" s="25" t="s">
        <v>364</v>
      </c>
      <c r="D5021" s="26" t="s">
        <v>23</v>
      </c>
      <c r="E5021" s="27" t="str">
        <f>HYPERLINK("https://www.compass.com/building/80-warren-st-manhattan-ny-10007/281897182406125573/","80 Warren St")</f>
        <v>80 Warren St</v>
      </c>
      <c r="F5021" s="25" t="s">
        <v>60</v>
      </c>
      <c r="G5021" s="28">
        <v>1795000.0</v>
      </c>
      <c r="H5021" s="29"/>
      <c r="I5021" s="28">
        <v>1359.0</v>
      </c>
      <c r="J5021" s="29"/>
      <c r="K5021" s="25" t="s">
        <v>25</v>
      </c>
      <c r="L5021" s="26">
        <v>5.0</v>
      </c>
      <c r="M5021" s="26">
        <v>2.0</v>
      </c>
      <c r="N5021" s="26">
        <v>0.0</v>
      </c>
      <c r="O5021" s="26">
        <v>0.0</v>
      </c>
      <c r="P5021" s="30"/>
      <c r="Q5021" s="35">
        <v>0.0</v>
      </c>
      <c r="R5021" s="32">
        <v>44581.0</v>
      </c>
      <c r="S5021" s="32">
        <v>41501.0</v>
      </c>
      <c r="T5021" s="29"/>
      <c r="U5021" s="33"/>
      <c r="V5021" s="1"/>
    </row>
    <row r="5022" ht="24.0" customHeight="1">
      <c r="A5022" s="1"/>
      <c r="B5022" s="24" t="str">
        <f>HYPERLINK("https://www.compass.com/listing/240-west-23rd-street-unit-3b4b-manhattan-ny-10011/1809612789665096577/view?agent_id=610d3f3370540700019b0833","240 W 23rd St, Unit 3B4B")</f>
        <v>240 W 23rd St, Unit 3B4B</v>
      </c>
      <c r="C5022" s="25" t="s">
        <v>364</v>
      </c>
      <c r="D5022" s="26" t="s">
        <v>23</v>
      </c>
      <c r="E5022" s="27" t="str">
        <f>HYPERLINK("https://www.compass.com/building/240-w-23rd-st-manhattan-ny-10011/281907707802309813/","240 W 23rd St")</f>
        <v>240 W 23rd St</v>
      </c>
      <c r="F5022" s="25" t="s">
        <v>27</v>
      </c>
      <c r="G5022" s="28">
        <v>1469000.0</v>
      </c>
      <c r="H5022" s="29"/>
      <c r="I5022" s="28">
        <v>2437.0</v>
      </c>
      <c r="J5022" s="29"/>
      <c r="K5022" s="25" t="s">
        <v>25</v>
      </c>
      <c r="L5022" s="26">
        <v>5.0</v>
      </c>
      <c r="M5022" s="26">
        <v>2.0</v>
      </c>
      <c r="N5022" s="26">
        <v>0.0</v>
      </c>
      <c r="O5022" s="26">
        <v>0.0</v>
      </c>
      <c r="P5022" s="30"/>
      <c r="Q5022" s="35">
        <v>686.0</v>
      </c>
      <c r="R5022" s="32">
        <v>44581.0</v>
      </c>
      <c r="S5022" s="32">
        <v>41242.0</v>
      </c>
      <c r="T5022" s="29"/>
      <c r="U5022" s="33"/>
      <c r="V5022" s="1"/>
    </row>
    <row r="5023" ht="24.0" customHeight="1">
      <c r="A5023" s="1"/>
      <c r="B5023" s="24" t="str">
        <f>HYPERLINK("https://www.compass.com/listing/246-west-17th-street-unit-5b-manhattan-ny-10011/803299319553755889/view?agent_id=610d3f3370540700019b0833","246 W 17th St, Unit 5B")</f>
        <v>246 W 17th St, Unit 5B</v>
      </c>
      <c r="C5023" s="25" t="s">
        <v>364</v>
      </c>
      <c r="D5023" s="26" t="s">
        <v>23</v>
      </c>
      <c r="E5023" s="27" t="str">
        <f>HYPERLINK("https://www.compass.com/building/246-west-17th-street-manhattan-ny/281907841273453509/","246 West 17th Street")</f>
        <v>246 West 17th Street</v>
      </c>
      <c r="F5023" s="25" t="s">
        <v>27</v>
      </c>
      <c r="G5023" s="28">
        <v>3100000.0</v>
      </c>
      <c r="H5023" s="28">
        <v>2027.0</v>
      </c>
      <c r="I5023" s="28">
        <v>3218.0</v>
      </c>
      <c r="J5023" s="28">
        <v>16644.0</v>
      </c>
      <c r="K5023" s="25" t="s">
        <v>28</v>
      </c>
      <c r="L5023" s="26">
        <v>4.0</v>
      </c>
      <c r="M5023" s="26">
        <v>2.0</v>
      </c>
      <c r="N5023" s="26">
        <v>0.0</v>
      </c>
      <c r="O5023" s="26">
        <v>0.0</v>
      </c>
      <c r="P5023" s="34">
        <v>1529.0</v>
      </c>
      <c r="Q5023" s="35">
        <v>120.0</v>
      </c>
      <c r="R5023" s="32">
        <v>45636.0</v>
      </c>
      <c r="S5023" s="32">
        <v>42795.0</v>
      </c>
      <c r="T5023" s="29"/>
      <c r="U5023" s="33"/>
      <c r="V5023" s="1"/>
    </row>
    <row r="5024" ht="24.0" customHeight="1">
      <c r="A5024" s="1"/>
      <c r="B5024" s="24" t="str">
        <f>HYPERLINK("https://www.compass.com/listing/280-park-avenue-south-unit-18j-manhattan-ny-10010/31787943660169505/view?agent_id=610d3f3370540700019b0833","280 Park Ave S, Unit 18J")</f>
        <v>280 Park Ave S, Unit 18J</v>
      </c>
      <c r="C5024" s="25" t="s">
        <v>364</v>
      </c>
      <c r="D5024" s="26" t="s">
        <v>23</v>
      </c>
      <c r="E5024" s="27" t="str">
        <f>HYPERLINK("https://www.compass.com/building/the-gramercy-place-condo-manhattan-ny/294845589128497029/","The Gramercy Place Condo")</f>
        <v>The Gramercy Place Condo</v>
      </c>
      <c r="F5024" s="25" t="s">
        <v>115</v>
      </c>
      <c r="G5024" s="28">
        <v>1880000.0</v>
      </c>
      <c r="H5024" s="28">
        <v>1555.0</v>
      </c>
      <c r="I5024" s="28">
        <v>3142.0</v>
      </c>
      <c r="J5024" s="28">
        <v>22848.0</v>
      </c>
      <c r="K5024" s="25" t="s">
        <v>28</v>
      </c>
      <c r="L5024" s="26">
        <v>4.0</v>
      </c>
      <c r="M5024" s="26">
        <v>2.0</v>
      </c>
      <c r="N5024" s="26">
        <v>0.0</v>
      </c>
      <c r="O5024" s="26">
        <v>0.0</v>
      </c>
      <c r="P5024" s="34">
        <v>1209.0</v>
      </c>
      <c r="Q5024" s="35">
        <v>85.0</v>
      </c>
      <c r="R5024" s="32">
        <v>45636.0</v>
      </c>
      <c r="S5024" s="32">
        <v>42528.0</v>
      </c>
      <c r="T5024" s="29"/>
      <c r="U5024" s="33"/>
      <c r="V5024" s="1"/>
    </row>
    <row r="5025" ht="24.0" customHeight="1">
      <c r="A5025" s="1"/>
      <c r="B5025" s="24" t="str">
        <f>HYPERLINK("https://www.compass.com/listing/227-10th-avenue-unit-2-manhattan-ny-10011/4852267132978735313/view?agent_id=610d3f3370540700019b0833","227 10th Ave, Unit 2")</f>
        <v>227 10th Ave, Unit 2</v>
      </c>
      <c r="C5025" s="25" t="s">
        <v>370</v>
      </c>
      <c r="D5025" s="26" t="s">
        <v>23</v>
      </c>
      <c r="E5025" s="27" t="str">
        <f>HYPERLINK("https://www.compass.com/building/227-10th-ave-manhattan-ny-10011/281907224584934037/","227 10th Ave")</f>
        <v>227 10th Ave</v>
      </c>
      <c r="F5025" s="25" t="s">
        <v>27</v>
      </c>
      <c r="G5025" s="28">
        <v>2500000.0</v>
      </c>
      <c r="H5025" s="28">
        <v>2273.0</v>
      </c>
      <c r="I5025" s="28">
        <v>1522.0</v>
      </c>
      <c r="J5025" s="28">
        <v>13800.0</v>
      </c>
      <c r="K5025" s="25" t="s">
        <v>28</v>
      </c>
      <c r="L5025" s="26">
        <v>4.0</v>
      </c>
      <c r="M5025" s="26">
        <v>2.0</v>
      </c>
      <c r="N5025" s="26">
        <v>0.0</v>
      </c>
      <c r="O5025" s="26">
        <v>0.0</v>
      </c>
      <c r="P5025" s="34">
        <v>1100.0</v>
      </c>
      <c r="Q5025" s="35">
        <v>56.0</v>
      </c>
      <c r="R5025" s="32">
        <v>45636.0</v>
      </c>
      <c r="S5025" s="32">
        <v>42277.0</v>
      </c>
      <c r="T5025" s="29"/>
      <c r="U5025" s="33"/>
      <c r="V5025" s="1"/>
    </row>
    <row r="5026" ht="24.0" customHeight="1">
      <c r="A5026" s="1"/>
      <c r="B5026" s="24" t="str">
        <f>HYPERLINK("https://www.compass.com/listing/115-eastern-parkway-unit-4c-brooklyn-ny-11238/1287130794270193553/view?agent_id=610d3f3370540700019b0833","115 Eastern Pkwy, Unit 4C")</f>
        <v>115 Eastern Pkwy, Unit 4C</v>
      </c>
      <c r="C5026" s="25" t="s">
        <v>364</v>
      </c>
      <c r="D5026" s="26" t="s">
        <v>23</v>
      </c>
      <c r="E5026" s="27" t="str">
        <f>HYPERLINK("https://www.compass.com/building/museum-court-brooklyn-ny/293416599191399125/","Museum Court")</f>
        <v>Museum Court</v>
      </c>
      <c r="F5026" s="25" t="s">
        <v>39</v>
      </c>
      <c r="G5026" s="28">
        <v>899000.0</v>
      </c>
      <c r="H5026" s="29"/>
      <c r="I5026" s="28">
        <v>1028.0</v>
      </c>
      <c r="J5026" s="29"/>
      <c r="K5026" s="25" t="s">
        <v>25</v>
      </c>
      <c r="L5026" s="26">
        <v>4.0</v>
      </c>
      <c r="M5026" s="26">
        <v>2.0</v>
      </c>
      <c r="N5026" s="26">
        <v>1.0</v>
      </c>
      <c r="O5026" s="26">
        <v>0.0</v>
      </c>
      <c r="P5026" s="30"/>
      <c r="Q5026" s="35">
        <v>152.0</v>
      </c>
      <c r="R5026" s="32">
        <v>45636.0</v>
      </c>
      <c r="S5026" s="32">
        <v>45027.0</v>
      </c>
      <c r="T5026" s="29"/>
      <c r="U5026" s="33"/>
      <c r="V5026" s="1"/>
    </row>
    <row r="5027" ht="24.0" customHeight="1">
      <c r="A5027" s="1"/>
      <c r="B5027" s="24" t="str">
        <f>HYPERLINK("https://www.compass.com/listing/410-7th-avenue-unit-2f-brooklyn-ny-11215/203673401607375233/view?agent_id=610d3f3370540700019b0833","410 7th Ave, Unit 2F")</f>
        <v>410 7th Ave, Unit 2F</v>
      </c>
      <c r="C5027" s="25" t="s">
        <v>364</v>
      </c>
      <c r="D5027" s="26" t="s">
        <v>23</v>
      </c>
      <c r="E5027" s="27" t="str">
        <f>HYPERLINK("https://www.compass.com/building/410-7th-ave-brooklyn-ny-11215/282511949319723349/","410 7th Ave")</f>
        <v>410 7th Ave</v>
      </c>
      <c r="F5027" s="25" t="s">
        <v>40</v>
      </c>
      <c r="G5027" s="28">
        <v>725000.0</v>
      </c>
      <c r="H5027" s="29"/>
      <c r="I5027" s="28">
        <v>612.0</v>
      </c>
      <c r="J5027" s="29"/>
      <c r="K5027" s="25" t="s">
        <v>25</v>
      </c>
      <c r="L5027" s="26">
        <v>4.0</v>
      </c>
      <c r="M5027" s="26">
        <v>2.0</v>
      </c>
      <c r="N5027" s="26">
        <v>1.0</v>
      </c>
      <c r="O5027" s="26">
        <v>0.0</v>
      </c>
      <c r="P5027" s="30"/>
      <c r="Q5027" s="35">
        <v>237.0</v>
      </c>
      <c r="R5027" s="32">
        <v>45636.0</v>
      </c>
      <c r="S5027" s="32">
        <v>43367.0</v>
      </c>
      <c r="T5027" s="29"/>
      <c r="U5027" s="33"/>
      <c r="V5027" s="1"/>
    </row>
    <row r="5028" ht="24.0" customHeight="1">
      <c r="A5028" s="1"/>
      <c r="B5028" s="24" t="str">
        <f>HYPERLINK("https://www.compass.com/listing/133-mercer-street-unit-3-manhattan-ny-10012/920224429438762009/view?agent_id=610d3f3370540700019b0833","133 Mercer St, Unit 3")</f>
        <v>133 Mercer St, Unit 3</v>
      </c>
      <c r="C5028" s="25" t="s">
        <v>364</v>
      </c>
      <c r="D5028" s="26" t="s">
        <v>23</v>
      </c>
      <c r="E5028" s="27" t="str">
        <f>HYPERLINK("https://www.compass.com/building/133-mercer-st-manhattan-ny-10012/281912887423821765/","133 Mercer St")</f>
        <v>133 Mercer St</v>
      </c>
      <c r="F5028" s="25" t="s">
        <v>53</v>
      </c>
      <c r="G5028" s="28">
        <v>3500000.0</v>
      </c>
      <c r="H5028" s="28">
        <v>2500.0</v>
      </c>
      <c r="I5028" s="28">
        <v>2050.0</v>
      </c>
      <c r="J5028" s="29"/>
      <c r="K5028" s="25" t="s">
        <v>25</v>
      </c>
      <c r="L5028" s="26">
        <v>4.0</v>
      </c>
      <c r="M5028" s="26">
        <v>2.0</v>
      </c>
      <c r="N5028" s="26">
        <v>0.0</v>
      </c>
      <c r="O5028" s="26">
        <v>0.0</v>
      </c>
      <c r="P5028" s="34">
        <v>1400.0</v>
      </c>
      <c r="Q5028" s="35">
        <v>38.0</v>
      </c>
      <c r="R5028" s="32">
        <v>45636.0</v>
      </c>
      <c r="S5028" s="32">
        <v>42138.0</v>
      </c>
      <c r="T5028" s="29"/>
      <c r="U5028" s="33"/>
      <c r="V5028" s="1"/>
    </row>
    <row r="5029" ht="24.0" customHeight="1">
      <c r="A5029" s="1"/>
      <c r="B5029" s="24" t="str">
        <f>HYPERLINK("https://www.compass.com/listing/101-wooster-street-unit-5r-manhattan-ny-10012/730550294889167425/view?agent_id=610d3f3370540700019b0833","101 Wooster St, Unit 5R")</f>
        <v>101 Wooster St, Unit 5R</v>
      </c>
      <c r="C5029" s="25" t="s">
        <v>364</v>
      </c>
      <c r="D5029" s="26" t="s">
        <v>23</v>
      </c>
      <c r="E5029" s="27" t="str">
        <f>HYPERLINK("https://www.compass.com/building/101-wooster-st-manhattan-ny-10012/281912347331683637/","101 Wooster St")</f>
        <v>101 Wooster St</v>
      </c>
      <c r="F5029" s="25" t="s">
        <v>53</v>
      </c>
      <c r="G5029" s="28">
        <v>2250000.0</v>
      </c>
      <c r="H5029" s="28">
        <v>1250.0</v>
      </c>
      <c r="I5029" s="28">
        <v>3185.0</v>
      </c>
      <c r="J5029" s="29"/>
      <c r="K5029" s="25" t="s">
        <v>25</v>
      </c>
      <c r="L5029" s="26">
        <v>5.0</v>
      </c>
      <c r="M5029" s="26">
        <v>2.0</v>
      </c>
      <c r="N5029" s="26">
        <v>1.0</v>
      </c>
      <c r="O5029" s="26">
        <v>0.0</v>
      </c>
      <c r="P5029" s="34">
        <v>1800.0</v>
      </c>
      <c r="Q5029" s="35">
        <v>96.0</v>
      </c>
      <c r="R5029" s="32">
        <v>44581.0</v>
      </c>
      <c r="S5029" s="32">
        <v>44482.0</v>
      </c>
      <c r="T5029" s="29"/>
      <c r="U5029" s="33"/>
      <c r="V5029" s="1"/>
    </row>
    <row r="5030" ht="24.0" customHeight="1">
      <c r="A5030" s="1"/>
      <c r="B5030" s="24" t="str">
        <f>HYPERLINK("https://www.compass.com/listing/146-148-west-22nd-street-unit-12-manhattan-ny-10011/921909836706518505/view?agent_id=610d3f3370540700019b0833","146-148 W 22nd St, Unit 12")</f>
        <v>146-148 W 22nd St, Unit 12</v>
      </c>
      <c r="C5030" s="25" t="s">
        <v>370</v>
      </c>
      <c r="D5030" s="26" t="s">
        <v>23</v>
      </c>
      <c r="E5030" s="27" t="str">
        <f>HYPERLINK("https://www.compass.com/building/the-paradigm-manhattan-ny/292800205324051701/","The Paradigm")</f>
        <v>The Paradigm</v>
      </c>
      <c r="F5030" s="25" t="s">
        <v>27</v>
      </c>
      <c r="G5030" s="28">
        <v>2850000.0</v>
      </c>
      <c r="H5030" s="28">
        <v>1841.0</v>
      </c>
      <c r="I5030" s="28">
        <v>1099.0</v>
      </c>
      <c r="J5030" s="28">
        <v>2100.0</v>
      </c>
      <c r="K5030" s="25" t="s">
        <v>28</v>
      </c>
      <c r="L5030" s="26">
        <v>5.0</v>
      </c>
      <c r="M5030" s="26">
        <v>2.0</v>
      </c>
      <c r="N5030" s="26">
        <v>0.0</v>
      </c>
      <c r="O5030" s="26">
        <v>0.0</v>
      </c>
      <c r="P5030" s="34">
        <v>1548.0</v>
      </c>
      <c r="Q5030" s="35">
        <v>0.0</v>
      </c>
      <c r="R5030" s="32">
        <v>44581.0</v>
      </c>
      <c r="S5030" s="32">
        <v>41538.0</v>
      </c>
      <c r="T5030" s="29"/>
      <c r="U5030" s="33"/>
      <c r="V5030" s="1"/>
    </row>
    <row r="5031" ht="24.0" customHeight="1">
      <c r="A5031" s="1"/>
      <c r="B5031" s="24" t="str">
        <f>HYPERLINK("https://www.compass.com/listing/254-park-avenue-south-unit-12k-manhattan-ny-10010/1286736353022705529/view?agent_id=610d3f3370540700019b0833","254 Park Ave S, Unit 12K")</f>
        <v>254 Park Ave S, Unit 12K</v>
      </c>
      <c r="C5031" s="25" t="s">
        <v>364</v>
      </c>
      <c r="D5031" s="26" t="s">
        <v>23</v>
      </c>
      <c r="E5031" s="27" t="str">
        <f>HYPERLINK("https://www.compass.com/building/254-pas-manhattan-ny/294848119879630069/","254 PAS")</f>
        <v>254 PAS</v>
      </c>
      <c r="F5031" s="25" t="s">
        <v>115</v>
      </c>
      <c r="G5031" s="28">
        <v>1790000.0</v>
      </c>
      <c r="H5031" s="28">
        <v>1884.0</v>
      </c>
      <c r="I5031" s="28">
        <v>3375.0</v>
      </c>
      <c r="J5031" s="28">
        <v>22500.0</v>
      </c>
      <c r="K5031" s="25" t="s">
        <v>28</v>
      </c>
      <c r="L5031" s="26">
        <v>4.0</v>
      </c>
      <c r="M5031" s="26">
        <v>2.0</v>
      </c>
      <c r="N5031" s="30"/>
      <c r="O5031" s="30"/>
      <c r="P5031" s="26">
        <v>950.0</v>
      </c>
      <c r="Q5031" s="35">
        <v>324.0</v>
      </c>
      <c r="R5031" s="32">
        <v>45344.0</v>
      </c>
      <c r="S5031" s="32">
        <v>45019.0</v>
      </c>
      <c r="T5031" s="29"/>
      <c r="U5031" s="33"/>
      <c r="V5031" s="1"/>
    </row>
    <row r="5032" ht="24.0" customHeight="1">
      <c r="A5032" s="1"/>
      <c r="B5032" s="24" t="str">
        <f>HYPERLINK("https://www.compass.com/listing/444-west-19th-street-unit-902-manhattan-ny-10011/29370010996698161/view?agent_id=610d3f3370540700019b0833","444 W 19th St, Unit 902")</f>
        <v>444 W 19th St, Unit 902</v>
      </c>
      <c r="C5032" s="25" t="s">
        <v>364</v>
      </c>
      <c r="D5032" s="26" t="s">
        <v>23</v>
      </c>
      <c r="E5032" s="27" t="str">
        <f>HYPERLINK("https://www.compass.com/building/the-chelsea-club-manhattan-ny/281910522457120389/","The Chelsea Club")</f>
        <v>The Chelsea Club</v>
      </c>
      <c r="F5032" s="25" t="s">
        <v>27</v>
      </c>
      <c r="G5032" s="28">
        <v>3500000.0</v>
      </c>
      <c r="H5032" s="28">
        <v>2258.0</v>
      </c>
      <c r="I5032" s="28">
        <v>2474.0</v>
      </c>
      <c r="J5032" s="28">
        <v>9048.0</v>
      </c>
      <c r="K5032" s="25" t="s">
        <v>28</v>
      </c>
      <c r="L5032" s="26">
        <v>6.0</v>
      </c>
      <c r="M5032" s="26">
        <v>2.0</v>
      </c>
      <c r="N5032" s="26">
        <v>0.0</v>
      </c>
      <c r="O5032" s="26">
        <v>0.0</v>
      </c>
      <c r="P5032" s="34">
        <v>1550.0</v>
      </c>
      <c r="Q5032" s="35">
        <v>755.0</v>
      </c>
      <c r="R5032" s="32">
        <v>44581.0</v>
      </c>
      <c r="S5032" s="32">
        <v>41172.0</v>
      </c>
      <c r="T5032" s="29"/>
      <c r="U5032" s="33"/>
      <c r="V5032" s="1"/>
    </row>
    <row r="5033" ht="24.0" customHeight="1">
      <c r="A5033" s="1"/>
      <c r="B5033" s="24" t="str">
        <f>HYPERLINK("https://www.compass.com/listing/11-riverside-drive-unit-10fe-manhattan-ny-10023/1307797714711698961/view?agent_id=610d3f3370540700019b0833","11 Riverside Dr, Unit 10FE")</f>
        <v>11 Riverside Dr, Unit 10FE</v>
      </c>
      <c r="C5033" s="25" t="s">
        <v>364</v>
      </c>
      <c r="D5033" s="26" t="s">
        <v>23</v>
      </c>
      <c r="E5033" s="27" t="str">
        <f>HYPERLINK("https://www.compass.com/building/schwab-manhattan-ny/281956307722900517/","Schwab")</f>
        <v>Schwab</v>
      </c>
      <c r="F5033" s="25" t="s">
        <v>29</v>
      </c>
      <c r="G5033" s="28">
        <v>1129000.0</v>
      </c>
      <c r="H5033" s="29"/>
      <c r="I5033" s="28">
        <v>2270.0</v>
      </c>
      <c r="J5033" s="29"/>
      <c r="K5033" s="25" t="s">
        <v>25</v>
      </c>
      <c r="L5033" s="26">
        <v>4.0</v>
      </c>
      <c r="M5033" s="26">
        <v>2.0</v>
      </c>
      <c r="N5033" s="26">
        <v>1.0</v>
      </c>
      <c r="O5033" s="26">
        <v>0.0</v>
      </c>
      <c r="P5033" s="30"/>
      <c r="Q5033" s="35">
        <v>87.0</v>
      </c>
      <c r="R5033" s="32">
        <v>45174.0</v>
      </c>
      <c r="S5033" s="32">
        <v>45056.0</v>
      </c>
      <c r="T5033" s="29"/>
      <c r="U5033" s="33"/>
      <c r="V5033" s="1"/>
    </row>
    <row r="5034" ht="24.0" customHeight="1">
      <c r="A5034" s="1"/>
      <c r="B5034" s="24" t="str">
        <f>HYPERLINK("https://www.compass.com/listing/160-chambers-street-unit-3-manhattan-ny-10007/354744155464878609/view?agent_id=610d3f3370540700019b0833","160 Chambers St, Unit 3")</f>
        <v>160 Chambers St, Unit 3</v>
      </c>
      <c r="C5034" s="25" t="s">
        <v>364</v>
      </c>
      <c r="D5034" s="26" t="s">
        <v>23</v>
      </c>
      <c r="E5034" s="27" t="str">
        <f>HYPERLINK("https://www.compass.com/building/160-chambers-st-manhattan-ny-10007/281896723800925269/","160 Chambers St")</f>
        <v>160 Chambers St</v>
      </c>
      <c r="F5034" s="25" t="s">
        <v>60</v>
      </c>
      <c r="G5034" s="28">
        <v>1750000.0</v>
      </c>
      <c r="H5034" s="28">
        <v>1167.0</v>
      </c>
      <c r="I5034" s="28">
        <v>1984.0</v>
      </c>
      <c r="J5034" s="29"/>
      <c r="K5034" s="25" t="s">
        <v>25</v>
      </c>
      <c r="L5034" s="26">
        <v>4.0</v>
      </c>
      <c r="M5034" s="26">
        <v>2.0</v>
      </c>
      <c r="N5034" s="26">
        <v>1.0</v>
      </c>
      <c r="O5034" s="26">
        <v>0.0</v>
      </c>
      <c r="P5034" s="34">
        <v>1500.0</v>
      </c>
      <c r="Q5034" s="35">
        <v>525.0</v>
      </c>
      <c r="R5034" s="32">
        <v>45636.0</v>
      </c>
      <c r="S5034" s="32">
        <v>43739.0</v>
      </c>
      <c r="T5034" s="29"/>
      <c r="U5034" s="33"/>
      <c r="V5034" s="1"/>
    </row>
    <row r="5035" ht="24.0" customHeight="1">
      <c r="A5035" s="1"/>
      <c r="B5035" s="24" t="str">
        <f>HYPERLINK("https://www.compass.com/listing/365-st-johns-place-unit-a-brooklyn-ny-11238/841458983268588505/view?agent_id=610d3f3370540700019b0833","365 St Johns Pl, Unit A")</f>
        <v>365 St Johns Pl, Unit A</v>
      </c>
      <c r="C5035" s="25" t="s">
        <v>364</v>
      </c>
      <c r="D5035" s="26" t="s">
        <v>23</v>
      </c>
      <c r="E5035" s="27" t="str">
        <f>HYPERLINK("https://www.compass.com/building/365-st-johns-pl-brooklyn-ny-11238/293426269016628933/","365 St Johns Pl")</f>
        <v>365 St Johns Pl</v>
      </c>
      <c r="F5035" s="25" t="s">
        <v>39</v>
      </c>
      <c r="G5035" s="28">
        <v>749000.0</v>
      </c>
      <c r="H5035" s="29"/>
      <c r="I5035" s="28">
        <v>779.0</v>
      </c>
      <c r="J5035" s="29"/>
      <c r="K5035" s="25" t="s">
        <v>25</v>
      </c>
      <c r="L5035" s="26">
        <v>4.0</v>
      </c>
      <c r="M5035" s="26">
        <v>2.0</v>
      </c>
      <c r="N5035" s="26">
        <v>0.0</v>
      </c>
      <c r="O5035" s="26">
        <v>0.0</v>
      </c>
      <c r="P5035" s="30"/>
      <c r="Q5035" s="35">
        <v>80.0</v>
      </c>
      <c r="R5035" s="32">
        <v>45636.0</v>
      </c>
      <c r="S5035" s="32">
        <v>42850.0</v>
      </c>
      <c r="T5035" s="29"/>
      <c r="U5035" s="33"/>
      <c r="V5035" s="1"/>
    </row>
    <row r="5036" ht="24.0" customHeight="1">
      <c r="A5036" s="1"/>
      <c r="B5036" s="24" t="str">
        <f>HYPERLINK("https://www.compass.com/listing/467-pacific-street-unit-17-brooklyn-ny-11217/180957789114461425/view?agent_id=610d3f3370540700019b0833","467 Pacific St, Unit 17")</f>
        <v>467 Pacific St, Unit 17</v>
      </c>
      <c r="C5036" s="25" t="s">
        <v>364</v>
      </c>
      <c r="D5036" s="26" t="s">
        <v>23</v>
      </c>
      <c r="E5036" s="27" t="str">
        <f>HYPERLINK("https://www.compass.com/building/467-pacific-st-brooklyn-ny-11217/282501770767316485/","467 Pacific St")</f>
        <v>467 Pacific St</v>
      </c>
      <c r="F5036" s="25" t="s">
        <v>102</v>
      </c>
      <c r="G5036" s="28">
        <v>679000.0</v>
      </c>
      <c r="H5036" s="29"/>
      <c r="I5036" s="28">
        <v>975.0</v>
      </c>
      <c r="J5036" s="29"/>
      <c r="K5036" s="25" t="s">
        <v>25</v>
      </c>
      <c r="L5036" s="26">
        <v>4.0</v>
      </c>
      <c r="M5036" s="26">
        <v>2.0</v>
      </c>
      <c r="N5036" s="26">
        <v>1.0</v>
      </c>
      <c r="O5036" s="26">
        <v>0.0</v>
      </c>
      <c r="P5036" s="30"/>
      <c r="Q5036" s="35">
        <v>42.0</v>
      </c>
      <c r="R5036" s="32">
        <v>45636.0</v>
      </c>
      <c r="S5036" s="32">
        <v>43500.0</v>
      </c>
      <c r="T5036" s="29"/>
      <c r="U5036" s="33"/>
      <c r="V5036" s="1"/>
    </row>
    <row r="5037" ht="24.0" customHeight="1">
      <c r="A5037" s="1"/>
      <c r="B5037" s="24" t="str">
        <f>HYPERLINK("https://www.compass.com/listing/372-central-park-west-unit-17c-manhattan-ny-10025/1809609264511844561/view?agent_id=610d3f3370540700019b0833","372 Central Park W, Unit 17C")</f>
        <v>372 Central Park W, Unit 17C</v>
      </c>
      <c r="C5037" s="25" t="s">
        <v>370</v>
      </c>
      <c r="D5037" s="26" t="s">
        <v>23</v>
      </c>
      <c r="E5037" s="27" t="str">
        <f>HYPERLINK("https://www.compass.com/building/the-vaux-manhattan-ny/281971584409886197/","THE VAUX")</f>
        <v>THE VAUX</v>
      </c>
      <c r="F5037" s="25" t="s">
        <v>29</v>
      </c>
      <c r="G5037" s="28">
        <v>2300000.0</v>
      </c>
      <c r="H5037" s="28">
        <v>1917.0</v>
      </c>
      <c r="I5037" s="28">
        <v>1858.0</v>
      </c>
      <c r="J5037" s="28">
        <v>9516.0</v>
      </c>
      <c r="K5037" s="25" t="s">
        <v>28</v>
      </c>
      <c r="L5037" s="26">
        <v>4.0</v>
      </c>
      <c r="M5037" s="26">
        <v>2.0</v>
      </c>
      <c r="N5037" s="26">
        <v>0.0</v>
      </c>
      <c r="O5037" s="26">
        <v>0.0</v>
      </c>
      <c r="P5037" s="34">
        <v>1200.0</v>
      </c>
      <c r="Q5037" s="35">
        <v>26.0</v>
      </c>
      <c r="R5037" s="32">
        <v>44581.0</v>
      </c>
      <c r="S5037" s="32">
        <v>42957.0</v>
      </c>
      <c r="T5037" s="29"/>
      <c r="U5037" s="33"/>
      <c r="V5037" s="1"/>
    </row>
    <row r="5038" ht="24.0" customHeight="1">
      <c r="A5038" s="1"/>
      <c r="B5038" s="24" t="str">
        <f>HYPERLINK("https://www.compass.com/listing/74-reade-street-unit-2er-manhattan-ny-10007/1547196690543176393/view?agent_id=610d3f3370540700019b0833","74 Reade St, Unit 2ER")</f>
        <v>74 Reade St, Unit 2ER</v>
      </c>
      <c r="C5038" s="25" t="s">
        <v>364</v>
      </c>
      <c r="D5038" s="26" t="s">
        <v>23</v>
      </c>
      <c r="E5038" s="27" t="str">
        <f>HYPERLINK("https://www.compass.com/building/74-reade-street-manhattan-ny/281897138172995541/","74 Reade Street")</f>
        <v>74 Reade Street</v>
      </c>
      <c r="F5038" s="25" t="s">
        <v>60</v>
      </c>
      <c r="G5038" s="28">
        <v>1375000.0</v>
      </c>
      <c r="H5038" s="29"/>
      <c r="I5038" s="28">
        <v>1675.0</v>
      </c>
      <c r="J5038" s="28">
        <v>0.0</v>
      </c>
      <c r="K5038" s="25" t="s">
        <v>361</v>
      </c>
      <c r="L5038" s="26">
        <v>6.0</v>
      </c>
      <c r="M5038" s="26">
        <v>2.0</v>
      </c>
      <c r="N5038" s="26">
        <v>1.0</v>
      </c>
      <c r="O5038" s="26">
        <v>0.0</v>
      </c>
      <c r="P5038" s="30"/>
      <c r="Q5038" s="35">
        <v>52.0</v>
      </c>
      <c r="R5038" s="32">
        <v>45695.0</v>
      </c>
      <c r="S5038" s="32">
        <v>45386.0</v>
      </c>
      <c r="T5038" s="29"/>
      <c r="U5038" s="33"/>
      <c r="V5038" s="1"/>
    </row>
    <row r="5039" ht="24.0" customHeight="1">
      <c r="A5039" s="1"/>
      <c r="B5039" s="24" t="str">
        <f>HYPERLINK("https://www.compass.com/listing/255-west-23rd-street-unit-4he-manhattan-ny-10011/1838981131190284969/view?agent_id=610d3f3370540700019b0833","255 W 23rd St, Unit 4HE")</f>
        <v>255 W 23rd St, Unit 4HE</v>
      </c>
      <c r="C5039" s="25" t="s">
        <v>364</v>
      </c>
      <c r="D5039" s="26" t="s">
        <v>23</v>
      </c>
      <c r="E5039" s="27" t="str">
        <f>HYPERLINK("https://www.compass.com/building/255-w-23rd-st-manhattan-ny-10011/281908028674956517/","255 W 23rd St")</f>
        <v>255 W 23rd St</v>
      </c>
      <c r="F5039" s="25" t="s">
        <v>27</v>
      </c>
      <c r="G5039" s="28">
        <v>1695000.0</v>
      </c>
      <c r="H5039" s="29"/>
      <c r="I5039" s="28">
        <v>1399.0</v>
      </c>
      <c r="J5039" s="29"/>
      <c r="K5039" s="25" t="s">
        <v>25</v>
      </c>
      <c r="L5039" s="26">
        <v>4.0</v>
      </c>
      <c r="M5039" s="26">
        <v>2.0</v>
      </c>
      <c r="N5039" s="26">
        <v>0.0</v>
      </c>
      <c r="O5039" s="26">
        <v>0.0</v>
      </c>
      <c r="P5039" s="30"/>
      <c r="Q5039" s="35">
        <v>90.0</v>
      </c>
      <c r="R5039" s="32">
        <v>44581.0</v>
      </c>
      <c r="S5039" s="32">
        <v>43081.0</v>
      </c>
      <c r="T5039" s="29"/>
      <c r="U5039" s="33"/>
      <c r="V5039" s="1"/>
    </row>
    <row r="5040" ht="24.0" customHeight="1">
      <c r="A5040" s="1"/>
      <c r="B5040" s="24" t="str">
        <f>HYPERLINK("https://www.compass.com/listing/320-west-76th-street-unit-10g-manhattan-ny-10023/29026759357839041/view?agent_id=610d3f3370540700019b0833","320 W 76th St, Unit 10G")</f>
        <v>320 W 76th St, Unit 10G</v>
      </c>
      <c r="C5040" s="25" t="s">
        <v>370</v>
      </c>
      <c r="D5040" s="26" t="s">
        <v>23</v>
      </c>
      <c r="E5040" s="27" t="str">
        <f>HYPERLINK("https://www.compass.com/building/320-w-76th-st-manhattan-ny-10023/281959867210604629/","320 W 76th St")</f>
        <v>320 W 76th St</v>
      </c>
      <c r="F5040" s="25" t="s">
        <v>29</v>
      </c>
      <c r="G5040" s="28">
        <v>1169000.0</v>
      </c>
      <c r="H5040" s="29"/>
      <c r="I5040" s="28">
        <v>2286.0</v>
      </c>
      <c r="J5040" s="29"/>
      <c r="K5040" s="25" t="s">
        <v>25</v>
      </c>
      <c r="L5040" s="26">
        <v>4.0</v>
      </c>
      <c r="M5040" s="26">
        <v>2.0</v>
      </c>
      <c r="N5040" s="26">
        <v>0.0</v>
      </c>
      <c r="O5040" s="26">
        <v>0.0</v>
      </c>
      <c r="P5040" s="30"/>
      <c r="Q5040" s="35">
        <v>35.0</v>
      </c>
      <c r="R5040" s="32">
        <v>45636.0</v>
      </c>
      <c r="S5040" s="32">
        <v>43203.0</v>
      </c>
      <c r="T5040" s="29"/>
      <c r="U5040" s="33"/>
      <c r="V5040" s="1"/>
    </row>
    <row r="5041" ht="24.0" customHeight="1">
      <c r="A5041" s="1"/>
      <c r="B5041" s="24" t="str">
        <f>HYPERLINK("https://www.compass.com/listing/327-central-park-west-unit-11d-manhattan-ny-10025/1809624599382122369/view?agent_id=610d3f3370540700019b0833","327 Central Park W, Unit 11D")</f>
        <v>327 Central Park W, Unit 11D</v>
      </c>
      <c r="C5041" s="25" t="s">
        <v>364</v>
      </c>
      <c r="D5041" s="26" t="s">
        <v>23</v>
      </c>
      <c r="E5041" s="27" t="str">
        <f>HYPERLINK("https://www.compass.com/building/327-central-park-w-manhattan-ny-10025/281925913027845637/","327 Central Park W")</f>
        <v>327 Central Park W</v>
      </c>
      <c r="F5041" s="25" t="s">
        <v>29</v>
      </c>
      <c r="G5041" s="28">
        <v>1595000.0</v>
      </c>
      <c r="H5041" s="28">
        <v>1181.0</v>
      </c>
      <c r="I5041" s="28">
        <v>2310.0</v>
      </c>
      <c r="J5041" s="28">
        <v>10992.0</v>
      </c>
      <c r="K5041" s="25" t="s">
        <v>28</v>
      </c>
      <c r="L5041" s="26">
        <v>4.0</v>
      </c>
      <c r="M5041" s="26">
        <v>2.0</v>
      </c>
      <c r="N5041" s="26">
        <v>0.0</v>
      </c>
      <c r="O5041" s="26">
        <v>0.0</v>
      </c>
      <c r="P5041" s="34">
        <v>1350.0</v>
      </c>
      <c r="Q5041" s="35">
        <v>1758.0</v>
      </c>
      <c r="R5041" s="32">
        <v>45636.0</v>
      </c>
      <c r="S5041" s="32">
        <v>41177.0</v>
      </c>
      <c r="T5041" s="29"/>
      <c r="U5041" s="33"/>
      <c r="V5041" s="1"/>
    </row>
    <row r="5042" ht="24.0" customHeight="1">
      <c r="A5042" s="1"/>
      <c r="B5042" s="24" t="str">
        <f>HYPERLINK("https://www.compass.com/listing/100-west-18th-street-unit-5e-manhattan-ny-10011/1838893253374996161/view?agent_id=610d3f3370540700019b0833","100 W 18th St, Unit 5E")</f>
        <v>100 W 18th St, Unit 5E</v>
      </c>
      <c r="C5042" s="25" t="s">
        <v>364</v>
      </c>
      <c r="D5042" s="26" t="s">
        <v>23</v>
      </c>
      <c r="E5042" s="27" t="str">
        <f>HYPERLINK("https://www.compass.com/building/100-w-18th-st-manhattan-ny-10011/281904037165550533/","100 W 18th St")</f>
        <v>100 W 18th St</v>
      </c>
      <c r="F5042" s="25" t="s">
        <v>27</v>
      </c>
      <c r="G5042" s="28">
        <v>2888000.0</v>
      </c>
      <c r="H5042" s="28">
        <v>2020.0</v>
      </c>
      <c r="I5042" s="28">
        <v>2850.0</v>
      </c>
      <c r="J5042" s="28">
        <v>15732.0</v>
      </c>
      <c r="K5042" s="25" t="s">
        <v>28</v>
      </c>
      <c r="L5042" s="26">
        <v>4.0</v>
      </c>
      <c r="M5042" s="26">
        <v>2.0</v>
      </c>
      <c r="N5042" s="26">
        <v>0.0</v>
      </c>
      <c r="O5042" s="26">
        <v>0.0</v>
      </c>
      <c r="P5042" s="34">
        <v>1430.0</v>
      </c>
      <c r="Q5042" s="35">
        <v>1532.0</v>
      </c>
      <c r="R5042" s="32">
        <v>45636.0</v>
      </c>
      <c r="S5042" s="32">
        <v>41346.0</v>
      </c>
      <c r="T5042" s="29"/>
      <c r="U5042" s="33"/>
      <c r="V5042" s="1"/>
    </row>
    <row r="5043" ht="24.0" customHeight="1">
      <c r="A5043" s="1"/>
      <c r="B5043" s="24" t="str">
        <f>HYPERLINK("https://www.compass.com/listing/78-bedford-street-unit-2c-manhattan-ny-10014/29509602408217889/view?agent_id=610d3f3370540700019b0833","78 Bedford St, Unit 2C")</f>
        <v>78 Bedford St, Unit 2C</v>
      </c>
      <c r="C5043" s="25" t="s">
        <v>370</v>
      </c>
      <c r="D5043" s="26" t="s">
        <v>23</v>
      </c>
      <c r="E5043" s="27" t="str">
        <f>HYPERLINK("https://www.compass.com/building/78-bedford-st-manhattan-ny-10014/292831124927861573/","78 Bedford St")</f>
        <v>78 Bedford St</v>
      </c>
      <c r="F5043" s="25" t="s">
        <v>26</v>
      </c>
      <c r="G5043" s="28">
        <v>1350000.0</v>
      </c>
      <c r="H5043" s="29"/>
      <c r="I5043" s="28">
        <v>943.0</v>
      </c>
      <c r="J5043" s="28">
        <v>6456.0</v>
      </c>
      <c r="K5043" s="25" t="s">
        <v>28</v>
      </c>
      <c r="L5043" s="26">
        <v>4.0</v>
      </c>
      <c r="M5043" s="26">
        <v>2.0</v>
      </c>
      <c r="N5043" s="26">
        <v>1.0</v>
      </c>
      <c r="O5043" s="26">
        <v>0.0</v>
      </c>
      <c r="P5043" s="30"/>
      <c r="Q5043" s="35">
        <v>177.0</v>
      </c>
      <c r="R5043" s="32">
        <v>44581.0</v>
      </c>
      <c r="S5043" s="32">
        <v>43200.0</v>
      </c>
      <c r="T5043" s="29"/>
      <c r="U5043" s="33"/>
      <c r="V5043" s="1"/>
    </row>
    <row r="5044" ht="24.0" customHeight="1">
      <c r="A5044" s="1"/>
      <c r="B5044" s="24" t="str">
        <f>HYPERLINK("https://www.compass.com/listing/75-bedford-street-manhattan-ny-10014/29366284214952273/view?agent_id=610d3f3370540700019b0833","75 Bedford St")</f>
        <v>75 Bedford St</v>
      </c>
      <c r="C5044" s="25" t="s">
        <v>364</v>
      </c>
      <c r="D5044" s="26" t="s">
        <v>23</v>
      </c>
      <c r="E5044" s="27" t="str">
        <f>HYPERLINK("https://www.compass.com/building/75-bedford-st-manhattan-ny-10014/281935690504130853/","75 Bedford St")</f>
        <v>75 Bedford St</v>
      </c>
      <c r="F5044" s="25" t="s">
        <v>26</v>
      </c>
      <c r="G5044" s="28">
        <v>1.25E7</v>
      </c>
      <c r="H5044" s="28">
        <v>3906.0</v>
      </c>
      <c r="I5044" s="28">
        <v>26483.0</v>
      </c>
      <c r="J5044" s="28">
        <v>317796.0</v>
      </c>
      <c r="K5044" s="25" t="s">
        <v>448</v>
      </c>
      <c r="L5044" s="26">
        <v>10.0</v>
      </c>
      <c r="M5044" s="26">
        <v>2.0</v>
      </c>
      <c r="N5044" s="26">
        <v>0.0</v>
      </c>
      <c r="O5044" s="26">
        <v>0.0</v>
      </c>
      <c r="P5044" s="34">
        <v>3200.0</v>
      </c>
      <c r="Q5044" s="35">
        <v>764.0</v>
      </c>
      <c r="R5044" s="32">
        <v>44581.0</v>
      </c>
      <c r="S5044" s="32">
        <v>42114.0</v>
      </c>
      <c r="T5044" s="29"/>
      <c r="U5044" s="33"/>
      <c r="V5044" s="1"/>
    </row>
    <row r="5045" ht="24.0" customHeight="1">
      <c r="A5045" s="1"/>
      <c r="B5045" s="24" t="str">
        <f>HYPERLINK("https://www.compass.com/listing/101-warren-street-unit-7j-manhattan-ny-10007/922279551374678769/view?agent_id=610d3f3370540700019b0833","101 Warren St, Unit 7J")</f>
        <v>101 Warren St, Unit 7J</v>
      </c>
      <c r="C5045" s="25" t="s">
        <v>370</v>
      </c>
      <c r="D5045" s="26" t="s">
        <v>23</v>
      </c>
      <c r="E5045" s="27" t="str">
        <f>HYPERLINK("https://www.compass.com/building/99-101-warren-manhattan-ny/307460833541810581/","99-101 Warren")</f>
        <v>99-101 Warren</v>
      </c>
      <c r="F5045" s="25" t="s">
        <v>60</v>
      </c>
      <c r="G5045" s="28">
        <v>4800000.0</v>
      </c>
      <c r="H5045" s="28">
        <v>2909.0</v>
      </c>
      <c r="I5045" s="28">
        <v>3153.0</v>
      </c>
      <c r="J5045" s="28">
        <v>15684.0</v>
      </c>
      <c r="K5045" s="25" t="s">
        <v>209</v>
      </c>
      <c r="L5045" s="26">
        <v>5.0</v>
      </c>
      <c r="M5045" s="26">
        <v>2.0</v>
      </c>
      <c r="N5045" s="26">
        <v>0.0</v>
      </c>
      <c r="O5045" s="26">
        <v>0.0</v>
      </c>
      <c r="P5045" s="34">
        <v>1650.0</v>
      </c>
      <c r="Q5045" s="35">
        <v>181.0</v>
      </c>
      <c r="R5045" s="32">
        <v>44581.0</v>
      </c>
      <c r="S5045" s="32">
        <v>42132.0</v>
      </c>
      <c r="T5045" s="29"/>
      <c r="U5045" s="33"/>
      <c r="V5045" s="1"/>
    </row>
    <row r="5046" ht="24.0" customHeight="1">
      <c r="A5046" s="1"/>
      <c r="B5046" s="24" t="str">
        <f>HYPERLINK("https://www.compass.com/listing/549-east-12th-street-unit-4-manhattan-ny-10009/1497564258131598689/view?agent_id=610d3f3370540700019b0833","549 E 12th St, Unit 4")</f>
        <v>549 E 12th St, Unit 4</v>
      </c>
      <c r="C5046" s="25" t="s">
        <v>365</v>
      </c>
      <c r="D5046" s="26" t="s">
        <v>23</v>
      </c>
      <c r="E5046" s="27" t="str">
        <f>HYPERLINK("https://www.compass.com/building/549-e-12th-st-manhattan-ny-10009/307435604987650917/","549 E 12th St")</f>
        <v>549 E 12th St</v>
      </c>
      <c r="F5046" s="25" t="s">
        <v>24</v>
      </c>
      <c r="G5046" s="28">
        <v>575000.0</v>
      </c>
      <c r="H5046" s="29"/>
      <c r="I5046" s="28">
        <v>362.0</v>
      </c>
      <c r="J5046" s="28">
        <v>0.0</v>
      </c>
      <c r="K5046" s="25" t="s">
        <v>25</v>
      </c>
      <c r="L5046" s="26">
        <v>5.0</v>
      </c>
      <c r="M5046" s="26">
        <v>2.0</v>
      </c>
      <c r="N5046" s="30"/>
      <c r="O5046" s="30"/>
      <c r="P5046" s="30"/>
      <c r="Q5046" s="35">
        <v>7.0</v>
      </c>
      <c r="R5046" s="32">
        <v>45324.0</v>
      </c>
      <c r="S5046" s="32">
        <v>45317.0</v>
      </c>
      <c r="T5046" s="29"/>
      <c r="U5046" s="33"/>
      <c r="V5046" s="1"/>
    </row>
    <row r="5047" ht="24.0" customHeight="1">
      <c r="A5047" s="1"/>
      <c r="B5047" s="24" t="str">
        <f>HYPERLINK("https://www.compass.com/listing/125-west-22nd-street-unit-6c-manhattan-ny-10011/918962421162326137/view?agent_id=610d3f3370540700019b0833","125 W 22nd St, Unit 6C")</f>
        <v>125 W 22nd St, Unit 6C</v>
      </c>
      <c r="C5047" s="25" t="s">
        <v>364</v>
      </c>
      <c r="D5047" s="26" t="s">
        <v>23</v>
      </c>
      <c r="E5047" s="27" t="str">
        <f>HYPERLINK("https://www.compass.com/building/verde-chelsea-manhattan-ny/281904880539420757/","Verde Chelsea")</f>
        <v>Verde Chelsea</v>
      </c>
      <c r="F5047" s="25" t="s">
        <v>27</v>
      </c>
      <c r="G5047" s="28">
        <v>2495000.0</v>
      </c>
      <c r="H5047" s="28">
        <v>1848.0</v>
      </c>
      <c r="I5047" s="28">
        <v>2627.0</v>
      </c>
      <c r="J5047" s="28">
        <v>12492.0</v>
      </c>
      <c r="K5047" s="25" t="s">
        <v>28</v>
      </c>
      <c r="L5047" s="26">
        <v>5.0</v>
      </c>
      <c r="M5047" s="26">
        <v>2.0</v>
      </c>
      <c r="N5047" s="26">
        <v>0.0</v>
      </c>
      <c r="O5047" s="26">
        <v>0.0</v>
      </c>
      <c r="P5047" s="34">
        <v>1350.0</v>
      </c>
      <c r="Q5047" s="35">
        <v>161.0</v>
      </c>
      <c r="R5047" s="32">
        <v>45636.0</v>
      </c>
      <c r="S5047" s="32">
        <v>42192.0</v>
      </c>
      <c r="T5047" s="29"/>
      <c r="U5047" s="33"/>
      <c r="V5047" s="1"/>
    </row>
    <row r="5048" ht="24.0" customHeight="1">
      <c r="A5048" s="1"/>
      <c r="B5048" s="24" t="str">
        <f>HYPERLINK("https://www.compass.com/listing/352-west-110th-street-unit-9c-manhattan-ny-10025/4848796587717033985/view?agent_id=610d3f3370540700019b0833","352 W 110th St, Unit 9C")</f>
        <v>352 W 110th St, Unit 9C</v>
      </c>
      <c r="C5048" s="25" t="s">
        <v>370</v>
      </c>
      <c r="D5048" s="26" t="s">
        <v>23</v>
      </c>
      <c r="E5048" s="27" t="str">
        <f>HYPERLINK("https://www.compass.com/building/cathedral-gardens-manhattan-ny/294840230410249381/","Cathedral Gardens")</f>
        <v>Cathedral Gardens</v>
      </c>
      <c r="F5048" s="25" t="s">
        <v>29</v>
      </c>
      <c r="G5048" s="28">
        <v>1150001.0</v>
      </c>
      <c r="H5048" s="28">
        <v>1150.0</v>
      </c>
      <c r="I5048" s="28">
        <v>1438.0</v>
      </c>
      <c r="J5048" s="28">
        <v>9624.0</v>
      </c>
      <c r="K5048" s="25" t="s">
        <v>28</v>
      </c>
      <c r="L5048" s="26">
        <v>4.0</v>
      </c>
      <c r="M5048" s="26">
        <v>2.0</v>
      </c>
      <c r="N5048" s="26">
        <v>0.0</v>
      </c>
      <c r="O5048" s="26">
        <v>0.0</v>
      </c>
      <c r="P5048" s="34">
        <v>1000.0</v>
      </c>
      <c r="Q5048" s="35">
        <v>176.0</v>
      </c>
      <c r="R5048" s="32">
        <v>45636.0</v>
      </c>
      <c r="S5048" s="32">
        <v>42919.0</v>
      </c>
      <c r="T5048" s="29"/>
      <c r="U5048" s="33"/>
      <c r="V5048" s="1"/>
    </row>
    <row r="5049" ht="24.0" customHeight="1">
      <c r="A5049" s="1"/>
      <c r="B5049" s="24" t="str">
        <f>HYPERLINK("https://www.compass.com/listing/146-central-park-west-unit-1g-manhattan-ny-10023/1809616261768495161/view?agent_id=610d3f3370540700019b0833","146 Central Park W, Unit 1G")</f>
        <v>146 Central Park W, Unit 1G</v>
      </c>
      <c r="C5049" s="25" t="s">
        <v>370</v>
      </c>
      <c r="D5049" s="26" t="s">
        <v>23</v>
      </c>
      <c r="E5049" s="26" t="s">
        <v>449</v>
      </c>
      <c r="F5049" s="25" t="s">
        <v>29</v>
      </c>
      <c r="G5049" s="28">
        <v>3150000.0</v>
      </c>
      <c r="H5049" s="29"/>
      <c r="I5049" s="28">
        <v>5738.0</v>
      </c>
      <c r="J5049" s="29"/>
      <c r="K5049" s="25" t="s">
        <v>25</v>
      </c>
      <c r="L5049" s="26">
        <v>5.0</v>
      </c>
      <c r="M5049" s="26">
        <v>2.0</v>
      </c>
      <c r="N5049" s="26">
        <v>0.0</v>
      </c>
      <c r="O5049" s="26">
        <v>0.0</v>
      </c>
      <c r="P5049" s="30"/>
      <c r="Q5049" s="35">
        <v>365.0</v>
      </c>
      <c r="R5049" s="32">
        <v>45636.0</v>
      </c>
      <c r="S5049" s="32">
        <v>42639.0</v>
      </c>
      <c r="T5049" s="29"/>
      <c r="U5049" s="33"/>
      <c r="V5049" s="1"/>
    </row>
    <row r="5050" ht="24.0" customHeight="1">
      <c r="A5050" s="1"/>
      <c r="B5050" s="24" t="str">
        <f>HYPERLINK("https://www.compass.com/listing/555-west-23rd-street-unit-s14b-manhattan-ny-10011/29369682012257025/view?agent_id=610d3f3370540700019b0833","555 W 23rd St, Unit S14B")</f>
        <v>555 W 23rd St, Unit S14B</v>
      </c>
      <c r="C5050" s="25" t="s">
        <v>370</v>
      </c>
      <c r="D5050" s="26" t="s">
        <v>23</v>
      </c>
      <c r="E5050" s="27" t="str">
        <f>HYPERLINK("https://www.compass.com/building/555-w-23-manhattan-ny/281911747042895061/","555 W 23")</f>
        <v>555 W 23</v>
      </c>
      <c r="F5050" s="25" t="s">
        <v>27</v>
      </c>
      <c r="G5050" s="28">
        <v>2595000.0</v>
      </c>
      <c r="H5050" s="28">
        <v>2069.0</v>
      </c>
      <c r="I5050" s="28">
        <v>2092.0</v>
      </c>
      <c r="J5050" s="28">
        <v>10380.0</v>
      </c>
      <c r="K5050" s="25" t="s">
        <v>28</v>
      </c>
      <c r="L5050" s="26">
        <v>4.0</v>
      </c>
      <c r="M5050" s="26">
        <v>2.0</v>
      </c>
      <c r="N5050" s="26">
        <v>0.0</v>
      </c>
      <c r="O5050" s="26">
        <v>0.0</v>
      </c>
      <c r="P5050" s="34">
        <v>1254.0</v>
      </c>
      <c r="Q5050" s="35">
        <v>64.0</v>
      </c>
      <c r="R5050" s="32">
        <v>44581.0</v>
      </c>
      <c r="S5050" s="32">
        <v>41414.0</v>
      </c>
      <c r="T5050" s="29"/>
      <c r="U5050" s="33"/>
      <c r="V5050" s="1"/>
    </row>
    <row r="5051" ht="24.0" customHeight="1">
      <c r="A5051" s="1"/>
      <c r="B5051" s="24" t="str">
        <f>HYPERLINK("https://www.compass.com/listing/78-bedford-street-unit-3c-manhattan-ny-10014/29669299106880705/view?agent_id=610d3f3370540700019b0833","78 Bedford St, Unit 3C")</f>
        <v>78 Bedford St, Unit 3C</v>
      </c>
      <c r="C5051" s="25" t="s">
        <v>370</v>
      </c>
      <c r="D5051" s="26" t="s">
        <v>23</v>
      </c>
      <c r="E5051" s="27" t="str">
        <f>HYPERLINK("https://www.compass.com/building/78-bedford-st-manhattan-ny-10014/292831124927861573/","78 Bedford St")</f>
        <v>78 Bedford St</v>
      </c>
      <c r="F5051" s="25" t="s">
        <v>26</v>
      </c>
      <c r="G5051" s="28">
        <v>1395000.0</v>
      </c>
      <c r="H5051" s="29"/>
      <c r="I5051" s="28">
        <v>856.0</v>
      </c>
      <c r="J5051" s="28">
        <v>5412.0</v>
      </c>
      <c r="K5051" s="25" t="s">
        <v>28</v>
      </c>
      <c r="L5051" s="26">
        <v>4.0</v>
      </c>
      <c r="M5051" s="26">
        <v>2.0</v>
      </c>
      <c r="N5051" s="26">
        <v>1.0</v>
      </c>
      <c r="O5051" s="26">
        <v>0.0</v>
      </c>
      <c r="P5051" s="30"/>
      <c r="Q5051" s="35">
        <v>244.0</v>
      </c>
      <c r="R5051" s="32">
        <v>45636.0</v>
      </c>
      <c r="S5051" s="32">
        <v>43189.0</v>
      </c>
      <c r="T5051" s="29"/>
      <c r="U5051" s="33"/>
      <c r="V5051" s="1"/>
    </row>
    <row r="5052" ht="24.0" customHeight="1">
      <c r="A5052" s="1"/>
      <c r="B5052" s="24" t="str">
        <f>HYPERLINK("https://www.compass.com/listing/130-west-20th-street-unit-ph10b-manhattan-ny-10011/562127331836519561/view?agent_id=610d3f3370540700019b0833","130 W 20th St, Unit PH10B")</f>
        <v>130 W 20th St, Unit PH10B</v>
      </c>
      <c r="C5052" s="25" t="s">
        <v>364</v>
      </c>
      <c r="D5052" s="26" t="s">
        <v>23</v>
      </c>
      <c r="E5052" s="27" t="str">
        <f>HYPERLINK("https://www.compass.com/building/prima-manhattan-ny/281905043446189893/","Prima")</f>
        <v>Prima</v>
      </c>
      <c r="F5052" s="25" t="s">
        <v>27</v>
      </c>
      <c r="G5052" s="28">
        <v>2950000.0</v>
      </c>
      <c r="H5052" s="28">
        <v>2130.0</v>
      </c>
      <c r="I5052" s="28">
        <v>4750.0</v>
      </c>
      <c r="J5052" s="28">
        <v>28200.0</v>
      </c>
      <c r="K5052" s="25" t="s">
        <v>28</v>
      </c>
      <c r="L5052" s="26">
        <v>5.0</v>
      </c>
      <c r="M5052" s="26">
        <v>2.0</v>
      </c>
      <c r="N5052" s="30"/>
      <c r="O5052" s="30"/>
      <c r="P5052" s="34">
        <v>1385.0</v>
      </c>
      <c r="Q5052" s="35">
        <v>15.0</v>
      </c>
      <c r="R5052" s="32">
        <v>44044.0</v>
      </c>
      <c r="S5052" s="32">
        <v>44027.0</v>
      </c>
      <c r="T5052" s="29"/>
      <c r="U5052" s="33"/>
      <c r="V5052" s="1"/>
    </row>
    <row r="5053" ht="24.0" customHeight="1">
      <c r="A5053" s="1"/>
      <c r="B5053" s="24" t="str">
        <f>HYPERLINK("https://www.compass.com/listing/10-3rd-place-brooklyn-ny-11231/784046646860520257/view?agent_id=610d3f3370540700019b0833","10 3rd Pl")</f>
        <v>10 3rd Pl</v>
      </c>
      <c r="C5053" s="25" t="s">
        <v>364</v>
      </c>
      <c r="D5053" s="26" t="s">
        <v>23</v>
      </c>
      <c r="E5053" s="27" t="str">
        <f>HYPERLINK("https://www.compass.com/building/10-3rd-pl-brooklyn-ny-11231/282467229147104613/","10 3rd Pl")</f>
        <v>10 3rd Pl</v>
      </c>
      <c r="F5053" s="25" t="s">
        <v>65</v>
      </c>
      <c r="G5053" s="28">
        <v>5500000.0</v>
      </c>
      <c r="H5053" s="28">
        <v>2696.0</v>
      </c>
      <c r="I5053" s="28">
        <v>0.0</v>
      </c>
      <c r="J5053" s="29"/>
      <c r="K5053" s="25" t="s">
        <v>125</v>
      </c>
      <c r="L5053" s="26">
        <v>9.0</v>
      </c>
      <c r="M5053" s="26">
        <v>2.0</v>
      </c>
      <c r="N5053" s="26">
        <v>0.0</v>
      </c>
      <c r="O5053" s="26">
        <v>0.0</v>
      </c>
      <c r="P5053" s="34">
        <v>2040.0</v>
      </c>
      <c r="Q5053" s="35">
        <v>53.0</v>
      </c>
      <c r="R5053" s="32">
        <v>45636.0</v>
      </c>
      <c r="S5053" s="32">
        <v>42193.0</v>
      </c>
      <c r="T5053" s="29"/>
      <c r="U5053" s="33"/>
      <c r="V5053" s="1"/>
    </row>
    <row r="5054" ht="24.0" customHeight="1">
      <c r="A5054" s="1"/>
      <c r="B5054" s="24" t="str">
        <f>HYPERLINK("https://www.compass.com/listing/101-warren-street-unit-3150-manhattan-ny-10007/70911030842208801/view?agent_id=610d3f3370540700019b0833","101 Warren St, Unit 3150")</f>
        <v>101 Warren St, Unit 3150</v>
      </c>
      <c r="C5054" s="25" t="s">
        <v>370</v>
      </c>
      <c r="D5054" s="26" t="s">
        <v>23</v>
      </c>
      <c r="E5054" s="27" t="str">
        <f>HYPERLINK("https://www.compass.com/building/99-101-warren-manhattan-ny/307460833541810581/","99-101 Warren")</f>
        <v>99-101 Warren</v>
      </c>
      <c r="F5054" s="25" t="s">
        <v>60</v>
      </c>
      <c r="G5054" s="28">
        <v>5500000.0</v>
      </c>
      <c r="H5054" s="28">
        <v>2865.0</v>
      </c>
      <c r="I5054" s="28">
        <v>2523.0</v>
      </c>
      <c r="J5054" s="28">
        <v>11328.0</v>
      </c>
      <c r="K5054" s="25" t="s">
        <v>49</v>
      </c>
      <c r="L5054" s="26">
        <v>5.0</v>
      </c>
      <c r="M5054" s="26">
        <v>2.0</v>
      </c>
      <c r="N5054" s="26">
        <v>0.0</v>
      </c>
      <c r="O5054" s="26">
        <v>0.0</v>
      </c>
      <c r="P5054" s="34">
        <v>1920.0</v>
      </c>
      <c r="Q5054" s="35">
        <v>318.0</v>
      </c>
      <c r="R5054" s="32">
        <v>44581.0</v>
      </c>
      <c r="S5054" s="32">
        <v>41193.0</v>
      </c>
      <c r="T5054" s="29"/>
      <c r="U5054" s="33"/>
      <c r="V5054" s="1"/>
    </row>
    <row r="5055" ht="24.0" customHeight="1">
      <c r="A5055" s="1"/>
      <c r="B5055" s="24" t="str">
        <f>HYPERLINK("https://www.compass.com/listing/60-east-13th-street-unit-4w-manhattan-ny-10003/919030274977058409/view?agent_id=610d3f3370540700019b0833","60 E 13th St, Unit 4W")</f>
        <v>60 E 13th St, Unit 4W</v>
      </c>
      <c r="C5055" s="25" t="s">
        <v>364</v>
      </c>
      <c r="D5055" s="26" t="s">
        <v>23</v>
      </c>
      <c r="E5055" s="27" t="str">
        <f>HYPERLINK("https://www.compass.com/building/60-e-13th-st-manhattan-ny-10003/294835997267223973/","60 E 13th St")</f>
        <v>60 E 13th St</v>
      </c>
      <c r="F5055" s="25" t="s">
        <v>43</v>
      </c>
      <c r="G5055" s="28">
        <v>3995000.0</v>
      </c>
      <c r="H5055" s="28">
        <v>2131.0</v>
      </c>
      <c r="I5055" s="28">
        <v>2669.0</v>
      </c>
      <c r="J5055" s="28">
        <v>19932.0</v>
      </c>
      <c r="K5055" s="25" t="s">
        <v>28</v>
      </c>
      <c r="L5055" s="26">
        <v>6.0</v>
      </c>
      <c r="M5055" s="26">
        <v>2.0</v>
      </c>
      <c r="N5055" s="26">
        <v>0.0</v>
      </c>
      <c r="O5055" s="26">
        <v>0.0</v>
      </c>
      <c r="P5055" s="34">
        <v>1875.0</v>
      </c>
      <c r="Q5055" s="35">
        <v>256.0</v>
      </c>
      <c r="R5055" s="32">
        <v>45636.0</v>
      </c>
      <c r="S5055" s="32">
        <v>41913.0</v>
      </c>
      <c r="T5055" s="29"/>
      <c r="U5055" s="33"/>
      <c r="V5055" s="1"/>
    </row>
    <row r="5056" ht="24.0" customHeight="1">
      <c r="A5056" s="1"/>
      <c r="B5056" s="24" t="str">
        <f>HYPERLINK("https://www.compass.com/listing/148-west-23rd-street-unit-3a-manhattan-ny-10011/1809625618488713657/view?agent_id=610d3f3370540700019b0833","148 W 23rd St, Unit 3A")</f>
        <v>148 W 23rd St, Unit 3A</v>
      </c>
      <c r="C5056" s="25" t="s">
        <v>364</v>
      </c>
      <c r="D5056" s="26" t="s">
        <v>23</v>
      </c>
      <c r="E5056" s="27" t="str">
        <f>HYPERLINK("https://www.compass.com/building/chelsea-mews-manhattan-ny/281905569537739077/","Chelsea Mews")</f>
        <v>Chelsea Mews</v>
      </c>
      <c r="F5056" s="25" t="s">
        <v>27</v>
      </c>
      <c r="G5056" s="28">
        <v>1599000.0</v>
      </c>
      <c r="H5056" s="28">
        <v>1599.0</v>
      </c>
      <c r="I5056" s="28">
        <v>2035.0</v>
      </c>
      <c r="J5056" s="29"/>
      <c r="K5056" s="25" t="s">
        <v>25</v>
      </c>
      <c r="L5056" s="26">
        <v>4.0</v>
      </c>
      <c r="M5056" s="26">
        <v>2.0</v>
      </c>
      <c r="N5056" s="26">
        <v>0.0</v>
      </c>
      <c r="O5056" s="26">
        <v>0.0</v>
      </c>
      <c r="P5056" s="34">
        <v>1000.0</v>
      </c>
      <c r="Q5056" s="35">
        <v>1596.0</v>
      </c>
      <c r="R5056" s="32">
        <v>45636.0</v>
      </c>
      <c r="S5056" s="32">
        <v>42984.0</v>
      </c>
      <c r="T5056" s="29"/>
      <c r="U5056" s="33"/>
      <c r="V5056" s="1"/>
    </row>
    <row r="5057" ht="24.0" customHeight="1">
      <c r="A5057" s="1"/>
      <c r="B5057" s="24" t="str">
        <f>HYPERLINK("https://www.compass.com/listing/310-east-23rd-street-unit-12f-manhattan-ny-10010/4852263746455748353/view?agent_id=610d3f3370540700019b0833","310 E 23rd St, Unit 12F")</f>
        <v>310 E 23rd St, Unit 12F</v>
      </c>
      <c r="C5057" s="25" t="s">
        <v>364</v>
      </c>
      <c r="D5057" s="26" t="s">
        <v>23</v>
      </c>
      <c r="E5057" s="27" t="str">
        <f>HYPERLINK("https://www.compass.com/building/the-foundry-manhattan-ny/281902823619184741/","The Foundry")</f>
        <v>The Foundry</v>
      </c>
      <c r="F5057" s="25" t="s">
        <v>48</v>
      </c>
      <c r="G5057" s="28">
        <v>1195000.0</v>
      </c>
      <c r="H5057" s="29"/>
      <c r="I5057" s="28">
        <v>1908.0</v>
      </c>
      <c r="J5057" s="29"/>
      <c r="K5057" s="25" t="s">
        <v>49</v>
      </c>
      <c r="L5057" s="26">
        <v>5.0</v>
      </c>
      <c r="M5057" s="26">
        <v>2.0</v>
      </c>
      <c r="N5057" s="26">
        <v>1.0</v>
      </c>
      <c r="O5057" s="26">
        <v>0.0</v>
      </c>
      <c r="P5057" s="30"/>
      <c r="Q5057" s="35">
        <v>92.0</v>
      </c>
      <c r="R5057" s="32">
        <v>45636.0</v>
      </c>
      <c r="S5057" s="32">
        <v>44133.0</v>
      </c>
      <c r="T5057" s="29"/>
      <c r="U5057" s="33"/>
      <c r="V5057" s="1"/>
    </row>
    <row r="5058" ht="24.0" customHeight="1">
      <c r="A5058" s="1"/>
      <c r="B5058" s="24" t="str">
        <f>HYPERLINK("https://www.compass.com/listing/312-east-23rd-street-unit-7a-manhattan-ny-10010/934063079811395249/view?agent_id=610d3f3370540700019b0833","312 E 23rd St, Unit 7A")</f>
        <v>312 E 23rd St, Unit 7A</v>
      </c>
      <c r="C5058" s="25" t="s">
        <v>364</v>
      </c>
      <c r="D5058" s="26" t="s">
        <v>23</v>
      </c>
      <c r="E5058" s="27" t="str">
        <f>HYPERLINK("https://www.compass.com/building/the-foundry-manhattan-ny/282061341131312181/","The Foundry")</f>
        <v>The Foundry</v>
      </c>
      <c r="F5058" s="25" t="s">
        <v>48</v>
      </c>
      <c r="G5058" s="28">
        <v>1225000.0</v>
      </c>
      <c r="H5058" s="28">
        <v>1289.0</v>
      </c>
      <c r="I5058" s="28">
        <v>2200.0</v>
      </c>
      <c r="J5058" s="29"/>
      <c r="K5058" s="25" t="s">
        <v>49</v>
      </c>
      <c r="L5058" s="26">
        <v>4.0</v>
      </c>
      <c r="M5058" s="26">
        <v>2.0</v>
      </c>
      <c r="N5058" s="26">
        <v>1.0</v>
      </c>
      <c r="O5058" s="26">
        <v>0.0</v>
      </c>
      <c r="P5058" s="26">
        <v>950.0</v>
      </c>
      <c r="Q5058" s="35">
        <v>89.0</v>
      </c>
      <c r="R5058" s="32">
        <v>45636.0</v>
      </c>
      <c r="S5058" s="32">
        <v>44545.0</v>
      </c>
      <c r="T5058" s="29"/>
      <c r="U5058" s="33"/>
      <c r="V5058" s="1"/>
    </row>
    <row r="5059" ht="24.0" customHeight="1">
      <c r="A5059" s="1"/>
      <c r="B5059" s="24" t="str">
        <f>HYPERLINK("https://www.compass.com/listing/188-8th-avenue-unit-5n-manhattan-ny-10011/4852281663012481553/view?agent_id=610d3f3370540700019b0833","188 8th Ave, Unit 5N")</f>
        <v>188 8th Ave, Unit 5N</v>
      </c>
      <c r="C5059" s="25" t="s">
        <v>370</v>
      </c>
      <c r="D5059" s="26" t="s">
        <v>23</v>
      </c>
      <c r="E5059" s="27" t="str">
        <f>HYPERLINK("https://www.compass.com/building/188-8th-ave-manhattan-ny-10011/281906373090888725/","188 8th Ave")</f>
        <v>188 8th Ave</v>
      </c>
      <c r="F5059" s="25" t="s">
        <v>27</v>
      </c>
      <c r="G5059" s="28">
        <v>950000.0</v>
      </c>
      <c r="H5059" s="29"/>
      <c r="I5059" s="28">
        <v>200.0</v>
      </c>
      <c r="J5059" s="29"/>
      <c r="K5059" s="25" t="s">
        <v>25</v>
      </c>
      <c r="L5059" s="26">
        <v>4.0</v>
      </c>
      <c r="M5059" s="26">
        <v>2.0</v>
      </c>
      <c r="N5059" s="26">
        <v>0.0</v>
      </c>
      <c r="O5059" s="26">
        <v>0.0</v>
      </c>
      <c r="P5059" s="30"/>
      <c r="Q5059" s="35">
        <v>513.0</v>
      </c>
      <c r="R5059" s="32">
        <v>44581.0</v>
      </c>
      <c r="S5059" s="32">
        <v>41754.0</v>
      </c>
      <c r="T5059" s="29"/>
      <c r="U5059" s="33"/>
      <c r="V5059" s="1"/>
    </row>
    <row r="5060" ht="24.0" customHeight="1">
      <c r="A5060" s="1"/>
      <c r="B5060" s="24" t="str">
        <f>HYPERLINK("https://www.compass.com/listing/634-washington-street-unit-aa-manhattan-ny-10014/1007322383038522593/view?agent_id=610d3f3370540700019b0833","634 Washington St, Unit AA")</f>
        <v>634 Washington St, Unit AA</v>
      </c>
      <c r="C5060" s="25" t="s">
        <v>364</v>
      </c>
      <c r="D5060" s="26" t="s">
        <v>23</v>
      </c>
      <c r="E5060" s="27" t="str">
        <f>HYPERLINK("https://www.compass.com/building/west-village-houses-manhattan-ny/281935055620720069/","West Village Houses")</f>
        <v>West Village Houses</v>
      </c>
      <c r="F5060" s="25" t="s">
        <v>26</v>
      </c>
      <c r="G5060" s="28">
        <v>1195000.0</v>
      </c>
      <c r="H5060" s="28">
        <v>1366.0</v>
      </c>
      <c r="I5060" s="28">
        <v>1105.0</v>
      </c>
      <c r="J5060" s="28">
        <v>0.0</v>
      </c>
      <c r="K5060" s="25" t="s">
        <v>25</v>
      </c>
      <c r="L5060" s="26">
        <v>5.0</v>
      </c>
      <c r="M5060" s="26">
        <v>2.0</v>
      </c>
      <c r="N5060" s="26">
        <v>1.0</v>
      </c>
      <c r="O5060" s="30"/>
      <c r="P5060" s="26">
        <v>875.0</v>
      </c>
      <c r="Q5060" s="35">
        <v>361.0</v>
      </c>
      <c r="R5060" s="32">
        <v>45002.0</v>
      </c>
      <c r="S5060" s="32">
        <v>44641.0</v>
      </c>
      <c r="T5060" s="29"/>
      <c r="U5060" s="33"/>
      <c r="V5060" s="1"/>
    </row>
    <row r="5061" ht="24.0" customHeight="1">
      <c r="A5061" s="1"/>
      <c r="B5061" s="24" t="str">
        <f>HYPERLINK("https://www.compass.com/listing/245-west-19th-street-unit-ph4-manhattan-ny-10011/1809612090969176873/view?agent_id=610d3f3370540700019b0833","245 W 19th St, Unit PH4")</f>
        <v>245 W 19th St, Unit PH4</v>
      </c>
      <c r="C5061" s="25" t="s">
        <v>364</v>
      </c>
      <c r="D5061" s="26" t="s">
        <v>23</v>
      </c>
      <c r="E5061" s="27" t="str">
        <f>HYPERLINK("https://www.compass.com/building/avant-chelsea-manhattan-ny/292802887338192885/","Avant Chelsea")</f>
        <v>Avant Chelsea</v>
      </c>
      <c r="F5061" s="25" t="s">
        <v>27</v>
      </c>
      <c r="G5061" s="28">
        <v>3900000.0</v>
      </c>
      <c r="H5061" s="29"/>
      <c r="I5061" s="28">
        <v>6217.0</v>
      </c>
      <c r="J5061" s="28">
        <v>36204.0</v>
      </c>
      <c r="K5061" s="25" t="s">
        <v>28</v>
      </c>
      <c r="L5061" s="26">
        <v>5.0</v>
      </c>
      <c r="M5061" s="26">
        <v>2.0</v>
      </c>
      <c r="N5061" s="30"/>
      <c r="O5061" s="30"/>
      <c r="P5061" s="30"/>
      <c r="Q5061" s="35">
        <v>0.0</v>
      </c>
      <c r="R5061" s="32">
        <v>44455.0</v>
      </c>
      <c r="S5061" s="32">
        <v>44455.0</v>
      </c>
      <c r="T5061" s="29"/>
      <c r="U5061" s="33"/>
      <c r="V5061" s="1"/>
    </row>
    <row r="5062" ht="24.0" customHeight="1">
      <c r="A5062" s="1"/>
      <c r="B5062" s="24" t="str">
        <f>HYPERLINK("https://www.compass.com/listing/708-washington-street-unit-3a-manhattan-ny-10014/1838962464994279585/view?agent_id=610d3f3370540700019b0833","708 Washington St, Unit 3A")</f>
        <v>708 Washington St, Unit 3A</v>
      </c>
      <c r="C5062" s="25" t="s">
        <v>364</v>
      </c>
      <c r="D5062" s="26" t="s">
        <v>23</v>
      </c>
      <c r="E5062" s="27" t="str">
        <f>HYPERLINK("https://www.compass.com/building/west-village-houses-manhattan-ny/282064571903020069/","West Village Houses")</f>
        <v>West Village Houses</v>
      </c>
      <c r="F5062" s="25" t="s">
        <v>26</v>
      </c>
      <c r="G5062" s="28">
        <v>1395000.0</v>
      </c>
      <c r="H5062" s="29"/>
      <c r="I5062" s="28">
        <v>734.0</v>
      </c>
      <c r="J5062" s="29"/>
      <c r="K5062" s="25" t="s">
        <v>25</v>
      </c>
      <c r="L5062" s="26">
        <v>4.0</v>
      </c>
      <c r="M5062" s="26">
        <v>2.0</v>
      </c>
      <c r="N5062" s="26">
        <v>1.0</v>
      </c>
      <c r="O5062" s="26">
        <v>0.0</v>
      </c>
      <c r="P5062" s="30"/>
      <c r="Q5062" s="35">
        <v>81.0</v>
      </c>
      <c r="R5062" s="32">
        <v>45636.0</v>
      </c>
      <c r="S5062" s="32">
        <v>42129.0</v>
      </c>
      <c r="T5062" s="29"/>
      <c r="U5062" s="33"/>
      <c r="V5062" s="1"/>
    </row>
    <row r="5063" ht="24.0" customHeight="1">
      <c r="A5063" s="1"/>
      <c r="B5063" s="24" t="str">
        <f>HYPERLINK("https://www.compass.com/listing/134-greene-street-unit-2r-manhattan-ny-10012/919843135277527617/view?agent_id=610d3f3370540700019b0833","134 Greene St, Unit 2R")</f>
        <v>134 Greene St, Unit 2R</v>
      </c>
      <c r="C5063" s="25" t="s">
        <v>364</v>
      </c>
      <c r="D5063" s="26" t="s">
        <v>23</v>
      </c>
      <c r="E5063" s="27" t="str">
        <f>HYPERLINK("https://www.compass.com/building/134-greene-st-manhattan-ny-10012/292808913462526549/","134 Greene St")</f>
        <v>134 Greene St</v>
      </c>
      <c r="F5063" s="25" t="s">
        <v>53</v>
      </c>
      <c r="G5063" s="28">
        <v>2850000.0</v>
      </c>
      <c r="H5063" s="28">
        <v>1258.0</v>
      </c>
      <c r="I5063" s="28">
        <v>1855.0</v>
      </c>
      <c r="J5063" s="29"/>
      <c r="K5063" s="25" t="s">
        <v>25</v>
      </c>
      <c r="L5063" s="26">
        <v>4.0</v>
      </c>
      <c r="M5063" s="26">
        <v>2.0</v>
      </c>
      <c r="N5063" s="26">
        <v>0.0</v>
      </c>
      <c r="O5063" s="26">
        <v>0.0</v>
      </c>
      <c r="P5063" s="34">
        <v>2266.0</v>
      </c>
      <c r="Q5063" s="35">
        <v>142.0</v>
      </c>
      <c r="R5063" s="32">
        <v>45636.0</v>
      </c>
      <c r="S5063" s="32">
        <v>42996.0</v>
      </c>
      <c r="T5063" s="29"/>
      <c r="U5063" s="33"/>
      <c r="V5063" s="1"/>
    </row>
    <row r="5064" ht="24.0" customHeight="1">
      <c r="A5064" s="1"/>
      <c r="B5064" s="24" t="str">
        <f>HYPERLINK("https://www.compass.com/listing/340-west-19th-street-unit-4-manhattan-ny-10011/1456695052032580073/view?agent_id=610d3f3370540700019b0833","340 W 19th St, Unit 4")</f>
        <v>340 W 19th St, Unit 4</v>
      </c>
      <c r="C5064" s="25" t="s">
        <v>364</v>
      </c>
      <c r="D5064" s="26" t="s">
        <v>23</v>
      </c>
      <c r="E5064" s="27" t="str">
        <f>HYPERLINK("https://www.compass.com/building/340-w-19th-st-manhattan-ny-10011/281909205378554757/","340 W 19th St")</f>
        <v>340 W 19th St</v>
      </c>
      <c r="F5064" s="25" t="s">
        <v>27</v>
      </c>
      <c r="G5064" s="28">
        <v>785000.0</v>
      </c>
      <c r="H5064" s="29"/>
      <c r="I5064" s="28">
        <v>1077.0</v>
      </c>
      <c r="J5064" s="28">
        <v>0.0</v>
      </c>
      <c r="K5064" s="25" t="s">
        <v>25</v>
      </c>
      <c r="L5064" s="26">
        <v>4.0</v>
      </c>
      <c r="M5064" s="26">
        <v>2.0</v>
      </c>
      <c r="N5064" s="26">
        <v>1.0</v>
      </c>
      <c r="O5064" s="26">
        <v>0.0</v>
      </c>
      <c r="P5064" s="30"/>
      <c r="Q5064" s="35">
        <v>184.0</v>
      </c>
      <c r="R5064" s="32">
        <v>45636.0</v>
      </c>
      <c r="S5064" s="32">
        <v>45261.0</v>
      </c>
      <c r="T5064" s="29"/>
      <c r="U5064" s="33"/>
      <c r="V5064" s="1"/>
    </row>
    <row r="5065" ht="24.0" customHeight="1">
      <c r="A5065" s="1"/>
      <c r="B5065" s="24" t="str">
        <f>HYPERLINK("https://www.compass.com/listing/41-eastern-parkway-unit-5c-brooklyn-ny-11238/29471086315893537/view?agent_id=610d3f3370540700019b0833","41 Eastern Pkwy, Unit 5C")</f>
        <v>41 Eastern Pkwy, Unit 5C</v>
      </c>
      <c r="C5065" s="25" t="s">
        <v>364</v>
      </c>
      <c r="D5065" s="26" t="s">
        <v>23</v>
      </c>
      <c r="E5065" s="27" t="str">
        <f>HYPERLINK("https://www.compass.com/building/41-eastern-pkwy-brooklyn-ny-11238/293418220751223125/","41 Eastern Pkwy")</f>
        <v>41 Eastern Pkwy</v>
      </c>
      <c r="F5065" s="25" t="s">
        <v>39</v>
      </c>
      <c r="G5065" s="28">
        <v>700000.0</v>
      </c>
      <c r="H5065" s="28">
        <v>700.0</v>
      </c>
      <c r="I5065" s="28">
        <v>1209.0</v>
      </c>
      <c r="J5065" s="29"/>
      <c r="K5065" s="25" t="s">
        <v>25</v>
      </c>
      <c r="L5065" s="26">
        <v>4.0</v>
      </c>
      <c r="M5065" s="26">
        <v>2.0</v>
      </c>
      <c r="N5065" s="30"/>
      <c r="O5065" s="30"/>
      <c r="P5065" s="34">
        <v>1000.0</v>
      </c>
      <c r="Q5065" s="35">
        <v>36.0</v>
      </c>
      <c r="R5065" s="32">
        <v>42476.0</v>
      </c>
      <c r="S5065" s="32">
        <v>40844.0</v>
      </c>
      <c r="T5065" s="29"/>
      <c r="U5065" s="33"/>
      <c r="V5065" s="1"/>
    </row>
    <row r="5066" ht="24.0" customHeight="1">
      <c r="A5066" s="1"/>
      <c r="B5066" s="24" t="str">
        <f>HYPERLINK("https://www.compass.com/listing/240-west-23rd-street-unit-3b-4b-manhattan-ny-10011/822517752794096817/view?agent_id=610d3f3370540700019b0833","240 W 23rd St, Unit 3B/4B")</f>
        <v>240 W 23rd St, Unit 3B/4B</v>
      </c>
      <c r="C5066" s="25" t="s">
        <v>364</v>
      </c>
      <c r="D5066" s="26" t="s">
        <v>23</v>
      </c>
      <c r="E5066" s="27" t="str">
        <f>HYPERLINK("https://www.compass.com/building/240-w-23rd-st-manhattan-ny-10011/281907707802309813/","240 W 23rd St")</f>
        <v>240 W 23rd St</v>
      </c>
      <c r="F5066" s="25" t="s">
        <v>27</v>
      </c>
      <c r="G5066" s="28">
        <v>1495000.0</v>
      </c>
      <c r="H5066" s="29"/>
      <c r="I5066" s="28">
        <v>2437.0</v>
      </c>
      <c r="J5066" s="29"/>
      <c r="K5066" s="25" t="s">
        <v>25</v>
      </c>
      <c r="L5066" s="26">
        <v>5.0</v>
      </c>
      <c r="M5066" s="26">
        <v>2.0</v>
      </c>
      <c r="N5066" s="26">
        <v>0.0</v>
      </c>
      <c r="O5066" s="26">
        <v>0.0</v>
      </c>
      <c r="P5066" s="30"/>
      <c r="Q5066" s="35">
        <v>1587.0</v>
      </c>
      <c r="R5066" s="32">
        <v>44581.0</v>
      </c>
      <c r="S5066" s="32">
        <v>41349.0</v>
      </c>
      <c r="T5066" s="29"/>
      <c r="U5066" s="33"/>
      <c r="V5066" s="1"/>
    </row>
    <row r="5067" ht="24.0" customHeight="1">
      <c r="A5067" s="1"/>
      <c r="B5067" s="24" t="str">
        <f>HYPERLINK("https://www.compass.com/listing/234-west-21st-street-unit-31-manhattan-ny-10011/587429055295807249/view?agent_id=610d3f3370540700019b0833","234 W 21st St, Unit 31")</f>
        <v>234 W 21st St, Unit 31</v>
      </c>
      <c r="C5067" s="25" t="s">
        <v>364</v>
      </c>
      <c r="D5067" s="26" t="s">
        <v>23</v>
      </c>
      <c r="E5067" s="27" t="str">
        <f>HYPERLINK("https://www.compass.com/building/234-west-21st-street-manhattan-ny/281907472074035573/","234 West 21st Street")</f>
        <v>234 West 21st Street</v>
      </c>
      <c r="F5067" s="25" t="s">
        <v>27</v>
      </c>
      <c r="G5067" s="28">
        <v>1250000.0</v>
      </c>
      <c r="H5067" s="28">
        <v>1656.0</v>
      </c>
      <c r="I5067" s="28">
        <v>1010.0</v>
      </c>
      <c r="J5067" s="28">
        <v>0.0</v>
      </c>
      <c r="K5067" s="25" t="s">
        <v>25</v>
      </c>
      <c r="L5067" s="26">
        <v>5.0</v>
      </c>
      <c r="M5067" s="26">
        <v>2.0</v>
      </c>
      <c r="N5067" s="30"/>
      <c r="O5067" s="30"/>
      <c r="P5067" s="26">
        <v>755.0</v>
      </c>
      <c r="Q5067" s="35">
        <v>87.0</v>
      </c>
      <c r="R5067" s="32">
        <v>44118.0</v>
      </c>
      <c r="S5067" s="32">
        <v>44061.0</v>
      </c>
      <c r="T5067" s="29"/>
      <c r="U5067" s="33"/>
      <c r="V5067" s="1"/>
    </row>
    <row r="5068" ht="24.0" customHeight="1">
      <c r="A5068" s="1"/>
      <c r="B5068" s="24" t="str">
        <f>HYPERLINK("https://www.compass.com/listing/44-gramercy-park-north-unit-12a-manhattan-ny-10010/921322175297984665/view?agent_id=610d3f3370540700019b0833","44 Gramercy Park N, Unit 12A")</f>
        <v>44 Gramercy Park N, Unit 12A</v>
      </c>
      <c r="C5068" s="25" t="s">
        <v>370</v>
      </c>
      <c r="D5068" s="26" t="s">
        <v>23</v>
      </c>
      <c r="E5068" s="27" t="str">
        <f>HYPERLINK("https://www.compass.com/building/gramercy-owners-td-manhattan-ny/281903545358240389/","Gramercy Owners td")</f>
        <v>Gramercy Owners td</v>
      </c>
      <c r="F5068" s="25" t="s">
        <v>48</v>
      </c>
      <c r="G5068" s="28">
        <v>5300000.0</v>
      </c>
      <c r="H5068" s="28">
        <v>2837.0</v>
      </c>
      <c r="I5068" s="28">
        <v>5146.0</v>
      </c>
      <c r="J5068" s="29"/>
      <c r="K5068" s="25" t="s">
        <v>25</v>
      </c>
      <c r="L5068" s="26">
        <v>6.0</v>
      </c>
      <c r="M5068" s="26">
        <v>2.0</v>
      </c>
      <c r="N5068" s="26">
        <v>0.0</v>
      </c>
      <c r="O5068" s="26">
        <v>0.0</v>
      </c>
      <c r="P5068" s="34">
        <v>1868.0</v>
      </c>
      <c r="Q5068" s="35">
        <v>158.0</v>
      </c>
      <c r="R5068" s="32">
        <v>45636.0</v>
      </c>
      <c r="S5068" s="32">
        <v>42545.0</v>
      </c>
      <c r="T5068" s="29"/>
      <c r="U5068" s="33"/>
      <c r="V5068" s="1"/>
    </row>
    <row r="5069" ht="24.0" customHeight="1">
      <c r="A5069" s="1"/>
      <c r="B5069" s="24" t="str">
        <f>HYPERLINK("https://www.compass.com/listing/210-west-21st-street-unit-1re-manhattan-ny-10011/1838952039019952889/view?agent_id=610d3f3370540700019b0833","210 W 21st St, Unit 1RE")</f>
        <v>210 W 21st St, Unit 1RE</v>
      </c>
      <c r="C5069" s="25" t="s">
        <v>370</v>
      </c>
      <c r="D5069" s="26" t="s">
        <v>23</v>
      </c>
      <c r="E5069" s="27" t="str">
        <f t="shared" ref="E5069:E5070" si="229">HYPERLINK("https://www.compass.com/building/210-w-21st-st-manhattan-ny-10011/281906785541967365/","210 W 21st St")</f>
        <v>210 W 21st St</v>
      </c>
      <c r="F5069" s="25" t="s">
        <v>27</v>
      </c>
      <c r="G5069" s="28">
        <v>795000.0</v>
      </c>
      <c r="H5069" s="28">
        <v>935.0</v>
      </c>
      <c r="I5069" s="28">
        <v>1140.0</v>
      </c>
      <c r="J5069" s="28">
        <v>0.0</v>
      </c>
      <c r="K5069" s="25" t="s">
        <v>25</v>
      </c>
      <c r="L5069" s="26">
        <v>5.0</v>
      </c>
      <c r="M5069" s="26">
        <v>2.0</v>
      </c>
      <c r="N5069" s="30"/>
      <c r="O5069" s="30"/>
      <c r="P5069" s="26">
        <v>850.0</v>
      </c>
      <c r="Q5069" s="31"/>
      <c r="R5069" s="32">
        <v>41538.0</v>
      </c>
      <c r="S5069" s="33"/>
      <c r="T5069" s="29"/>
      <c r="U5069" s="33"/>
      <c r="V5069" s="1"/>
    </row>
    <row r="5070" ht="24.0" customHeight="1">
      <c r="A5070" s="1"/>
      <c r="B5070" s="24" t="str">
        <f>HYPERLINK("https://www.compass.com/listing/210-west-21st-street-unit-1re-manhattan-ny-10011/29372135772364129/view?agent_id=610d3f3370540700019b0833","210 West 21st Street, Unit 1RE")</f>
        <v>210 West 21st Street, Unit 1RE</v>
      </c>
      <c r="C5070" s="25" t="s">
        <v>370</v>
      </c>
      <c r="D5070" s="26" t="s">
        <v>23</v>
      </c>
      <c r="E5070" s="27" t="str">
        <f t="shared" si="229"/>
        <v>210 W 21st St</v>
      </c>
      <c r="F5070" s="25" t="s">
        <v>27</v>
      </c>
      <c r="G5070" s="28">
        <v>795000.0</v>
      </c>
      <c r="H5070" s="28">
        <v>935.0</v>
      </c>
      <c r="I5070" s="28">
        <v>1140.0</v>
      </c>
      <c r="J5070" s="29"/>
      <c r="K5070" s="25" t="s">
        <v>25</v>
      </c>
      <c r="L5070" s="26">
        <v>5.0</v>
      </c>
      <c r="M5070" s="26">
        <v>2.0</v>
      </c>
      <c r="N5070" s="26">
        <v>0.0</v>
      </c>
      <c r="O5070" s="26">
        <v>0.0</v>
      </c>
      <c r="P5070" s="26">
        <v>850.0</v>
      </c>
      <c r="Q5070" s="35">
        <v>0.0</v>
      </c>
      <c r="R5070" s="32">
        <v>44581.0</v>
      </c>
      <c r="S5070" s="32">
        <v>41538.0</v>
      </c>
      <c r="T5070" s="29"/>
      <c r="U5070" s="33"/>
      <c r="V5070" s="1"/>
    </row>
    <row r="5071" ht="24.0" customHeight="1">
      <c r="A5071" s="1"/>
      <c r="B5071" s="24" t="str">
        <f>HYPERLINK("https://www.compass.com/listing/70-east-10th-street-unit-18h-manhattan-ny-10003/192565336690696097/view?agent_id=610d3f3370540700019b0833","70 East 10th Street, Unit 18H")</f>
        <v>70 East 10th Street, Unit 18H</v>
      </c>
      <c r="C5071" s="25" t="s">
        <v>364</v>
      </c>
      <c r="D5071" s="26" t="s">
        <v>23</v>
      </c>
      <c r="E5071" s="27" t="str">
        <f>HYPERLINK("https://www.compass.com/building/stewart-house-manhattan-ny/282058667388337333/","Stewart House")</f>
        <v>Stewart House</v>
      </c>
      <c r="F5071" s="25" t="s">
        <v>43</v>
      </c>
      <c r="G5071" s="28">
        <v>1100000.0</v>
      </c>
      <c r="H5071" s="29"/>
      <c r="I5071" s="28">
        <v>1551.0</v>
      </c>
      <c r="J5071" s="29"/>
      <c r="K5071" s="25" t="s">
        <v>25</v>
      </c>
      <c r="L5071" s="26">
        <v>5.0</v>
      </c>
      <c r="M5071" s="26">
        <v>2.0</v>
      </c>
      <c r="N5071" s="26">
        <v>0.0</v>
      </c>
      <c r="O5071" s="26">
        <v>0.0</v>
      </c>
      <c r="P5071" s="30"/>
      <c r="Q5071" s="35">
        <v>3386.0</v>
      </c>
      <c r="R5071" s="32">
        <v>44581.0</v>
      </c>
      <c r="S5071" s="32">
        <v>41194.0</v>
      </c>
      <c r="T5071" s="29"/>
      <c r="U5071" s="33"/>
      <c r="V5071" s="1"/>
    </row>
    <row r="5072" ht="24.0" customHeight="1">
      <c r="A5072" s="1"/>
      <c r="B5072" s="24" t="str">
        <f>HYPERLINK("https://www.compass.com/listing/133-mercer-street-unit-6-manhattan-ny-10012/1838889601301913249/view?agent_id=610d3f3370540700019b0833","133 Mercer Street, Unit 6")</f>
        <v>133 Mercer Street, Unit 6</v>
      </c>
      <c r="C5072" s="25" t="s">
        <v>364</v>
      </c>
      <c r="D5072" s="26" t="s">
        <v>23</v>
      </c>
      <c r="E5072" s="27" t="str">
        <f>HYPERLINK("https://www.compass.com/building/133-mercer-st-manhattan-ny-10012/281912887423821765/","133 Mercer St")</f>
        <v>133 Mercer St</v>
      </c>
      <c r="F5072" s="25" t="s">
        <v>53</v>
      </c>
      <c r="G5072" s="28">
        <v>3250000.0</v>
      </c>
      <c r="H5072" s="29"/>
      <c r="I5072" s="28">
        <v>2425.0</v>
      </c>
      <c r="J5072" s="29"/>
      <c r="K5072" s="25" t="s">
        <v>25</v>
      </c>
      <c r="L5072" s="26">
        <v>5.0</v>
      </c>
      <c r="M5072" s="26">
        <v>2.0</v>
      </c>
      <c r="N5072" s="26">
        <v>1.0</v>
      </c>
      <c r="O5072" s="26">
        <v>0.0</v>
      </c>
      <c r="P5072" s="30"/>
      <c r="Q5072" s="35">
        <v>293.0</v>
      </c>
      <c r="R5072" s="32">
        <v>45636.0</v>
      </c>
      <c r="S5072" s="32">
        <v>43536.0</v>
      </c>
      <c r="T5072" s="29"/>
      <c r="U5072" s="33"/>
      <c r="V5072" s="1"/>
    </row>
    <row r="5073" ht="24.0" customHeight="1">
      <c r="A5073" s="1"/>
      <c r="B5073" s="24" t="str">
        <f>HYPERLINK("https://www.compass.com/listing/53-crosby-street-unit-2-manhattan-ny-10012/192568605311877681/view?agent_id=610d3f3370540700019b0833","53 Crosby Street, Unit 2")</f>
        <v>53 Crosby Street, Unit 2</v>
      </c>
      <c r="C5073" s="25" t="s">
        <v>364</v>
      </c>
      <c r="D5073" s="26" t="s">
        <v>23</v>
      </c>
      <c r="E5073" s="27" t="str">
        <f>HYPERLINK("https://www.compass.com/building/53-crosby-st-manhattan-ny-10012/281915444565144965/","53 Crosby St")</f>
        <v>53 Crosby St</v>
      </c>
      <c r="F5073" s="25" t="s">
        <v>53</v>
      </c>
      <c r="G5073" s="28">
        <v>3350000.0</v>
      </c>
      <c r="H5073" s="28">
        <v>1473.0</v>
      </c>
      <c r="I5073" s="28">
        <v>1428.0</v>
      </c>
      <c r="J5073" s="29"/>
      <c r="K5073" s="25" t="s">
        <v>25</v>
      </c>
      <c r="L5073" s="26">
        <v>6.0</v>
      </c>
      <c r="M5073" s="26">
        <v>2.0</v>
      </c>
      <c r="N5073" s="26">
        <v>0.0</v>
      </c>
      <c r="O5073" s="26">
        <v>0.0</v>
      </c>
      <c r="P5073" s="34">
        <v>2275.0</v>
      </c>
      <c r="Q5073" s="35">
        <v>20.0</v>
      </c>
      <c r="R5073" s="32">
        <v>45636.0</v>
      </c>
      <c r="S5073" s="32">
        <v>41873.0</v>
      </c>
      <c r="T5073" s="29"/>
      <c r="U5073" s="33"/>
      <c r="V5073" s="1"/>
    </row>
    <row r="5074" ht="24.0" customHeight="1">
      <c r="A5074" s="1"/>
      <c r="B5074" s="24" t="str">
        <f>HYPERLINK("https://www.compass.com/listing/300-west-14th-street-unit-23-manhattan-ny-10014/394431890866642577/view?agent_id=610d3f3370540700019b0833","300 West 14th Street, Unit 23")</f>
        <v>300 West 14th Street, Unit 23</v>
      </c>
      <c r="C5074" s="25" t="s">
        <v>364</v>
      </c>
      <c r="D5074" s="26" t="s">
        <v>23</v>
      </c>
      <c r="E5074" s="27" t="str">
        <f>HYPERLINK("https://www.compass.com/building/new-york-county-national-bank-manhattan-ny/282059791201762821/","NEW YORK COUNTY NATIONAL BANK")</f>
        <v>NEW YORK COUNTY NATIONAL BANK</v>
      </c>
      <c r="F5074" s="25" t="s">
        <v>27</v>
      </c>
      <c r="G5074" s="28">
        <v>1999999.0</v>
      </c>
      <c r="H5074" s="29"/>
      <c r="I5074" s="28">
        <v>4712.0</v>
      </c>
      <c r="J5074" s="28">
        <v>26280.0</v>
      </c>
      <c r="K5074" s="25" t="s">
        <v>28</v>
      </c>
      <c r="L5074" s="26">
        <v>6.0</v>
      </c>
      <c r="M5074" s="26">
        <v>2.0</v>
      </c>
      <c r="N5074" s="26">
        <v>1.0</v>
      </c>
      <c r="O5074" s="26">
        <v>0.0</v>
      </c>
      <c r="P5074" s="30"/>
      <c r="Q5074" s="35">
        <v>74.0</v>
      </c>
      <c r="R5074" s="32">
        <v>45636.0</v>
      </c>
      <c r="S5074" s="32">
        <v>43796.0</v>
      </c>
      <c r="T5074" s="29"/>
      <c r="U5074" s="33"/>
      <c r="V5074" s="1"/>
    </row>
    <row r="5075" ht="24.0" customHeight="1">
      <c r="A5075" s="1"/>
      <c r="B5075" s="24" t="str">
        <f>HYPERLINK("https://www.compass.com/listing/402-west-broadway-unit-4-manhattan-ny-10012/1838907787862802345/view?agent_id=610d3f3370540700019b0833","402 West Broadway, Unit 4")</f>
        <v>402 West Broadway, Unit 4</v>
      </c>
      <c r="C5075" s="25" t="s">
        <v>364</v>
      </c>
      <c r="D5075" s="26" t="s">
        <v>23</v>
      </c>
      <c r="E5075" s="27" t="str">
        <f t="shared" ref="E5075:E5076" si="230">HYPERLINK("https://www.compass.com/building/402-w-broadway-manhattan-ny-10012/307446966308856709/","402 W Broadway")</f>
        <v>402 W Broadway</v>
      </c>
      <c r="F5075" s="25" t="s">
        <v>53</v>
      </c>
      <c r="G5075" s="28">
        <v>4595000.0</v>
      </c>
      <c r="H5075" s="28">
        <v>2298.0</v>
      </c>
      <c r="I5075" s="28">
        <v>3300.0</v>
      </c>
      <c r="J5075" s="29"/>
      <c r="K5075" s="25" t="s">
        <v>25</v>
      </c>
      <c r="L5075" s="26">
        <v>4.0</v>
      </c>
      <c r="M5075" s="26">
        <v>2.0</v>
      </c>
      <c r="N5075" s="26">
        <v>0.0</v>
      </c>
      <c r="O5075" s="26">
        <v>0.0</v>
      </c>
      <c r="P5075" s="34">
        <v>2000.0</v>
      </c>
      <c r="Q5075" s="35">
        <v>254.0</v>
      </c>
      <c r="R5075" s="32">
        <v>44581.0</v>
      </c>
      <c r="S5075" s="32">
        <v>42493.0</v>
      </c>
      <c r="T5075" s="29"/>
      <c r="U5075" s="33"/>
      <c r="V5075" s="1"/>
    </row>
    <row r="5076" ht="24.0" customHeight="1">
      <c r="A5076" s="1"/>
      <c r="B5076" s="24" t="str">
        <f>HYPERLINK("https://www.compass.com/listing/402-west-broadway-unit-4-manhattan-ny-10012/920604059290665249/view?agent_id=610d3f3370540700019b0833","402 West Broadway, Unit 4")</f>
        <v>402 West Broadway, Unit 4</v>
      </c>
      <c r="C5076" s="25" t="s">
        <v>364</v>
      </c>
      <c r="D5076" s="26" t="s">
        <v>23</v>
      </c>
      <c r="E5076" s="27" t="str">
        <f t="shared" si="230"/>
        <v>402 W Broadway</v>
      </c>
      <c r="F5076" s="25" t="s">
        <v>53</v>
      </c>
      <c r="G5076" s="28">
        <v>4595000.0</v>
      </c>
      <c r="H5076" s="28">
        <v>2298.0</v>
      </c>
      <c r="I5076" s="28">
        <v>3300.0</v>
      </c>
      <c r="J5076" s="29"/>
      <c r="K5076" s="25" t="s">
        <v>25</v>
      </c>
      <c r="L5076" s="26">
        <v>4.0</v>
      </c>
      <c r="M5076" s="26">
        <v>2.0</v>
      </c>
      <c r="N5076" s="26">
        <v>0.0</v>
      </c>
      <c r="O5076" s="26">
        <v>0.0</v>
      </c>
      <c r="P5076" s="34">
        <v>2000.0</v>
      </c>
      <c r="Q5076" s="35">
        <v>385.0</v>
      </c>
      <c r="R5076" s="32">
        <v>44581.0</v>
      </c>
      <c r="S5076" s="32">
        <v>42493.0</v>
      </c>
      <c r="T5076" s="29"/>
      <c r="U5076" s="33"/>
      <c r="V5076" s="1"/>
    </row>
    <row r="5077" ht="24.0" customHeight="1">
      <c r="A5077" s="1"/>
      <c r="B5077" s="24" t="str">
        <f>HYPERLINK("https://www.compass.com/listing/519-west-23rd-street-unit-8-manhattan-ny-10011/4852284522487619313/view?agent_id=610d3f3370540700019b0833","519 West 23rd Street, Unit 8")</f>
        <v>519 West 23rd Street, Unit 8</v>
      </c>
      <c r="C5077" s="25" t="s">
        <v>370</v>
      </c>
      <c r="D5077" s="26" t="s">
        <v>23</v>
      </c>
      <c r="E5077" s="27" t="str">
        <f>HYPERLINK("https://www.compass.com/building/highline-519-manhattan-ny/281911462341927381/","Highline 519")</f>
        <v>Highline 519</v>
      </c>
      <c r="F5077" s="25" t="s">
        <v>27</v>
      </c>
      <c r="G5077" s="28">
        <v>2400000.0</v>
      </c>
      <c r="H5077" s="28">
        <v>1415.0</v>
      </c>
      <c r="I5077" s="28">
        <v>1794.0</v>
      </c>
      <c r="J5077" s="28">
        <v>6720.0</v>
      </c>
      <c r="K5077" s="25" t="s">
        <v>28</v>
      </c>
      <c r="L5077" s="26">
        <v>5.0</v>
      </c>
      <c r="M5077" s="26">
        <v>2.0</v>
      </c>
      <c r="N5077" s="26">
        <v>0.0</v>
      </c>
      <c r="O5077" s="26">
        <v>0.0</v>
      </c>
      <c r="P5077" s="34">
        <v>1696.0</v>
      </c>
      <c r="Q5077" s="35">
        <v>131.0</v>
      </c>
      <c r="R5077" s="32">
        <v>45636.0</v>
      </c>
      <c r="S5077" s="32">
        <v>41227.0</v>
      </c>
      <c r="T5077" s="29"/>
      <c r="U5077" s="33"/>
      <c r="V5077" s="1"/>
    </row>
    <row r="5078" ht="24.0" customHeight="1">
      <c r="A5078" s="1"/>
      <c r="B5078" s="24" t="str">
        <f>HYPERLINK("https://www.compass.com/listing/23-east-22nd-street-unit-12b-manhattan-ny-10010/29375828940845585/view?agent_id=610d3f3370540700019b0833","23 East 22nd Street, Unit 12B")</f>
        <v>23 East 22nd Street, Unit 12B</v>
      </c>
      <c r="C5078" s="25" t="s">
        <v>370</v>
      </c>
      <c r="D5078" s="26" t="s">
        <v>23</v>
      </c>
      <c r="E5078" s="27" t="str">
        <f>HYPERLINK("https://www.compass.com/building/one-madison-manhattan-ny/282059009467383221/","One Madison")</f>
        <v>One Madison</v>
      </c>
      <c r="F5078" s="25" t="s">
        <v>115</v>
      </c>
      <c r="G5078" s="28">
        <v>3512963.0</v>
      </c>
      <c r="H5078" s="28">
        <v>2252.0</v>
      </c>
      <c r="I5078" s="28">
        <v>3885.0</v>
      </c>
      <c r="J5078" s="28">
        <v>13164.0</v>
      </c>
      <c r="K5078" s="25" t="s">
        <v>28</v>
      </c>
      <c r="L5078" s="26">
        <v>4.0</v>
      </c>
      <c r="M5078" s="26">
        <v>2.0</v>
      </c>
      <c r="N5078" s="26">
        <v>0.0</v>
      </c>
      <c r="O5078" s="26">
        <v>0.0</v>
      </c>
      <c r="P5078" s="34">
        <v>1560.0</v>
      </c>
      <c r="Q5078" s="35">
        <v>167.0</v>
      </c>
      <c r="R5078" s="32">
        <v>44581.0</v>
      </c>
      <c r="S5078" s="32">
        <v>42591.0</v>
      </c>
      <c r="T5078" s="29"/>
      <c r="U5078" s="33"/>
      <c r="V5078" s="1"/>
    </row>
    <row r="5079" ht="24.0" customHeight="1">
      <c r="A5079" s="1"/>
      <c r="B5079" s="24" t="str">
        <f>HYPERLINK("https://www.compass.com/listing/9-murray-street-unit-12sw-manhattan-ny-10007/803333754353301977/view?agent_id=610d3f3370540700019b0833","9 Murray Street, Unit 12SW")</f>
        <v>9 Murray Street, Unit 12SW</v>
      </c>
      <c r="C5079" s="25" t="s">
        <v>364</v>
      </c>
      <c r="D5079" s="26" t="s">
        <v>23</v>
      </c>
      <c r="E5079" s="27" t="str">
        <f t="shared" ref="E5079:E5080" si="231">HYPERLINK("https://www.compass.com/building/9-murray-st-manhattan-ny-10007/281897226882524661/","9 Murray St")</f>
        <v>9 Murray St</v>
      </c>
      <c r="F5079" s="25" t="s">
        <v>60</v>
      </c>
      <c r="G5079" s="28">
        <v>4900000.0</v>
      </c>
      <c r="H5079" s="28">
        <v>2536.0</v>
      </c>
      <c r="I5079" s="28">
        <v>1134.0</v>
      </c>
      <c r="J5079" s="29"/>
      <c r="K5079" s="25" t="s">
        <v>28</v>
      </c>
      <c r="L5079" s="26">
        <v>5.0</v>
      </c>
      <c r="M5079" s="26">
        <v>2.0</v>
      </c>
      <c r="N5079" s="26">
        <v>0.0</v>
      </c>
      <c r="O5079" s="26">
        <v>0.0</v>
      </c>
      <c r="P5079" s="34">
        <v>1932.0</v>
      </c>
      <c r="Q5079" s="35">
        <v>27.0</v>
      </c>
      <c r="R5079" s="32">
        <v>45636.0</v>
      </c>
      <c r="S5079" s="32">
        <v>42286.0</v>
      </c>
      <c r="T5079" s="29"/>
      <c r="U5079" s="33"/>
      <c r="V5079" s="1"/>
    </row>
    <row r="5080" ht="24.0" customHeight="1">
      <c r="A5080" s="1"/>
      <c r="B5080" s="24" t="str">
        <f>HYPERLINK("https://www.compass.com/listing/9-murray-street-unit-12sw-manhattan-ny-10007/922554676260224833/view?agent_id=610d3f3370540700019b0833","9 Murray Street, Unit 12SW")</f>
        <v>9 Murray Street, Unit 12SW</v>
      </c>
      <c r="C5080" s="25" t="s">
        <v>364</v>
      </c>
      <c r="D5080" s="26" t="s">
        <v>23</v>
      </c>
      <c r="E5080" s="27" t="str">
        <f t="shared" si="231"/>
        <v>9 Murray St</v>
      </c>
      <c r="F5080" s="25" t="s">
        <v>60</v>
      </c>
      <c r="G5080" s="28">
        <v>4900000.0</v>
      </c>
      <c r="H5080" s="28">
        <v>2536.0</v>
      </c>
      <c r="I5080" s="28">
        <v>1134.0</v>
      </c>
      <c r="J5080" s="29"/>
      <c r="K5080" s="25" t="s">
        <v>28</v>
      </c>
      <c r="L5080" s="26">
        <v>5.0</v>
      </c>
      <c r="M5080" s="26">
        <v>2.0</v>
      </c>
      <c r="N5080" s="26">
        <v>0.0</v>
      </c>
      <c r="O5080" s="26">
        <v>0.0</v>
      </c>
      <c r="P5080" s="34">
        <v>1932.0</v>
      </c>
      <c r="Q5080" s="35">
        <v>0.0</v>
      </c>
      <c r="R5080" s="32">
        <v>44581.0</v>
      </c>
      <c r="S5080" s="32">
        <v>43208.0</v>
      </c>
      <c r="T5080" s="29"/>
      <c r="U5080" s="33"/>
      <c r="V5080" s="1"/>
    </row>
    <row r="5081" ht="24.0" customHeight="1">
      <c r="A5081" s="1"/>
      <c r="B5081" s="24" t="str">
        <f>HYPERLINK("https://www.compass.com/listing/159-west-24th-street-unit-7a-manhattan-ny-10011/29373782430929137/view?agent_id=610d3f3370540700019b0833","159 West 24th Street, Unit 7A")</f>
        <v>159 West 24th Street, Unit 7A</v>
      </c>
      <c r="C5081" s="25" t="s">
        <v>364</v>
      </c>
      <c r="D5081" s="26" t="s">
        <v>23</v>
      </c>
      <c r="E5081" s="27" t="str">
        <f>HYPERLINK("https://www.compass.com/building/carriage-house-manhattan-ny/455672123034757365/","Carriage House")</f>
        <v>Carriage House</v>
      </c>
      <c r="F5081" s="25" t="s">
        <v>27</v>
      </c>
      <c r="G5081" s="28">
        <v>3950000.0</v>
      </c>
      <c r="H5081" s="28">
        <v>3088.0</v>
      </c>
      <c r="I5081" s="28">
        <v>3844.0</v>
      </c>
      <c r="J5081" s="28">
        <v>28248.0</v>
      </c>
      <c r="K5081" s="25" t="s">
        <v>28</v>
      </c>
      <c r="L5081" s="26">
        <v>5.0</v>
      </c>
      <c r="M5081" s="26">
        <v>2.0</v>
      </c>
      <c r="N5081" s="26">
        <v>0.0</v>
      </c>
      <c r="O5081" s="26">
        <v>0.0</v>
      </c>
      <c r="P5081" s="34">
        <v>1279.0</v>
      </c>
      <c r="Q5081" s="35">
        <v>1636.0</v>
      </c>
      <c r="R5081" s="32">
        <v>44581.0</v>
      </c>
      <c r="S5081" s="32">
        <v>41300.0</v>
      </c>
      <c r="T5081" s="29"/>
      <c r="U5081" s="33"/>
      <c r="V5081" s="1"/>
    </row>
    <row r="5082" ht="24.0" customHeight="1">
      <c r="A5082" s="1"/>
      <c r="B5082" s="24" t="str">
        <f>HYPERLINK("https://www.compass.com/listing/283-east-4th-street-unit-4c-manhattan-ny-10009/76720370362663489/view?agent_id=610d3f3370540700019b0833","283 East 4th Street, Unit 4C")</f>
        <v>283 East 4th Street, Unit 4C</v>
      </c>
      <c r="C5082" s="25" t="s">
        <v>364</v>
      </c>
      <c r="D5082" s="26" t="s">
        <v>23</v>
      </c>
      <c r="E5082" s="27" t="str">
        <f>HYPERLINK("https://www.compass.com/building/283-e-4th-st-manhattan-ny-10009/281899311376117829/","283 E 4th St")</f>
        <v>283 E 4th St</v>
      </c>
      <c r="F5082" s="25" t="s">
        <v>24</v>
      </c>
      <c r="G5082" s="28">
        <v>789500.0</v>
      </c>
      <c r="H5082" s="29"/>
      <c r="I5082" s="28">
        <v>711.0</v>
      </c>
      <c r="J5082" s="29"/>
      <c r="K5082" s="25" t="s">
        <v>25</v>
      </c>
      <c r="L5082" s="26">
        <v>4.0</v>
      </c>
      <c r="M5082" s="26">
        <v>2.0</v>
      </c>
      <c r="N5082" s="30"/>
      <c r="O5082" s="30"/>
      <c r="P5082" s="30"/>
      <c r="Q5082" s="35">
        <v>56.0</v>
      </c>
      <c r="R5082" s="32">
        <v>43414.0</v>
      </c>
      <c r="S5082" s="32">
        <v>43357.0</v>
      </c>
      <c r="T5082" s="29"/>
      <c r="U5082" s="33"/>
      <c r="V5082" s="1"/>
    </row>
    <row r="5083" ht="24.0" customHeight="1">
      <c r="A5083" s="1"/>
      <c r="B5083" s="24" t="str">
        <f>HYPERLINK("https://www.compass.com/listing/33-riverside-drive-unit-17ca-manhattan-ny-10023/1414185043826580737/view?agent_id=610d3f3370540700019b0833","33 Riverside Drive, Unit 17CA")</f>
        <v>33 Riverside Drive, Unit 17CA</v>
      </c>
      <c r="C5083" s="25" t="s">
        <v>364</v>
      </c>
      <c r="D5083" s="26" t="s">
        <v>23</v>
      </c>
      <c r="E5083" s="27" t="str">
        <f>HYPERLINK("https://www.compass.com/building/33-riverside-dr-manhattan-ny-10023/281960000069380341/","33 Riverside Dr")</f>
        <v>33 Riverside Dr</v>
      </c>
      <c r="F5083" s="25" t="s">
        <v>29</v>
      </c>
      <c r="G5083" s="28">
        <v>1790000.0</v>
      </c>
      <c r="H5083" s="28">
        <v>1326.0</v>
      </c>
      <c r="I5083" s="28">
        <v>5838.0</v>
      </c>
      <c r="J5083" s="29"/>
      <c r="K5083" s="25" t="s">
        <v>25</v>
      </c>
      <c r="L5083" s="26">
        <v>4.0</v>
      </c>
      <c r="M5083" s="26">
        <v>2.0</v>
      </c>
      <c r="N5083" s="26">
        <v>1.0</v>
      </c>
      <c r="O5083" s="30"/>
      <c r="P5083" s="34">
        <v>1350.0</v>
      </c>
      <c r="Q5083" s="35">
        <v>26.0</v>
      </c>
      <c r="R5083" s="32">
        <v>45244.0</v>
      </c>
      <c r="S5083" s="32">
        <v>45204.0</v>
      </c>
      <c r="T5083" s="28">
        <v>1790000.0</v>
      </c>
      <c r="U5083" s="32">
        <v>45244.0</v>
      </c>
      <c r="V5083" s="1"/>
    </row>
    <row r="5084" ht="24.0" customHeight="1">
      <c r="A5084" s="1"/>
      <c r="B5084" s="24" t="str">
        <f>HYPERLINK("https://www.compass.com/listing/131-thompson-street-unit-3c-manhattan-ny-10012/1838955904389911729/view?agent_id=610d3f3370540700019b0833","131 Thompson Street, Unit 3C")</f>
        <v>131 Thompson Street, Unit 3C</v>
      </c>
      <c r="C5084" s="25" t="s">
        <v>364</v>
      </c>
      <c r="D5084" s="26" t="s">
        <v>23</v>
      </c>
      <c r="E5084" s="27" t="str">
        <f>HYPERLINK("https://www.compass.com/building/131-thompson-st-manhattan-ny-10012/281912851327642069/","131 Thompson St")</f>
        <v>131 Thompson St</v>
      </c>
      <c r="F5084" s="25" t="s">
        <v>53</v>
      </c>
      <c r="G5084" s="28">
        <v>985000.0</v>
      </c>
      <c r="H5084" s="29"/>
      <c r="I5084" s="28">
        <v>0.0</v>
      </c>
      <c r="J5084" s="28">
        <v>0.0</v>
      </c>
      <c r="K5084" s="25" t="s">
        <v>25</v>
      </c>
      <c r="L5084" s="26">
        <v>4.0</v>
      </c>
      <c r="M5084" s="26">
        <v>2.0</v>
      </c>
      <c r="N5084" s="26">
        <v>1.0</v>
      </c>
      <c r="O5084" s="30"/>
      <c r="P5084" s="30"/>
      <c r="Q5084" s="35">
        <v>1.0</v>
      </c>
      <c r="R5084" s="32">
        <v>44305.0</v>
      </c>
      <c r="S5084" s="32">
        <v>44303.0</v>
      </c>
      <c r="T5084" s="29"/>
      <c r="U5084" s="33"/>
      <c r="V5084" s="1"/>
    </row>
    <row r="5085" ht="24.0" customHeight="1">
      <c r="A5085" s="1"/>
      <c r="B5085" s="24" t="str">
        <f>HYPERLINK("https://www.compass.com/listing/2-park-place-unit-37b-manhattan-ny-10007/1249338857481188433/view?agent_id=610d3f3370540700019b0833","2 Park Place, Unit 37B")</f>
        <v>2 Park Place, Unit 37B</v>
      </c>
      <c r="C5085" s="25" t="s">
        <v>364</v>
      </c>
      <c r="D5085" s="26" t="s">
        <v>23</v>
      </c>
      <c r="E5085" s="27" t="str">
        <f>HYPERLINK("https://www.compass.com/building/the-woolworth-tower-residences-manhattan-ny/294842395015266853/","The Woolworth Tower Residences")</f>
        <v>The Woolworth Tower Residences</v>
      </c>
      <c r="F5085" s="25" t="s">
        <v>60</v>
      </c>
      <c r="G5085" s="28">
        <v>8150000.0</v>
      </c>
      <c r="H5085" s="28">
        <v>3199.0</v>
      </c>
      <c r="I5085" s="28">
        <v>7456.0</v>
      </c>
      <c r="J5085" s="28">
        <v>43236.0</v>
      </c>
      <c r="K5085" s="25" t="s">
        <v>28</v>
      </c>
      <c r="L5085" s="26">
        <v>4.0</v>
      </c>
      <c r="M5085" s="26">
        <v>2.0</v>
      </c>
      <c r="N5085" s="30"/>
      <c r="O5085" s="30"/>
      <c r="P5085" s="34">
        <v>2548.0</v>
      </c>
      <c r="Q5085" s="31"/>
      <c r="R5085" s="32">
        <v>43532.0</v>
      </c>
      <c r="S5085" s="33"/>
      <c r="T5085" s="29"/>
      <c r="U5085" s="33"/>
      <c r="V5085" s="1"/>
    </row>
    <row r="5086" ht="24.0" customHeight="1">
      <c r="A5086" s="1"/>
      <c r="B5086" s="24" t="str">
        <f>HYPERLINK("https://www.compass.com/listing/61-west-9th-street-unit-3c-manhattan-ny-10011/1861857559717628377/view?agent_id=610d3f3370540700019b0833","61 W 9th St, Unit 3C")</f>
        <v>61 W 9th St, Unit 3C</v>
      </c>
      <c r="C5086" s="25" t="s">
        <v>364</v>
      </c>
      <c r="D5086" s="26" t="s">
        <v>23</v>
      </c>
      <c r="E5086" s="27" t="str">
        <f>HYPERLINK("https://www.compass.com/building/61-w-9th-st-manhattan-ny-10011/281911958494538757/","61 W 9th St")</f>
        <v>61 W 9th St</v>
      </c>
      <c r="F5086" s="25" t="s">
        <v>43</v>
      </c>
      <c r="G5086" s="28">
        <v>1300000.0</v>
      </c>
      <c r="H5086" s="28">
        <v>1182.0</v>
      </c>
      <c r="I5086" s="28">
        <v>2192.0</v>
      </c>
      <c r="J5086" s="29"/>
      <c r="K5086" s="25" t="s">
        <v>25</v>
      </c>
      <c r="L5086" s="26">
        <v>4.0</v>
      </c>
      <c r="M5086" s="26">
        <v>2.0</v>
      </c>
      <c r="N5086" s="30"/>
      <c r="O5086" s="30"/>
      <c r="P5086" s="34">
        <v>1100.0</v>
      </c>
      <c r="Q5086" s="31"/>
      <c r="R5086" s="32">
        <v>42476.0</v>
      </c>
      <c r="S5086" s="33"/>
      <c r="T5086" s="29"/>
      <c r="U5086" s="33"/>
      <c r="V5086" s="1"/>
    </row>
    <row r="5087" ht="24.0" customHeight="1">
      <c r="A5087" s="1"/>
      <c r="B5087" s="24" t="str">
        <f>HYPERLINK("https://www.compass.com/listing/323-park-avenue-south-unit-7a-manhattan-ny-10010/29378457368569521/view?agent_id=610d3f3370540700019b0833","323 Park Avenue South, Unit 7A")</f>
        <v>323 Park Avenue South, Unit 7A</v>
      </c>
      <c r="C5087" s="25" t="s">
        <v>370</v>
      </c>
      <c r="D5087" s="26" t="s">
        <v>23</v>
      </c>
      <c r="E5087" s="27" t="str">
        <f>HYPERLINK("https://www.compass.com/building/323-park-ave-s-manhattan-ny-10010/281902874043105941/","323 Park Ave S")</f>
        <v>323 Park Ave S</v>
      </c>
      <c r="F5087" s="25" t="s">
        <v>115</v>
      </c>
      <c r="G5087" s="28">
        <v>2995000.0</v>
      </c>
      <c r="H5087" s="28">
        <v>2148.0</v>
      </c>
      <c r="I5087" s="28">
        <v>3902.0</v>
      </c>
      <c r="J5087" s="28">
        <v>16956.0</v>
      </c>
      <c r="K5087" s="25" t="s">
        <v>28</v>
      </c>
      <c r="L5087" s="26">
        <v>5.0</v>
      </c>
      <c r="M5087" s="26">
        <v>2.0</v>
      </c>
      <c r="N5087" s="26">
        <v>0.0</v>
      </c>
      <c r="O5087" s="26">
        <v>0.0</v>
      </c>
      <c r="P5087" s="34">
        <v>1394.0</v>
      </c>
      <c r="Q5087" s="35">
        <v>190.0</v>
      </c>
      <c r="R5087" s="32">
        <v>45636.0</v>
      </c>
      <c r="S5087" s="32">
        <v>42087.0</v>
      </c>
      <c r="T5087" s="29"/>
      <c r="U5087" s="33"/>
      <c r="V5087" s="1"/>
    </row>
    <row r="5088" ht="24.0" customHeight="1">
      <c r="A5088" s="1"/>
      <c r="B5088" s="24" t="str">
        <f>HYPERLINK("https://www.compass.com/listing/2-park-place-unit-36b-manhattan-ny-10007/1838887798758155177/view?agent_id=610d3f3370540700019b0833","2 Park Place, Unit 36B")</f>
        <v>2 Park Place, Unit 36B</v>
      </c>
      <c r="C5088" s="25" t="s">
        <v>364</v>
      </c>
      <c r="D5088" s="26" t="s">
        <v>23</v>
      </c>
      <c r="E5088" s="27" t="str">
        <f t="shared" ref="E5088:E5094" si="232">HYPERLINK("https://www.compass.com/building/the-woolworth-tower-residences-manhattan-ny/294842395015266853/","The Woolworth Tower Residences")</f>
        <v>The Woolworth Tower Residences</v>
      </c>
      <c r="F5088" s="25" t="s">
        <v>60</v>
      </c>
      <c r="G5088" s="28">
        <v>7650000.0</v>
      </c>
      <c r="H5088" s="28">
        <v>3002.0</v>
      </c>
      <c r="I5088" s="28">
        <v>7456.0</v>
      </c>
      <c r="J5088" s="28">
        <v>43236.0</v>
      </c>
      <c r="K5088" s="25" t="s">
        <v>28</v>
      </c>
      <c r="L5088" s="26">
        <v>4.0</v>
      </c>
      <c r="M5088" s="26">
        <v>2.0</v>
      </c>
      <c r="N5088" s="26">
        <v>0.0</v>
      </c>
      <c r="O5088" s="26">
        <v>0.0</v>
      </c>
      <c r="P5088" s="34">
        <v>2548.0</v>
      </c>
      <c r="Q5088" s="35">
        <v>83.0</v>
      </c>
      <c r="R5088" s="32">
        <v>45636.0</v>
      </c>
      <c r="S5088" s="32">
        <v>43069.0</v>
      </c>
      <c r="T5088" s="29"/>
      <c r="U5088" s="33"/>
      <c r="V5088" s="1"/>
    </row>
    <row r="5089" ht="24.0" customHeight="1">
      <c r="A5089" s="1"/>
      <c r="B5089" s="24" t="str">
        <f>HYPERLINK("https://www.compass.com/listing/2-park-place-unit-45a-manhattan-ny-10007/1838915781619266033/view?agent_id=610d3f3370540700019b0833","2 Park Place, Unit 45A")</f>
        <v>2 Park Place, Unit 45A</v>
      </c>
      <c r="C5089" s="25" t="s">
        <v>364</v>
      </c>
      <c r="D5089" s="26" t="s">
        <v>23</v>
      </c>
      <c r="E5089" s="27" t="str">
        <f t="shared" si="232"/>
        <v>The Woolworth Tower Residences</v>
      </c>
      <c r="F5089" s="25" t="s">
        <v>60</v>
      </c>
      <c r="G5089" s="28">
        <v>8900000.0</v>
      </c>
      <c r="H5089" s="28">
        <v>3670.0</v>
      </c>
      <c r="I5089" s="28">
        <v>7097.0</v>
      </c>
      <c r="J5089" s="28">
        <v>41160.0</v>
      </c>
      <c r="K5089" s="25" t="s">
        <v>28</v>
      </c>
      <c r="L5089" s="26">
        <v>5.0</v>
      </c>
      <c r="M5089" s="26">
        <v>2.0</v>
      </c>
      <c r="N5089" s="26">
        <v>0.0</v>
      </c>
      <c r="O5089" s="26">
        <v>0.0</v>
      </c>
      <c r="P5089" s="34">
        <v>2425.0</v>
      </c>
      <c r="Q5089" s="35">
        <v>386.0</v>
      </c>
      <c r="R5089" s="32">
        <v>45636.0</v>
      </c>
      <c r="S5089" s="32">
        <v>42766.0</v>
      </c>
      <c r="T5089" s="29"/>
      <c r="U5089" s="33"/>
      <c r="V5089" s="1"/>
    </row>
    <row r="5090" ht="24.0" customHeight="1">
      <c r="A5090" s="1"/>
      <c r="B5090" s="24" t="str">
        <f>HYPERLINK("https://www.compass.com/listing/2-park-place-unit-37b-manhattan-ny-10007/1838969388389255625/view?agent_id=610d3f3370540700019b0833","2 Park Place, Unit 37B")</f>
        <v>2 Park Place, Unit 37B</v>
      </c>
      <c r="C5090" s="25" t="s">
        <v>364</v>
      </c>
      <c r="D5090" s="26" t="s">
        <v>23</v>
      </c>
      <c r="E5090" s="27" t="str">
        <f t="shared" si="232"/>
        <v>The Woolworth Tower Residences</v>
      </c>
      <c r="F5090" s="25" t="s">
        <v>60</v>
      </c>
      <c r="G5090" s="28">
        <v>8150000.0</v>
      </c>
      <c r="H5090" s="28">
        <v>3199.0</v>
      </c>
      <c r="I5090" s="28">
        <v>7456.0</v>
      </c>
      <c r="J5090" s="28">
        <v>43236.0</v>
      </c>
      <c r="K5090" s="25" t="s">
        <v>28</v>
      </c>
      <c r="L5090" s="26">
        <v>4.0</v>
      </c>
      <c r="M5090" s="26">
        <v>2.0</v>
      </c>
      <c r="N5090" s="26">
        <v>0.0</v>
      </c>
      <c r="O5090" s="26">
        <v>0.0</v>
      </c>
      <c r="P5090" s="34">
        <v>2548.0</v>
      </c>
      <c r="Q5090" s="35">
        <v>83.0</v>
      </c>
      <c r="R5090" s="32">
        <v>44581.0</v>
      </c>
      <c r="S5090" s="32">
        <v>43069.0</v>
      </c>
      <c r="T5090" s="29"/>
      <c r="U5090" s="33"/>
      <c r="V5090" s="1"/>
    </row>
    <row r="5091" ht="24.0" customHeight="1">
      <c r="A5091" s="1"/>
      <c r="B5091" s="24" t="str">
        <f>HYPERLINK("https://www.compass.com/listing/2-park-place-unit-34b-manhattan-ny-10007/1838982515504012577/view?agent_id=610d3f3370540700019b0833","2 Park Place, Unit 34B")</f>
        <v>2 Park Place, Unit 34B</v>
      </c>
      <c r="C5091" s="25" t="s">
        <v>364</v>
      </c>
      <c r="D5091" s="26" t="s">
        <v>23</v>
      </c>
      <c r="E5091" s="27" t="str">
        <f t="shared" si="232"/>
        <v>The Woolworth Tower Residences</v>
      </c>
      <c r="F5091" s="25" t="s">
        <v>60</v>
      </c>
      <c r="G5091" s="28">
        <v>7450000.0</v>
      </c>
      <c r="H5091" s="28">
        <v>2924.0</v>
      </c>
      <c r="I5091" s="28">
        <v>7456.0</v>
      </c>
      <c r="J5091" s="28">
        <v>43236.0</v>
      </c>
      <c r="K5091" s="25" t="s">
        <v>28</v>
      </c>
      <c r="L5091" s="26">
        <v>4.0</v>
      </c>
      <c r="M5091" s="26">
        <v>2.0</v>
      </c>
      <c r="N5091" s="26">
        <v>0.0</v>
      </c>
      <c r="O5091" s="26">
        <v>0.0</v>
      </c>
      <c r="P5091" s="34">
        <v>2548.0</v>
      </c>
      <c r="Q5091" s="35">
        <v>210.0</v>
      </c>
      <c r="R5091" s="32">
        <v>45636.0</v>
      </c>
      <c r="S5091" s="32">
        <v>42858.0</v>
      </c>
      <c r="T5091" s="29"/>
      <c r="U5091" s="33"/>
      <c r="V5091" s="1"/>
    </row>
    <row r="5092" ht="24.0" customHeight="1">
      <c r="A5092" s="1"/>
      <c r="B5092" s="24" t="str">
        <f>HYPERLINK("https://www.compass.com/listing/2-park-place-unit-33b-manhattan-ny-10007/1838990762226788737/view?agent_id=610d3f3370540700019b0833","2 Park Place, Unit 33B")</f>
        <v>2 Park Place, Unit 33B</v>
      </c>
      <c r="C5092" s="25" t="s">
        <v>364</v>
      </c>
      <c r="D5092" s="26" t="s">
        <v>23</v>
      </c>
      <c r="E5092" s="27" t="str">
        <f t="shared" si="232"/>
        <v>The Woolworth Tower Residences</v>
      </c>
      <c r="F5092" s="25" t="s">
        <v>60</v>
      </c>
      <c r="G5092" s="28">
        <v>7350000.0</v>
      </c>
      <c r="H5092" s="28">
        <v>2844.0</v>
      </c>
      <c r="I5092" s="28">
        <v>7456.0</v>
      </c>
      <c r="J5092" s="28">
        <v>43236.0</v>
      </c>
      <c r="K5092" s="25" t="s">
        <v>28</v>
      </c>
      <c r="L5092" s="26">
        <v>4.0</v>
      </c>
      <c r="M5092" s="26">
        <v>2.0</v>
      </c>
      <c r="N5092" s="26">
        <v>0.0</v>
      </c>
      <c r="O5092" s="26">
        <v>0.0</v>
      </c>
      <c r="P5092" s="34">
        <v>2584.0</v>
      </c>
      <c r="Q5092" s="35">
        <v>302.0</v>
      </c>
      <c r="R5092" s="32">
        <v>45636.0</v>
      </c>
      <c r="S5092" s="32">
        <v>42850.0</v>
      </c>
      <c r="T5092" s="29"/>
      <c r="U5092" s="33"/>
      <c r="V5092" s="1"/>
    </row>
    <row r="5093" ht="24.0" customHeight="1">
      <c r="A5093" s="1"/>
      <c r="B5093" s="24" t="str">
        <f>HYPERLINK("https://www.compass.com/listing/2-park-place-unit-35b-manhattan-ny-10007/451458545864003913/view?agent_id=610d3f3370540700019b0833","2 Park Place, Unit 35B")</f>
        <v>2 Park Place, Unit 35B</v>
      </c>
      <c r="C5093" s="25" t="s">
        <v>364</v>
      </c>
      <c r="D5093" s="26" t="s">
        <v>23</v>
      </c>
      <c r="E5093" s="27" t="str">
        <f t="shared" si="232"/>
        <v>The Woolworth Tower Residences</v>
      </c>
      <c r="F5093" s="25" t="s">
        <v>60</v>
      </c>
      <c r="G5093" s="28">
        <v>7550000.0</v>
      </c>
      <c r="H5093" s="28">
        <v>2963.0</v>
      </c>
      <c r="I5093" s="28">
        <v>7456.0</v>
      </c>
      <c r="J5093" s="28">
        <v>43236.0</v>
      </c>
      <c r="K5093" s="25" t="s">
        <v>28</v>
      </c>
      <c r="L5093" s="26">
        <v>4.0</v>
      </c>
      <c r="M5093" s="26">
        <v>2.0</v>
      </c>
      <c r="N5093" s="26">
        <v>0.0</v>
      </c>
      <c r="O5093" s="26">
        <v>0.0</v>
      </c>
      <c r="P5093" s="34">
        <v>2548.0</v>
      </c>
      <c r="Q5093" s="35">
        <v>110.0</v>
      </c>
      <c r="R5093" s="32">
        <v>45636.0</v>
      </c>
      <c r="S5093" s="32">
        <v>42745.0</v>
      </c>
      <c r="T5093" s="29"/>
      <c r="U5093" s="33"/>
      <c r="V5093" s="1"/>
    </row>
    <row r="5094" ht="24.0" customHeight="1">
      <c r="A5094" s="1"/>
      <c r="B5094" s="24" t="str">
        <f>HYPERLINK("https://www.compass.com/listing/2-park-place-unit-44a-manhattan-ny-10007/803309724841592809/view?agent_id=610d3f3370540700019b0833","2 Park Place, Unit 44A")</f>
        <v>2 Park Place, Unit 44A</v>
      </c>
      <c r="C5094" s="25" t="s">
        <v>364</v>
      </c>
      <c r="D5094" s="26" t="s">
        <v>23</v>
      </c>
      <c r="E5094" s="27" t="str">
        <f t="shared" si="232"/>
        <v>The Woolworth Tower Residences</v>
      </c>
      <c r="F5094" s="25" t="s">
        <v>60</v>
      </c>
      <c r="G5094" s="28">
        <v>8800000.0</v>
      </c>
      <c r="H5094" s="28">
        <v>3629.0</v>
      </c>
      <c r="I5094" s="28">
        <v>7097.0</v>
      </c>
      <c r="J5094" s="28">
        <v>41160.0</v>
      </c>
      <c r="K5094" s="25" t="s">
        <v>28</v>
      </c>
      <c r="L5094" s="26">
        <v>5.0</v>
      </c>
      <c r="M5094" s="26">
        <v>2.0</v>
      </c>
      <c r="N5094" s="26">
        <v>0.0</v>
      </c>
      <c r="O5094" s="26">
        <v>0.0</v>
      </c>
      <c r="P5094" s="34">
        <v>2425.0</v>
      </c>
      <c r="Q5094" s="35">
        <v>117.0</v>
      </c>
      <c r="R5094" s="32">
        <v>44581.0</v>
      </c>
      <c r="S5094" s="32">
        <v>42952.0</v>
      </c>
      <c r="T5094" s="29"/>
      <c r="U5094" s="33"/>
      <c r="V5094" s="1"/>
    </row>
    <row r="5095" ht="24.0" customHeight="1">
      <c r="A5095" s="1"/>
      <c r="B5095" s="24" t="str">
        <f>HYPERLINK("https://www.compass.com/listing/555-west-23rd-street-unit-s12fg-manhattan-ny-10011/4852306054584737793/view?agent_id=610d3f3370540700019b0833","555 West 23rd Street, Unit S12FG")</f>
        <v>555 West 23rd Street, Unit S12FG</v>
      </c>
      <c r="C5095" s="25" t="s">
        <v>370</v>
      </c>
      <c r="D5095" s="26" t="s">
        <v>23</v>
      </c>
      <c r="E5095" s="27" t="str">
        <f>HYPERLINK("https://www.compass.com/building/555-w-23-manhattan-ny/281911747042895061/","555 W 23")</f>
        <v>555 W 23</v>
      </c>
      <c r="F5095" s="25" t="s">
        <v>27</v>
      </c>
      <c r="G5095" s="28">
        <v>1725000.0</v>
      </c>
      <c r="H5095" s="28">
        <v>1287.0</v>
      </c>
      <c r="I5095" s="28">
        <v>1416.0</v>
      </c>
      <c r="J5095" s="28">
        <v>4728.0</v>
      </c>
      <c r="K5095" s="25" t="s">
        <v>28</v>
      </c>
      <c r="L5095" s="26">
        <v>5.0</v>
      </c>
      <c r="M5095" s="26">
        <v>2.0</v>
      </c>
      <c r="N5095" s="26">
        <v>0.0</v>
      </c>
      <c r="O5095" s="26">
        <v>0.0</v>
      </c>
      <c r="P5095" s="34">
        <v>1340.0</v>
      </c>
      <c r="Q5095" s="35">
        <v>0.0</v>
      </c>
      <c r="R5095" s="32">
        <v>44581.0</v>
      </c>
      <c r="S5095" s="32">
        <v>41538.0</v>
      </c>
      <c r="T5095" s="29"/>
      <c r="U5095" s="33"/>
      <c r="V5095" s="1"/>
    </row>
    <row r="5096" ht="24.0" customHeight="1">
      <c r="A5096" s="1"/>
      <c r="B5096" s="24" t="str">
        <f>HYPERLINK("https://www.compass.com/listing/101-west-24th-street-unit-12b-manhattan-ny-10011/29519857464754385/view?agent_id=610d3f3370540700019b0833","101 West 24th Street, Unit 12B")</f>
        <v>101 West 24th Street, Unit 12B</v>
      </c>
      <c r="C5096" s="25" t="s">
        <v>364</v>
      </c>
      <c r="D5096" s="26" t="s">
        <v>23</v>
      </c>
      <c r="E5096" s="27" t="str">
        <f>HYPERLINK("https://www.compass.com/building/chelsea-stratus-manhattan-ny/294845224777812053/","Chelsea Stratus")</f>
        <v>Chelsea Stratus</v>
      </c>
      <c r="F5096" s="25" t="s">
        <v>27</v>
      </c>
      <c r="G5096" s="28">
        <v>2395000.0</v>
      </c>
      <c r="H5096" s="28">
        <v>1928.0</v>
      </c>
      <c r="I5096" s="28">
        <v>2860.0</v>
      </c>
      <c r="J5096" s="28">
        <v>21009.0</v>
      </c>
      <c r="K5096" s="25" t="s">
        <v>28</v>
      </c>
      <c r="L5096" s="26">
        <v>4.0</v>
      </c>
      <c r="M5096" s="26">
        <v>2.0</v>
      </c>
      <c r="N5096" s="26">
        <v>0.0</v>
      </c>
      <c r="O5096" s="26">
        <v>0.0</v>
      </c>
      <c r="P5096" s="34">
        <v>1242.0</v>
      </c>
      <c r="Q5096" s="35">
        <v>83.0</v>
      </c>
      <c r="R5096" s="32">
        <v>44581.0</v>
      </c>
      <c r="S5096" s="32">
        <v>43312.0</v>
      </c>
      <c r="T5096" s="29"/>
      <c r="U5096" s="33"/>
      <c r="V5096" s="1"/>
    </row>
    <row r="5097" ht="24.0" customHeight="1">
      <c r="A5097" s="1"/>
      <c r="B5097" s="24" t="str">
        <f>HYPERLINK("https://www.compass.com/listing/551-west-21st-street-unit-4a-manhattan-ny-10011/145014746997944033/view?agent_id=610d3f3370540700019b0833","551 West 21st Street, Unit 4A")</f>
        <v>551 West 21st Street, Unit 4A</v>
      </c>
      <c r="C5097" s="25" t="s">
        <v>364</v>
      </c>
      <c r="D5097" s="26" t="s">
        <v>23</v>
      </c>
      <c r="E5097" s="27" t="str">
        <f t="shared" ref="E5097:E5098" si="233">HYPERLINK("https://www.compass.com/building/551-w-21st-st-manhattan-ny-10011/281911712163062981/","551 W 21st St")</f>
        <v>551 W 21st St</v>
      </c>
      <c r="F5097" s="25" t="s">
        <v>27</v>
      </c>
      <c r="G5097" s="28">
        <v>5125000.0</v>
      </c>
      <c r="H5097" s="28">
        <v>2425.0</v>
      </c>
      <c r="I5097" s="28">
        <v>6117.0</v>
      </c>
      <c r="J5097" s="28">
        <v>31860.0</v>
      </c>
      <c r="K5097" s="25" t="s">
        <v>28</v>
      </c>
      <c r="L5097" s="26">
        <v>4.0</v>
      </c>
      <c r="M5097" s="26">
        <v>2.0</v>
      </c>
      <c r="N5097" s="26">
        <v>0.0</v>
      </c>
      <c r="O5097" s="26">
        <v>0.0</v>
      </c>
      <c r="P5097" s="34">
        <v>2113.0</v>
      </c>
      <c r="Q5097" s="35">
        <v>336.0</v>
      </c>
      <c r="R5097" s="32">
        <v>45636.0</v>
      </c>
      <c r="S5097" s="32">
        <v>42600.0</v>
      </c>
      <c r="T5097" s="29"/>
      <c r="U5097" s="33"/>
      <c r="V5097" s="1"/>
    </row>
    <row r="5098" ht="24.0" customHeight="1">
      <c r="A5098" s="1"/>
      <c r="B5098" s="24" t="str">
        <f>HYPERLINK("https://www.compass.com/listing/551-west-21st-street-unit-3a-manhattan-ny-10011/1838976128342263217/view?agent_id=610d3f3370540700019b0833","551 West 21st Street, Unit 3A")</f>
        <v>551 West 21st Street, Unit 3A</v>
      </c>
      <c r="C5098" s="25" t="s">
        <v>370</v>
      </c>
      <c r="D5098" s="26" t="s">
        <v>23</v>
      </c>
      <c r="E5098" s="27" t="str">
        <f t="shared" si="233"/>
        <v>551 W 21st St</v>
      </c>
      <c r="F5098" s="25" t="s">
        <v>27</v>
      </c>
      <c r="G5098" s="28">
        <v>4495000.0</v>
      </c>
      <c r="H5098" s="28">
        <v>2127.0</v>
      </c>
      <c r="I5098" s="28">
        <v>6087.0</v>
      </c>
      <c r="J5098" s="28">
        <v>31704.0</v>
      </c>
      <c r="K5098" s="25" t="s">
        <v>28</v>
      </c>
      <c r="L5098" s="26">
        <v>4.0</v>
      </c>
      <c r="M5098" s="26">
        <v>2.0</v>
      </c>
      <c r="N5098" s="26">
        <v>0.0</v>
      </c>
      <c r="O5098" s="26">
        <v>0.0</v>
      </c>
      <c r="P5098" s="34">
        <v>2113.0</v>
      </c>
      <c r="Q5098" s="35">
        <v>401.0</v>
      </c>
      <c r="R5098" s="32">
        <v>45636.0</v>
      </c>
      <c r="S5098" s="32">
        <v>42577.0</v>
      </c>
      <c r="T5098" s="29"/>
      <c r="U5098" s="33"/>
      <c r="V5098" s="1"/>
    </row>
    <row r="5099" ht="24.0" customHeight="1">
      <c r="A5099" s="1"/>
      <c r="B5099" s="24" t="str">
        <f>HYPERLINK("https://www.compass.com/listing/100-greene-street-unit-3-manhattan-ny-10012/803404825031043681/view?agent_id=610d3f3370540700019b0833","100 Greene Street, Unit 3")</f>
        <v>100 Greene Street, Unit 3</v>
      </c>
      <c r="C5099" s="25" t="s">
        <v>364</v>
      </c>
      <c r="D5099" s="26" t="s">
        <v>23</v>
      </c>
      <c r="E5099" s="27" t="str">
        <f>HYPERLINK("https://www.compass.com/building/100-greene-st-manhattan-ny-10012/281912285482477365/","100 Greene St")</f>
        <v>100 Greene St</v>
      </c>
      <c r="F5099" s="25" t="s">
        <v>53</v>
      </c>
      <c r="G5099" s="28">
        <v>4200000.0</v>
      </c>
      <c r="H5099" s="28">
        <v>2100.0</v>
      </c>
      <c r="I5099" s="28">
        <v>3209.0</v>
      </c>
      <c r="J5099" s="29"/>
      <c r="K5099" s="25" t="s">
        <v>25</v>
      </c>
      <c r="L5099" s="26">
        <v>4.0</v>
      </c>
      <c r="M5099" s="26">
        <v>2.0</v>
      </c>
      <c r="N5099" s="26">
        <v>0.0</v>
      </c>
      <c r="O5099" s="26">
        <v>0.0</v>
      </c>
      <c r="P5099" s="34">
        <v>2000.0</v>
      </c>
      <c r="Q5099" s="35">
        <v>226.0</v>
      </c>
      <c r="R5099" s="32">
        <v>45636.0</v>
      </c>
      <c r="S5099" s="32">
        <v>42679.0</v>
      </c>
      <c r="T5099" s="29"/>
      <c r="U5099" s="33"/>
      <c r="V5099" s="1"/>
    </row>
    <row r="5100" ht="24.0" customHeight="1">
      <c r="A5100" s="1"/>
      <c r="B5100" s="24" t="str">
        <f>HYPERLINK("https://www.compass.com/listing/175-eastern-parkway-unit-2g-brooklyn-ny-11238/1838872420141213905/view?agent_id=610d3f3370540700019b0833","175 Eastern Pkwy, Unit 2G")</f>
        <v>175 Eastern Pkwy, Unit 2G</v>
      </c>
      <c r="C5100" s="25" t="s">
        <v>364</v>
      </c>
      <c r="D5100" s="26" t="s">
        <v>23</v>
      </c>
      <c r="E5100" s="27" t="str">
        <f>HYPERLINK("https://www.compass.com/building/175-eastern-pkwy-brooklyn-ny-11238/293422878962027109/","175 Eastern Pkwy")</f>
        <v>175 Eastern Pkwy</v>
      </c>
      <c r="F5100" s="25" t="s">
        <v>39</v>
      </c>
      <c r="G5100" s="28">
        <v>549000.0</v>
      </c>
      <c r="H5100" s="28">
        <v>528.0</v>
      </c>
      <c r="I5100" s="28">
        <v>936.0</v>
      </c>
      <c r="J5100" s="29"/>
      <c r="K5100" s="25" t="s">
        <v>25</v>
      </c>
      <c r="L5100" s="26">
        <v>4.0</v>
      </c>
      <c r="M5100" s="26">
        <v>2.0</v>
      </c>
      <c r="N5100" s="30"/>
      <c r="O5100" s="30"/>
      <c r="P5100" s="34">
        <v>1040.0</v>
      </c>
      <c r="Q5100" s="35">
        <v>194.0</v>
      </c>
      <c r="R5100" s="32">
        <v>42476.0</v>
      </c>
      <c r="S5100" s="32">
        <v>40623.0</v>
      </c>
      <c r="T5100" s="29"/>
      <c r="U5100" s="33"/>
      <c r="V5100" s="1"/>
    </row>
    <row r="5101" ht="24.0" customHeight="1">
      <c r="A5101" s="1"/>
      <c r="B5101" s="24" t="str">
        <f>HYPERLINK("https://www.compass.com/listing/116-west-22nd-street-unit-5-manhattan-ny-10011/29510546621506977/view?agent_id=610d3f3370540700019b0833","116 West 22nd Street, Unit 5")</f>
        <v>116 West 22nd Street, Unit 5</v>
      </c>
      <c r="C5101" s="25" t="s">
        <v>364</v>
      </c>
      <c r="D5101" s="26" t="s">
        <v>23</v>
      </c>
      <c r="E5101" s="27" t="str">
        <f>HYPERLINK("https://www.compass.com/building/soma-condominium-manhattan-ny/281904489101805333/","SOMA Condominium")</f>
        <v>SOMA Condominium</v>
      </c>
      <c r="F5101" s="25" t="s">
        <v>27</v>
      </c>
      <c r="G5101" s="28">
        <v>2195000.0</v>
      </c>
      <c r="H5101" s="28">
        <v>1372.0</v>
      </c>
      <c r="I5101" s="28">
        <v>0.0</v>
      </c>
      <c r="J5101" s="29"/>
      <c r="K5101" s="25" t="s">
        <v>28</v>
      </c>
      <c r="L5101" s="26">
        <v>4.0</v>
      </c>
      <c r="M5101" s="26">
        <v>2.0</v>
      </c>
      <c r="N5101" s="26">
        <v>0.0</v>
      </c>
      <c r="O5101" s="26">
        <v>0.0</v>
      </c>
      <c r="P5101" s="34">
        <v>1600.0</v>
      </c>
      <c r="Q5101" s="31"/>
      <c r="R5101" s="32">
        <v>44581.0</v>
      </c>
      <c r="S5101" s="33"/>
      <c r="T5101" s="29"/>
      <c r="U5101" s="33"/>
      <c r="V5101" s="1"/>
    </row>
    <row r="5102" ht="24.0" customHeight="1">
      <c r="A5102" s="1"/>
      <c r="B5102" s="24" t="str">
        <f>HYPERLINK("https://www.compass.com/listing/318-west-100th-street-unit-1c-manhattan-ny-10025/1838976266418714089/view?agent_id=610d3f3370540700019b0833","318 West 100th Street, Unit 1C")</f>
        <v>318 West 100th Street, Unit 1C</v>
      </c>
      <c r="C5102" s="25" t="s">
        <v>370</v>
      </c>
      <c r="D5102" s="26" t="s">
        <v>23</v>
      </c>
      <c r="E5102" s="27" t="str">
        <f>HYPERLINK("https://www.compass.com/building/318-w-100th-st-manhattan-ny-10025/281925895772478405/","318 W 100th St")</f>
        <v>318 W 100th St</v>
      </c>
      <c r="F5102" s="25" t="s">
        <v>29</v>
      </c>
      <c r="G5102" s="28">
        <v>1349000.0</v>
      </c>
      <c r="H5102" s="28">
        <v>1212.0</v>
      </c>
      <c r="I5102" s="28">
        <v>1331.0</v>
      </c>
      <c r="J5102" s="28">
        <v>5052.0</v>
      </c>
      <c r="K5102" s="25" t="s">
        <v>28</v>
      </c>
      <c r="L5102" s="26">
        <v>5.0</v>
      </c>
      <c r="M5102" s="26">
        <v>2.0</v>
      </c>
      <c r="N5102" s="26">
        <v>0.0</v>
      </c>
      <c r="O5102" s="26">
        <v>0.0</v>
      </c>
      <c r="P5102" s="34">
        <v>1113.0</v>
      </c>
      <c r="Q5102" s="35">
        <v>109.0</v>
      </c>
      <c r="R5102" s="32">
        <v>45636.0</v>
      </c>
      <c r="S5102" s="32">
        <v>43356.0</v>
      </c>
      <c r="T5102" s="29"/>
      <c r="U5102" s="33"/>
      <c r="V5102" s="1"/>
    </row>
    <row r="5103" ht="24.0" customHeight="1">
      <c r="A5103" s="1"/>
      <c r="B5103" s="24" t="str">
        <f>HYPERLINK("https://www.compass.com/listing/50-west-9th-street-unit-2a-manhattan-ny-10011/1809622476958873217/view?agent_id=610d3f3370540700019b0833","50 W 9th St, Unit 2A")</f>
        <v>50 W 9th St, Unit 2A</v>
      </c>
      <c r="C5103" s="25" t="s">
        <v>364</v>
      </c>
      <c r="D5103" s="26" t="s">
        <v>23</v>
      </c>
      <c r="E5103" s="27" t="str">
        <f>HYPERLINK("https://www.compass.com/building/the-hampshire-manhattan-ny/282059725334413285/","The Hampshire")</f>
        <v>The Hampshire</v>
      </c>
      <c r="F5103" s="25" t="s">
        <v>43</v>
      </c>
      <c r="G5103" s="28">
        <v>1275000.0</v>
      </c>
      <c r="H5103" s="29"/>
      <c r="I5103" s="29"/>
      <c r="J5103" s="29"/>
      <c r="K5103" s="25" t="s">
        <v>25</v>
      </c>
      <c r="L5103" s="26">
        <v>4.0</v>
      </c>
      <c r="M5103" s="26">
        <v>2.0</v>
      </c>
      <c r="N5103" s="30"/>
      <c r="O5103" s="30"/>
      <c r="P5103" s="30"/>
      <c r="Q5103" s="35">
        <v>152.0</v>
      </c>
      <c r="R5103" s="32">
        <v>42478.0</v>
      </c>
      <c r="S5103" s="32">
        <v>39639.0</v>
      </c>
      <c r="T5103" s="29"/>
      <c r="U5103" s="33"/>
      <c r="V5103" s="1"/>
    </row>
    <row r="5104" ht="24.0" customHeight="1">
      <c r="A5104" s="1"/>
      <c r="B5104" s="24" t="str">
        <f>HYPERLINK("https://www.compass.com/listing/520-west-19th-street-unit-2a-manhattan-ny-10011/918962618294279169/view?agent_id=610d3f3370540700019b0833","520 West 19th Street, Unit 2A")</f>
        <v>520 West 19th Street, Unit 2A</v>
      </c>
      <c r="C5104" s="25" t="s">
        <v>364</v>
      </c>
      <c r="D5104" s="26" t="s">
        <v>23</v>
      </c>
      <c r="E5104" s="27" t="str">
        <f>HYPERLINK("https://www.compass.com/building/520-west-chelsea-manhattan-ny/281911510064720549/","520 West Chelsea")</f>
        <v>520 West Chelsea</v>
      </c>
      <c r="F5104" s="25" t="s">
        <v>27</v>
      </c>
      <c r="G5104" s="28">
        <v>2100000.0</v>
      </c>
      <c r="H5104" s="28">
        <v>1419.0</v>
      </c>
      <c r="I5104" s="28">
        <v>2168.0</v>
      </c>
      <c r="J5104" s="28">
        <v>6348.0</v>
      </c>
      <c r="K5104" s="25" t="s">
        <v>28</v>
      </c>
      <c r="L5104" s="26">
        <v>5.0</v>
      </c>
      <c r="M5104" s="26">
        <v>2.0</v>
      </c>
      <c r="N5104" s="26">
        <v>0.0</v>
      </c>
      <c r="O5104" s="26">
        <v>0.0</v>
      </c>
      <c r="P5104" s="34">
        <v>1480.0</v>
      </c>
      <c r="Q5104" s="31"/>
      <c r="R5104" s="32">
        <v>44581.0</v>
      </c>
      <c r="S5104" s="33"/>
      <c r="T5104" s="29"/>
      <c r="U5104" s="33"/>
      <c r="V5104" s="1"/>
    </row>
    <row r="5105" ht="24.0" customHeight="1">
      <c r="A5105" s="1"/>
      <c r="B5105" s="24" t="str">
        <f>HYPERLINK("https://www.compass.com/listing/261-broadway-unit-12b-manhattan-ny-10007/1838947020106962929/view?agent_id=610d3f3370540700019b0833","261 Broadway, Unit 12B")</f>
        <v>261 Broadway, Unit 12B</v>
      </c>
      <c r="C5105" s="25" t="s">
        <v>364</v>
      </c>
      <c r="D5105" s="26" t="s">
        <v>23</v>
      </c>
      <c r="E5105" s="27" t="str">
        <f>HYPERLINK("https://www.compass.com/building/261-broadway-manhattan-ny-10007/282058491345009717/","261 Broadway")</f>
        <v>261 Broadway</v>
      </c>
      <c r="F5105" s="25" t="s">
        <v>60</v>
      </c>
      <c r="G5105" s="28">
        <v>1995000.0</v>
      </c>
      <c r="H5105" s="28">
        <v>1750.0</v>
      </c>
      <c r="I5105" s="28">
        <v>2413.0</v>
      </c>
      <c r="J5105" s="29"/>
      <c r="K5105" s="25" t="s">
        <v>25</v>
      </c>
      <c r="L5105" s="26">
        <v>4.0</v>
      </c>
      <c r="M5105" s="26">
        <v>2.0</v>
      </c>
      <c r="N5105" s="26">
        <v>0.0</v>
      </c>
      <c r="O5105" s="26">
        <v>0.0</v>
      </c>
      <c r="P5105" s="34">
        <v>1140.0</v>
      </c>
      <c r="Q5105" s="35">
        <v>776.0</v>
      </c>
      <c r="R5105" s="32">
        <v>45636.0</v>
      </c>
      <c r="S5105" s="32">
        <v>42102.0</v>
      </c>
      <c r="T5105" s="29"/>
      <c r="U5105" s="33"/>
      <c r="V5105" s="1"/>
    </row>
    <row r="5106" ht="24.0" customHeight="1">
      <c r="A5106" s="1"/>
      <c r="B5106" s="24" t="str">
        <f>HYPERLINK("https://www.compass.com/listing/39-washington-square-west-unit-5-pom-manhattan-ny-10011/4703710460845770145/view?agent_id=610d3f3370540700019b0833","39 Washington Square W, Unit 5/POM")</f>
        <v>39 Washington Square W, Unit 5/POM</v>
      </c>
      <c r="C5106" s="25" t="s">
        <v>364</v>
      </c>
      <c r="D5106" s="26" t="s">
        <v>23</v>
      </c>
      <c r="E5106" s="27" t="str">
        <f>HYPERLINK("https://www.compass.com/building/39-washington-square-w-manhattan-ny-10011/307442583194039013/","39 Washington Square W")</f>
        <v>39 Washington Square W</v>
      </c>
      <c r="F5106" s="25" t="s">
        <v>43</v>
      </c>
      <c r="G5106" s="28">
        <v>2595000.0</v>
      </c>
      <c r="H5106" s="29"/>
      <c r="I5106" s="28">
        <v>1139.0</v>
      </c>
      <c r="J5106" s="29"/>
      <c r="K5106" s="25" t="s">
        <v>25</v>
      </c>
      <c r="L5106" s="26">
        <v>6.0</v>
      </c>
      <c r="M5106" s="26">
        <v>2.0</v>
      </c>
      <c r="N5106" s="30"/>
      <c r="O5106" s="30"/>
      <c r="P5106" s="30"/>
      <c r="Q5106" s="31"/>
      <c r="R5106" s="32">
        <v>42670.0</v>
      </c>
      <c r="S5106" s="33"/>
      <c r="T5106" s="29"/>
      <c r="U5106" s="33"/>
      <c r="V5106" s="1"/>
    </row>
    <row r="5107" ht="24.0" customHeight="1">
      <c r="A5107" s="1"/>
      <c r="B5107" s="24" t="str">
        <f>HYPERLINK("https://www.compass.com/listing/422-state-street-unit-17-brooklyn-ny-11217/1644142649447834745/view?agent_id=610d3f3370540700019b0833","422 State Street, Unit 17")</f>
        <v>422 State Street, Unit 17</v>
      </c>
      <c r="C5107" s="25" t="s">
        <v>364</v>
      </c>
      <c r="D5107" s="26" t="s">
        <v>23</v>
      </c>
      <c r="E5107" s="27" t="str">
        <f>HYPERLINK("https://www.compass.com/building/422-state-st-brooklyn-ny-11217/282504586185490389/","422 State St")</f>
        <v>422 State St</v>
      </c>
      <c r="F5107" s="25" t="s">
        <v>102</v>
      </c>
      <c r="G5107" s="28">
        <v>949000.0</v>
      </c>
      <c r="H5107" s="29"/>
      <c r="I5107" s="28">
        <v>956.0</v>
      </c>
      <c r="J5107" s="29"/>
      <c r="K5107" s="25" t="s">
        <v>25</v>
      </c>
      <c r="L5107" s="26">
        <v>4.0</v>
      </c>
      <c r="M5107" s="26">
        <v>2.0</v>
      </c>
      <c r="N5107" s="26">
        <v>1.0</v>
      </c>
      <c r="O5107" s="26">
        <v>0.0</v>
      </c>
      <c r="P5107" s="30"/>
      <c r="Q5107" s="35">
        <v>234.0</v>
      </c>
      <c r="R5107" s="32">
        <v>45636.0</v>
      </c>
      <c r="S5107" s="32">
        <v>43137.0</v>
      </c>
      <c r="T5107" s="29"/>
      <c r="U5107" s="33"/>
      <c r="V5107" s="1"/>
    </row>
    <row r="5108" ht="24.0" customHeight="1">
      <c r="A5108" s="1"/>
      <c r="B5108" s="24" t="str">
        <f>HYPERLINK("https://www.compass.com/listing/60-gramercy-park-north-unit-8a-manhattan-ny-10010/1838916317659483393/view?agent_id=610d3f3370540700019b0833","60 Gramercy Park North, Unit 8A")</f>
        <v>60 Gramercy Park North, Unit 8A</v>
      </c>
      <c r="C5108" s="25" t="s">
        <v>364</v>
      </c>
      <c r="D5108" s="26" t="s">
        <v>23</v>
      </c>
      <c r="E5108" s="27" t="str">
        <f>HYPERLINK("https://www.compass.com/building/60-gramercy-park-n-manhattan-ny-10010/281903827349684917/","60 Gramercy Park N")</f>
        <v>60 Gramercy Park N</v>
      </c>
      <c r="F5108" s="25" t="s">
        <v>48</v>
      </c>
      <c r="G5108" s="28">
        <v>3895000.0</v>
      </c>
      <c r="H5108" s="29"/>
      <c r="I5108" s="28">
        <v>3445.0</v>
      </c>
      <c r="J5108" s="29"/>
      <c r="K5108" s="25" t="s">
        <v>25</v>
      </c>
      <c r="L5108" s="26">
        <v>5.0</v>
      </c>
      <c r="M5108" s="26">
        <v>2.0</v>
      </c>
      <c r="N5108" s="26">
        <v>0.0</v>
      </c>
      <c r="O5108" s="26">
        <v>0.0</v>
      </c>
      <c r="P5108" s="30"/>
      <c r="Q5108" s="35">
        <v>94.0</v>
      </c>
      <c r="R5108" s="32">
        <v>45636.0</v>
      </c>
      <c r="S5108" s="32">
        <v>43028.0</v>
      </c>
      <c r="T5108" s="29"/>
      <c r="U5108" s="33"/>
      <c r="V5108" s="1"/>
    </row>
    <row r="5109" ht="24.0" customHeight="1">
      <c r="A5109" s="1"/>
      <c r="B5109" s="24" t="str">
        <f>HYPERLINK("https://www.compass.com/listing/50-gramercy-park-north-unit-12a-manhattan-ny-10010/783350224179843369/view?agent_id=610d3f3370540700019b0833","50 Gramercy Park North, Unit 12A")</f>
        <v>50 Gramercy Park North, Unit 12A</v>
      </c>
      <c r="C5109" s="25" t="s">
        <v>370</v>
      </c>
      <c r="D5109" s="26" t="s">
        <v>23</v>
      </c>
      <c r="E5109" s="27" t="str">
        <f>HYPERLINK("https://www.compass.com/building/50-gramercy-park-n-manhattan-ny-10010/281903680549045413/","50 Gramercy Park N")</f>
        <v>50 Gramercy Park N</v>
      </c>
      <c r="F5109" s="25" t="s">
        <v>48</v>
      </c>
      <c r="G5109" s="28">
        <v>3950000.0</v>
      </c>
      <c r="H5109" s="29"/>
      <c r="I5109" s="28">
        <v>7620.0</v>
      </c>
      <c r="J5109" s="29"/>
      <c r="K5109" s="25" t="s">
        <v>110</v>
      </c>
      <c r="L5109" s="26">
        <v>4.0</v>
      </c>
      <c r="M5109" s="26">
        <v>2.0</v>
      </c>
      <c r="N5109" s="26">
        <v>0.0</v>
      </c>
      <c r="O5109" s="26">
        <v>0.0</v>
      </c>
      <c r="P5109" s="30"/>
      <c r="Q5109" s="35">
        <v>117.0</v>
      </c>
      <c r="R5109" s="32">
        <v>45636.0</v>
      </c>
      <c r="S5109" s="32">
        <v>42998.0</v>
      </c>
      <c r="T5109" s="29"/>
      <c r="U5109" s="33"/>
      <c r="V5109" s="1"/>
    </row>
    <row r="5110" ht="24.0" customHeight="1">
      <c r="A5110" s="1"/>
      <c r="B5110" s="24" t="str">
        <f>HYPERLINK("https://www.compass.com/listing/565-broadway-unit-5e-manhattan-ny-10012/801612721304739393/view?agent_id=610d3f3370540700019b0833","565 Broadway, Unit 5E")</f>
        <v>565 Broadway, Unit 5E</v>
      </c>
      <c r="C5110" s="25" t="s">
        <v>364</v>
      </c>
      <c r="D5110" s="26" t="s">
        <v>23</v>
      </c>
      <c r="E5110" s="27" t="str">
        <f>HYPERLINK("https://www.compass.com/building/prince-tower-building-manhattan-ny/281915593311941637/","Prince Tower Building")</f>
        <v>Prince Tower Building</v>
      </c>
      <c r="F5110" s="25" t="s">
        <v>53</v>
      </c>
      <c r="G5110" s="28">
        <v>3500000.0</v>
      </c>
      <c r="H5110" s="28">
        <v>1892.0</v>
      </c>
      <c r="I5110" s="28">
        <v>2683.0</v>
      </c>
      <c r="J5110" s="29"/>
      <c r="K5110" s="25" t="s">
        <v>25</v>
      </c>
      <c r="L5110" s="26">
        <v>4.0</v>
      </c>
      <c r="M5110" s="26">
        <v>2.0</v>
      </c>
      <c r="N5110" s="26">
        <v>0.0</v>
      </c>
      <c r="O5110" s="26">
        <v>0.0</v>
      </c>
      <c r="P5110" s="34">
        <v>1850.0</v>
      </c>
      <c r="Q5110" s="35">
        <v>364.0</v>
      </c>
      <c r="R5110" s="32">
        <v>45636.0</v>
      </c>
      <c r="S5110" s="32">
        <v>42401.0</v>
      </c>
      <c r="T5110" s="29"/>
      <c r="U5110" s="33"/>
      <c r="V5110" s="1"/>
    </row>
    <row r="5111" ht="24.0" customHeight="1">
      <c r="A5111" s="1"/>
      <c r="B5111" s="24" t="str">
        <f>HYPERLINK("https://www.compass.com/listing/60-west-13th-street-unit-8a-manhattan-ny-10011/4852283993409718065/view?agent_id=610d3f3370540700019b0833","60 West 13th Street, Unit 8A")</f>
        <v>60 West 13th Street, Unit 8A</v>
      </c>
      <c r="C5111" s="25" t="s">
        <v>364</v>
      </c>
      <c r="D5111" s="26" t="s">
        <v>23</v>
      </c>
      <c r="E5111" s="27" t="str">
        <f>HYPERLINK("https://www.compass.com/building/village-house-condominium-manhattan-ny/281911923413378437/","Village House Condominium")</f>
        <v>Village House Condominium</v>
      </c>
      <c r="F5111" s="25" t="s">
        <v>43</v>
      </c>
      <c r="G5111" s="28">
        <v>2100000.0</v>
      </c>
      <c r="H5111" s="28">
        <v>1850.0</v>
      </c>
      <c r="I5111" s="28">
        <v>2500.0</v>
      </c>
      <c r="J5111" s="28">
        <v>12000.0</v>
      </c>
      <c r="K5111" s="25" t="s">
        <v>28</v>
      </c>
      <c r="L5111" s="26">
        <v>4.0</v>
      </c>
      <c r="M5111" s="26">
        <v>2.0</v>
      </c>
      <c r="N5111" s="26">
        <v>0.0</v>
      </c>
      <c r="O5111" s="26">
        <v>0.0</v>
      </c>
      <c r="P5111" s="34">
        <v>1135.0</v>
      </c>
      <c r="Q5111" s="35">
        <v>182.0</v>
      </c>
      <c r="R5111" s="32">
        <v>44581.0</v>
      </c>
      <c r="S5111" s="32">
        <v>42296.0</v>
      </c>
      <c r="T5111" s="29"/>
      <c r="U5111" s="33"/>
      <c r="V5111" s="1"/>
    </row>
    <row r="5112" ht="24.0" customHeight="1">
      <c r="A5112" s="1"/>
      <c r="B5112" s="24" t="str">
        <f>HYPERLINK("https://www.compass.com/listing/244-riverside-drive-unit-1c-manhattan-ny-10025/211890796650044017/view?agent_id=610d3f3370540700019b0833","244 Riverside Drive, Unit 1C")</f>
        <v>244 Riverside Drive, Unit 1C</v>
      </c>
      <c r="C5112" s="25" t="s">
        <v>364</v>
      </c>
      <c r="D5112" s="26" t="s">
        <v>23</v>
      </c>
      <c r="E5112" s="27" t="str">
        <f>HYPERLINK("https://www.compass.com/building/244-riverside-dr-manhattan-ny-10025/281925802088504709/","244 Riverside Dr")</f>
        <v>244 Riverside Dr</v>
      </c>
      <c r="F5112" s="25" t="s">
        <v>29</v>
      </c>
      <c r="G5112" s="28">
        <v>970000.0</v>
      </c>
      <c r="H5112" s="28">
        <v>964.0</v>
      </c>
      <c r="I5112" s="28">
        <v>1166.0</v>
      </c>
      <c r="J5112" s="28">
        <v>0.0</v>
      </c>
      <c r="K5112" s="25" t="s">
        <v>25</v>
      </c>
      <c r="L5112" s="26">
        <v>4.0</v>
      </c>
      <c r="M5112" s="26">
        <v>2.0</v>
      </c>
      <c r="N5112" s="30"/>
      <c r="O5112" s="30"/>
      <c r="P5112" s="34">
        <v>1006.0</v>
      </c>
      <c r="Q5112" s="35">
        <v>35.0</v>
      </c>
      <c r="R5112" s="32">
        <v>43588.0</v>
      </c>
      <c r="S5112" s="32">
        <v>43544.0</v>
      </c>
      <c r="T5112" s="29"/>
      <c r="U5112" s="33"/>
      <c r="V5112" s="1"/>
    </row>
    <row r="5113" ht="24.0" customHeight="1">
      <c r="A5113" s="1"/>
      <c r="B5113" s="24" t="str">
        <f>HYPERLINK("https://www.compass.com/listing/438-east-12th-street-unit-3j-manhattan-ny-10009/467819077552058145/view?agent_id=610d3f3370540700019b0833","438 East 12th Street, Unit 3J")</f>
        <v>438 East 12th Street, Unit 3J</v>
      </c>
      <c r="C5113" s="25" t="s">
        <v>364</v>
      </c>
      <c r="D5113" s="26" t="s">
        <v>23</v>
      </c>
      <c r="E5113" s="27" t="str">
        <f t="shared" ref="E5113:E5114" si="234">HYPERLINK("https://www.compass.com/building/steiner-east-village-manhattan-ny/281900317572873557/","Steiner East Village")</f>
        <v>Steiner East Village</v>
      </c>
      <c r="F5113" s="25" t="s">
        <v>24</v>
      </c>
      <c r="G5113" s="28">
        <v>2695000.0</v>
      </c>
      <c r="H5113" s="28">
        <v>2346.0</v>
      </c>
      <c r="I5113" s="28">
        <v>4233.0</v>
      </c>
      <c r="J5113" s="28">
        <v>33240.0</v>
      </c>
      <c r="K5113" s="25" t="s">
        <v>28</v>
      </c>
      <c r="L5113" s="26">
        <v>5.0</v>
      </c>
      <c r="M5113" s="26">
        <v>2.0</v>
      </c>
      <c r="N5113" s="30"/>
      <c r="O5113" s="30"/>
      <c r="P5113" s="34">
        <v>1149.0</v>
      </c>
      <c r="Q5113" s="35">
        <v>13.0</v>
      </c>
      <c r="R5113" s="32">
        <v>43911.0</v>
      </c>
      <c r="S5113" s="32">
        <v>43896.0</v>
      </c>
      <c r="T5113" s="29"/>
      <c r="U5113" s="33"/>
      <c r="V5113" s="1"/>
    </row>
    <row r="5114" ht="24.0" customHeight="1">
      <c r="A5114" s="1"/>
      <c r="B5114" s="24" t="str">
        <f>HYPERLINK("https://www.compass.com/listing/438-east-12th-street-unit-3j-manhattan-ny-10009/512732525807405761/view?agent_id=610d3f3370540700019b0833","438 East 12th Street, Unit 3J")</f>
        <v>438 East 12th Street, Unit 3J</v>
      </c>
      <c r="C5114" s="25" t="s">
        <v>364</v>
      </c>
      <c r="D5114" s="26" t="s">
        <v>23</v>
      </c>
      <c r="E5114" s="27" t="str">
        <f t="shared" si="234"/>
        <v>Steiner East Village</v>
      </c>
      <c r="F5114" s="25" t="s">
        <v>24</v>
      </c>
      <c r="G5114" s="28">
        <v>2695000.0</v>
      </c>
      <c r="H5114" s="28">
        <v>2346.0</v>
      </c>
      <c r="I5114" s="28">
        <v>4233.0</v>
      </c>
      <c r="J5114" s="28">
        <v>33240.0</v>
      </c>
      <c r="K5114" s="25" t="s">
        <v>28</v>
      </c>
      <c r="L5114" s="26">
        <v>5.0</v>
      </c>
      <c r="M5114" s="26">
        <v>2.0</v>
      </c>
      <c r="N5114" s="30"/>
      <c r="O5114" s="30"/>
      <c r="P5114" s="34">
        <v>1149.0</v>
      </c>
      <c r="Q5114" s="35">
        <v>0.0</v>
      </c>
      <c r="R5114" s="32">
        <v>43997.0</v>
      </c>
      <c r="S5114" s="32">
        <v>43952.0</v>
      </c>
      <c r="T5114" s="29"/>
      <c r="U5114" s="33"/>
      <c r="V5114" s="1"/>
    </row>
    <row r="5115" ht="24.0" customHeight="1">
      <c r="A5115" s="1"/>
      <c r="B5115" s="24" t="str">
        <f>HYPERLINK("https://www.compass.com/listing/63-67-west-107th-street-unit-1-manhattan-ny-10025/1838907552378023593/view?agent_id=610d3f3370540700019b0833","63-67 West 107th Street, Unit 1")</f>
        <v>63-67 West 107th Street, Unit 1</v>
      </c>
      <c r="C5115" s="25" t="s">
        <v>364</v>
      </c>
      <c r="D5115" s="26" t="s">
        <v>23</v>
      </c>
      <c r="E5115" s="26" t="s">
        <v>450</v>
      </c>
      <c r="F5115" s="25" t="s">
        <v>29</v>
      </c>
      <c r="G5115" s="28">
        <v>875000.0</v>
      </c>
      <c r="H5115" s="28">
        <v>1236.0</v>
      </c>
      <c r="I5115" s="28">
        <v>1623.0</v>
      </c>
      <c r="J5115" s="28">
        <v>8172.0</v>
      </c>
      <c r="K5115" s="25" t="s">
        <v>28</v>
      </c>
      <c r="L5115" s="26">
        <v>5.0</v>
      </c>
      <c r="M5115" s="26">
        <v>2.0</v>
      </c>
      <c r="N5115" s="26">
        <v>1.0</v>
      </c>
      <c r="O5115" s="26">
        <v>0.0</v>
      </c>
      <c r="P5115" s="26">
        <v>708.0</v>
      </c>
      <c r="Q5115" s="35">
        <v>200.0</v>
      </c>
      <c r="R5115" s="32">
        <v>45469.0</v>
      </c>
      <c r="S5115" s="32">
        <v>45268.0</v>
      </c>
      <c r="T5115" s="29"/>
      <c r="U5115" s="33"/>
      <c r="V5115" s="1"/>
    </row>
    <row r="5116" ht="24.0" customHeight="1">
      <c r="A5116" s="1"/>
      <c r="B5116" s="24" t="str">
        <f>HYPERLINK("https://www.compass.com/listing/705-carroll-street-unit-4l-brooklyn-ny-11215/70916670041904273/view?agent_id=610d3f3370540700019b0833","705 Carroll St, Unit 4L")</f>
        <v>705 Carroll St, Unit 4L</v>
      </c>
      <c r="C5116" s="25" t="s">
        <v>364</v>
      </c>
      <c r="D5116" s="26" t="s">
        <v>23</v>
      </c>
      <c r="E5116" s="27" t="str">
        <f>HYPERLINK("https://www.compass.com/building/705-carroll-st-brooklyn-ny-11215/282507105527745301/","705 Carroll St")</f>
        <v>705 Carroll St</v>
      </c>
      <c r="F5116" s="25" t="s">
        <v>40</v>
      </c>
      <c r="G5116" s="28">
        <v>537127.0</v>
      </c>
      <c r="H5116" s="28">
        <v>689.0</v>
      </c>
      <c r="I5116" s="28">
        <v>413.0</v>
      </c>
      <c r="J5116" s="28">
        <v>269.0</v>
      </c>
      <c r="K5116" s="25" t="s">
        <v>28</v>
      </c>
      <c r="L5116" s="26">
        <v>4.0</v>
      </c>
      <c r="M5116" s="26">
        <v>2.0</v>
      </c>
      <c r="N5116" s="30"/>
      <c r="O5116" s="30"/>
      <c r="P5116" s="26">
        <v>780.0</v>
      </c>
      <c r="Q5116" s="35">
        <v>150.0</v>
      </c>
      <c r="R5116" s="32">
        <v>43727.0</v>
      </c>
      <c r="S5116" s="32">
        <v>38215.0</v>
      </c>
      <c r="T5116" s="28">
        <v>537127.0</v>
      </c>
      <c r="U5116" s="32">
        <v>38412.0</v>
      </c>
      <c r="V5116" s="1"/>
    </row>
    <row r="5117" ht="24.0" customHeight="1">
      <c r="A5117" s="1"/>
      <c r="B5117" s="24" t="str">
        <f>HYPERLINK("https://www.compass.com/listing/53-crosby-street-unit-2-manhattan-ny-10012/70923930692517169/view?agent_id=610d3f3370540700019b0833","53 Crosby Street, Unit 2")</f>
        <v>53 Crosby Street, Unit 2</v>
      </c>
      <c r="C5117" s="25" t="s">
        <v>364</v>
      </c>
      <c r="D5117" s="26" t="s">
        <v>23</v>
      </c>
      <c r="E5117" s="27" t="str">
        <f>HYPERLINK("https://www.compass.com/building/53-crosby-st-manhattan-ny-10012/281915444565144965/","53 Crosby St")</f>
        <v>53 Crosby St</v>
      </c>
      <c r="F5117" s="25" t="s">
        <v>53</v>
      </c>
      <c r="G5117" s="28">
        <v>3650000.0</v>
      </c>
      <c r="H5117" s="28">
        <v>1604.0</v>
      </c>
      <c r="I5117" s="28">
        <v>1428.0</v>
      </c>
      <c r="J5117" s="29"/>
      <c r="K5117" s="25" t="s">
        <v>25</v>
      </c>
      <c r="L5117" s="26">
        <v>6.0</v>
      </c>
      <c r="M5117" s="26">
        <v>2.0</v>
      </c>
      <c r="N5117" s="26">
        <v>0.0</v>
      </c>
      <c r="O5117" s="26">
        <v>0.0</v>
      </c>
      <c r="P5117" s="34">
        <v>2275.0</v>
      </c>
      <c r="Q5117" s="35">
        <v>44.0</v>
      </c>
      <c r="R5117" s="32">
        <v>45636.0</v>
      </c>
      <c r="S5117" s="32">
        <v>41743.0</v>
      </c>
      <c r="T5117" s="29"/>
      <c r="U5117" s="33"/>
      <c r="V5117" s="1"/>
    </row>
    <row r="5118" ht="24.0" customHeight="1">
      <c r="A5118" s="1"/>
      <c r="B5118" s="24" t="str">
        <f>HYPERLINK("https://www.compass.com/listing/125-eastern-parkway-unit-2h-brooklyn-ny-11238/38348480074280897/view?agent_id=610d3f3370540700019b0833","125 Eastern Parkway, Unit 2H")</f>
        <v>125 Eastern Parkway, Unit 2H</v>
      </c>
      <c r="C5118" s="25" t="s">
        <v>364</v>
      </c>
      <c r="D5118" s="26" t="s">
        <v>23</v>
      </c>
      <c r="E5118" s="27" t="str">
        <f>HYPERLINK("https://www.compass.com/building/the-theodore-roosevelt-brooklyn-ny/293425839066913541/","The Theodore Roosevelt")</f>
        <v>The Theodore Roosevelt</v>
      </c>
      <c r="F5118" s="25" t="s">
        <v>39</v>
      </c>
      <c r="G5118" s="28">
        <v>950000.0</v>
      </c>
      <c r="H5118" s="28">
        <v>960.0</v>
      </c>
      <c r="I5118" s="28">
        <v>1425.0</v>
      </c>
      <c r="J5118" s="29"/>
      <c r="K5118" s="25" t="s">
        <v>25</v>
      </c>
      <c r="L5118" s="26">
        <v>4.0</v>
      </c>
      <c r="M5118" s="26">
        <v>2.0</v>
      </c>
      <c r="N5118" s="30"/>
      <c r="O5118" s="30"/>
      <c r="P5118" s="26">
        <v>990.0</v>
      </c>
      <c r="Q5118" s="35">
        <v>109.0</v>
      </c>
      <c r="R5118" s="32">
        <v>43421.0</v>
      </c>
      <c r="S5118" s="32">
        <v>43304.0</v>
      </c>
      <c r="T5118" s="29"/>
      <c r="U5118" s="33"/>
      <c r="V5118" s="1"/>
    </row>
    <row r="5119" ht="24.0" customHeight="1">
      <c r="A5119" s="1"/>
      <c r="B5119" s="24" t="str">
        <f>HYPERLINK("https://www.compass.com/listing/61-west-9th-street-unit-3c-manhattan-ny-10011/192565637120349265/view?agent_id=610d3f3370540700019b0833","61 West 9th Street, Unit 3C")</f>
        <v>61 West 9th Street, Unit 3C</v>
      </c>
      <c r="C5119" s="25" t="s">
        <v>370</v>
      </c>
      <c r="D5119" s="26" t="s">
        <v>23</v>
      </c>
      <c r="E5119" s="27" t="str">
        <f>HYPERLINK("https://www.compass.com/building/61-w-9th-st-manhattan-ny-10011/281911958494538757/","61 W 9th St")</f>
        <v>61 W 9th St</v>
      </c>
      <c r="F5119" s="25" t="s">
        <v>43</v>
      </c>
      <c r="G5119" s="28">
        <v>1175000.0</v>
      </c>
      <c r="H5119" s="28">
        <v>1068.0</v>
      </c>
      <c r="I5119" s="28">
        <v>2192.0</v>
      </c>
      <c r="J5119" s="29"/>
      <c r="K5119" s="25" t="s">
        <v>25</v>
      </c>
      <c r="L5119" s="26">
        <v>4.0</v>
      </c>
      <c r="M5119" s="26">
        <v>2.0</v>
      </c>
      <c r="N5119" s="26">
        <v>0.0</v>
      </c>
      <c r="O5119" s="26">
        <v>0.0</v>
      </c>
      <c r="P5119" s="34">
        <v>1100.0</v>
      </c>
      <c r="Q5119" s="35">
        <v>0.0</v>
      </c>
      <c r="R5119" s="32">
        <v>44581.0</v>
      </c>
      <c r="S5119" s="32">
        <v>41538.0</v>
      </c>
      <c r="T5119" s="29"/>
      <c r="U5119" s="33"/>
      <c r="V5119" s="1"/>
    </row>
    <row r="5120" ht="24.0" customHeight="1">
      <c r="A5120" s="1"/>
      <c r="B5120" s="24" t="str">
        <f>HYPERLINK("https://www.compass.com/listing/101-west-24th-street-unit-23a-manhattan-ny-10011/29512076762349505/view?agent_id=610d3f3370540700019b0833","101 W 24th St, Unit 23A")</f>
        <v>101 W 24th St, Unit 23A</v>
      </c>
      <c r="C5120" s="25" t="s">
        <v>364</v>
      </c>
      <c r="D5120" s="26" t="s">
        <v>23</v>
      </c>
      <c r="E5120" s="27" t="str">
        <f>HYPERLINK("https://www.compass.com/building/chelsea-stratus-manhattan-ny/294845224777812053/","Chelsea Stratus")</f>
        <v>Chelsea Stratus</v>
      </c>
      <c r="F5120" s="25" t="s">
        <v>27</v>
      </c>
      <c r="G5120" s="28">
        <v>2997000.0</v>
      </c>
      <c r="H5120" s="28">
        <v>2659.0</v>
      </c>
      <c r="I5120" s="28">
        <v>2090.0</v>
      </c>
      <c r="J5120" s="28">
        <v>13200.0</v>
      </c>
      <c r="K5120" s="25" t="s">
        <v>28</v>
      </c>
      <c r="L5120" s="26">
        <v>4.0</v>
      </c>
      <c r="M5120" s="26">
        <v>2.0</v>
      </c>
      <c r="N5120" s="26">
        <v>0.0</v>
      </c>
      <c r="O5120" s="26">
        <v>0.0</v>
      </c>
      <c r="P5120" s="34">
        <v>1127.0</v>
      </c>
      <c r="Q5120" s="35">
        <v>753.0</v>
      </c>
      <c r="R5120" s="32">
        <v>45636.0</v>
      </c>
      <c r="S5120" s="32">
        <v>42124.0</v>
      </c>
      <c r="T5120" s="29"/>
      <c r="U5120" s="33"/>
      <c r="V5120" s="1"/>
    </row>
    <row r="5121" ht="24.0" customHeight="1">
      <c r="A5121" s="1"/>
      <c r="B5121" s="24" t="str">
        <f>HYPERLINK("https://www.compass.com/listing/100-prince-street-unit-3e-manhattan-ny-10012/718871993503093401/view?agent_id=610d3f3370540700019b0833","100 Prince St, Unit 3E")</f>
        <v>100 Prince St, Unit 3E</v>
      </c>
      <c r="C5121" s="25" t="s">
        <v>364</v>
      </c>
      <c r="D5121" s="26" t="s">
        <v>23</v>
      </c>
      <c r="E5121" s="27" t="str">
        <f>HYPERLINK("https://www.compass.com/building/100-prince-st-manhattan-ny-10012/281912288946971909/","100 Prince St")</f>
        <v>100 Prince St</v>
      </c>
      <c r="F5121" s="25" t="s">
        <v>53</v>
      </c>
      <c r="G5121" s="28">
        <v>3500000.0</v>
      </c>
      <c r="H5121" s="28">
        <v>1681.0</v>
      </c>
      <c r="I5121" s="28">
        <v>500.0</v>
      </c>
      <c r="J5121" s="28">
        <v>0.0</v>
      </c>
      <c r="K5121" s="25" t="s">
        <v>25</v>
      </c>
      <c r="L5121" s="26">
        <v>4.0</v>
      </c>
      <c r="M5121" s="26">
        <v>2.0</v>
      </c>
      <c r="N5121" s="30"/>
      <c r="O5121" s="30"/>
      <c r="P5121" s="34">
        <v>2082.0</v>
      </c>
      <c r="Q5121" s="35">
        <v>410.0</v>
      </c>
      <c r="R5121" s="32">
        <v>44254.0</v>
      </c>
      <c r="S5121" s="32">
        <v>43741.0</v>
      </c>
      <c r="T5121" s="29"/>
      <c r="U5121" s="33"/>
      <c r="V5121" s="1"/>
    </row>
    <row r="5122" ht="24.0" customHeight="1">
      <c r="A5122" s="1"/>
      <c r="B5122" s="24" t="str">
        <f>HYPERLINK("https://www.compass.com/listing/261-broadway-unit-a5-manhattan-ny-10007/334140038920538961/view?agent_id=610d3f3370540700019b0833","261 Broadway, Unit A5")</f>
        <v>261 Broadway, Unit A5</v>
      </c>
      <c r="C5122" s="25" t="s">
        <v>364</v>
      </c>
      <c r="D5122" s="26" t="s">
        <v>23</v>
      </c>
      <c r="E5122" s="27" t="str">
        <f>HYPERLINK("https://www.compass.com/building/261-broadway-manhattan-ny-10007/282058491345009717/","261 Broadway")</f>
        <v>261 Broadway</v>
      </c>
      <c r="F5122" s="25" t="s">
        <v>60</v>
      </c>
      <c r="G5122" s="28">
        <v>999000.0</v>
      </c>
      <c r="H5122" s="28">
        <v>1323.0</v>
      </c>
      <c r="I5122" s="28">
        <v>1724.0</v>
      </c>
      <c r="J5122" s="29"/>
      <c r="K5122" s="25" t="s">
        <v>25</v>
      </c>
      <c r="L5122" s="26">
        <v>3.0</v>
      </c>
      <c r="M5122" s="26">
        <v>2.0</v>
      </c>
      <c r="N5122" s="26">
        <v>1.0</v>
      </c>
      <c r="O5122" s="26">
        <v>0.0</v>
      </c>
      <c r="P5122" s="26">
        <v>755.0</v>
      </c>
      <c r="Q5122" s="35">
        <v>63.0</v>
      </c>
      <c r="R5122" s="32">
        <v>45636.0</v>
      </c>
      <c r="S5122" s="32">
        <v>43712.0</v>
      </c>
      <c r="T5122" s="29"/>
      <c r="U5122" s="33"/>
      <c r="V5122" s="1"/>
    </row>
    <row r="5123" ht="24.0" customHeight="1">
      <c r="A5123" s="1"/>
      <c r="B5123" s="24" t="str">
        <f>HYPERLINK("https://www.compass.com/listing/386-columbus-avenue-unit-7a-manhattan-ny-10024/1838968385455530017/view?agent_id=610d3f3370540700019b0833","386 Columbus Ave, Unit 7A")</f>
        <v>386 Columbus Ave, Unit 7A</v>
      </c>
      <c r="C5123" s="25" t="s">
        <v>370</v>
      </c>
      <c r="D5123" s="26" t="s">
        <v>23</v>
      </c>
      <c r="E5123" s="27" t="str">
        <f>HYPERLINK("https://www.compass.com/building/386-columbus-ave-manhattan-ny-10024/281925221244508661/","386 Columbus Ave")</f>
        <v>386 Columbus Ave</v>
      </c>
      <c r="F5123" s="25" t="s">
        <v>29</v>
      </c>
      <c r="G5123" s="28">
        <v>2395000.0</v>
      </c>
      <c r="H5123" s="29"/>
      <c r="I5123" s="28">
        <v>5396.0</v>
      </c>
      <c r="J5123" s="29"/>
      <c r="K5123" s="25" t="s">
        <v>28</v>
      </c>
      <c r="L5123" s="26">
        <v>6.0</v>
      </c>
      <c r="M5123" s="26">
        <v>2.0</v>
      </c>
      <c r="N5123" s="26">
        <v>0.0</v>
      </c>
      <c r="O5123" s="26">
        <v>0.0</v>
      </c>
      <c r="P5123" s="30"/>
      <c r="Q5123" s="35">
        <v>155.0</v>
      </c>
      <c r="R5123" s="32">
        <v>44581.0</v>
      </c>
      <c r="S5123" s="32">
        <v>43070.0</v>
      </c>
      <c r="T5123" s="29"/>
      <c r="U5123" s="33"/>
      <c r="V5123" s="1"/>
    </row>
    <row r="5124" ht="24.0" customHeight="1">
      <c r="A5124" s="1"/>
      <c r="B5124" s="24" t="str">
        <f>HYPERLINK("https://www.compass.com/listing/450-west-17th-street-unit-ph3-manhattan-ny-10011/1838887319491329977/view?agent_id=610d3f3370540700019b0833","450 W 17th St, Unit PH3")</f>
        <v>450 W 17th St, Unit PH3</v>
      </c>
      <c r="C5124" s="25" t="s">
        <v>364</v>
      </c>
      <c r="D5124" s="26" t="s">
        <v>23</v>
      </c>
      <c r="E5124" s="27" t="str">
        <f>HYPERLINK("https://www.compass.com/building/the-caledonia-manhattan-ny/281910674349645621/","The Caledonia")</f>
        <v>The Caledonia</v>
      </c>
      <c r="F5124" s="25" t="s">
        <v>27</v>
      </c>
      <c r="G5124" s="28">
        <v>8750.0</v>
      </c>
      <c r="H5124" s="28">
        <v>8.0</v>
      </c>
      <c r="I5124" s="28">
        <v>0.0</v>
      </c>
      <c r="J5124" s="29"/>
      <c r="K5124" s="25" t="s">
        <v>28</v>
      </c>
      <c r="L5124" s="26">
        <v>4.0</v>
      </c>
      <c r="M5124" s="26">
        <v>2.0</v>
      </c>
      <c r="N5124" s="26">
        <v>0.0</v>
      </c>
      <c r="O5124" s="26">
        <v>0.0</v>
      </c>
      <c r="P5124" s="34">
        <v>1038.0</v>
      </c>
      <c r="Q5124" s="35">
        <v>0.0</v>
      </c>
      <c r="R5124" s="32">
        <v>44581.0</v>
      </c>
      <c r="S5124" s="32">
        <v>42291.0</v>
      </c>
      <c r="T5124" s="29"/>
      <c r="U5124" s="33"/>
      <c r="V5124" s="1"/>
    </row>
    <row r="5125" ht="24.0" customHeight="1">
      <c r="A5125" s="1"/>
      <c r="B5125" s="24" t="str">
        <f>HYPERLINK("https://www.compass.com/listing/100-maspeth-avenue-unit-7g-brooklyn-ny-11211/1838983057215249729/view?agent_id=610d3f3370540700019b0833","100 Maspeth Ave, Unit 7G")</f>
        <v>100 Maspeth Ave, Unit 7G</v>
      </c>
      <c r="C5125" s="25" t="s">
        <v>364</v>
      </c>
      <c r="D5125" s="26" t="s">
        <v>23</v>
      </c>
      <c r="E5125" s="27" t="str">
        <f>HYPERLINK("https://www.compass.com/building/olive-park-brooklyn-ny/293299588905905189/","Olive Park")</f>
        <v>Olive Park</v>
      </c>
      <c r="F5125" s="25" t="s">
        <v>376</v>
      </c>
      <c r="G5125" s="28">
        <v>995000.0</v>
      </c>
      <c r="H5125" s="28">
        <v>1311.0</v>
      </c>
      <c r="I5125" s="28">
        <v>704.0</v>
      </c>
      <c r="J5125" s="28">
        <v>372.0</v>
      </c>
      <c r="K5125" s="25" t="s">
        <v>28</v>
      </c>
      <c r="L5125" s="26">
        <v>4.0</v>
      </c>
      <c r="M5125" s="26">
        <v>2.0</v>
      </c>
      <c r="N5125" s="26">
        <v>0.0</v>
      </c>
      <c r="O5125" s="26">
        <v>0.0</v>
      </c>
      <c r="P5125" s="26">
        <v>759.0</v>
      </c>
      <c r="Q5125" s="35">
        <v>9.0</v>
      </c>
      <c r="R5125" s="32">
        <v>45636.0</v>
      </c>
      <c r="S5125" s="32">
        <v>41932.0</v>
      </c>
      <c r="T5125" s="29"/>
      <c r="U5125" s="33"/>
      <c r="V5125" s="1"/>
    </row>
    <row r="5126" ht="24.0" customHeight="1">
      <c r="A5126" s="1"/>
      <c r="B5126" s="24" t="str">
        <f>HYPERLINK("https://www.compass.com/listing/30-5th-avenue-unit-10k-manhattan-ny-10011/29365727530132865/view?agent_id=610d3f3370540700019b0833","30 5th Ave, Unit 10K")</f>
        <v>30 5th Ave, Unit 10K</v>
      </c>
      <c r="C5126" s="25" t="s">
        <v>364</v>
      </c>
      <c r="D5126" s="26" t="s">
        <v>23</v>
      </c>
      <c r="E5126" s="27" t="str">
        <f>HYPERLINK("https://www.compass.com/building/30-5th-ave-manhattan-ny-10011/294847352439140789/","30 5th Ave")</f>
        <v>30 5th Ave</v>
      </c>
      <c r="F5126" s="25" t="s">
        <v>43</v>
      </c>
      <c r="G5126" s="28">
        <v>1495000.0</v>
      </c>
      <c r="H5126" s="28">
        <v>1068.0</v>
      </c>
      <c r="I5126" s="29"/>
      <c r="J5126" s="29"/>
      <c r="K5126" s="25" t="s">
        <v>25</v>
      </c>
      <c r="L5126" s="26">
        <v>4.0</v>
      </c>
      <c r="M5126" s="26">
        <v>2.0</v>
      </c>
      <c r="N5126" s="30"/>
      <c r="O5126" s="30"/>
      <c r="P5126" s="34">
        <v>1400.0</v>
      </c>
      <c r="Q5126" s="31"/>
      <c r="R5126" s="32">
        <v>42854.0</v>
      </c>
      <c r="S5126" s="33"/>
      <c r="T5126" s="29"/>
      <c r="U5126" s="33"/>
      <c r="V5126" s="1"/>
    </row>
    <row r="5127" ht="24.0" customHeight="1">
      <c r="A5127" s="1"/>
      <c r="B5127" s="24" t="str">
        <f>HYPERLINK("https://www.compass.com/listing/35-west-9th-street-unit-6b-manhattan-ny-10011/29365845339746833/view?agent_id=610d3f3370540700019b0833","35 W 9th St, Unit 6B")</f>
        <v>35 W 9th St, Unit 6B</v>
      </c>
      <c r="C5127" s="25" t="s">
        <v>364</v>
      </c>
      <c r="D5127" s="26" t="s">
        <v>23</v>
      </c>
      <c r="E5127" s="27" t="str">
        <f t="shared" ref="E5127:E5128" si="235">HYPERLINK("https://www.compass.com/building/35-w-9th-st-manhattan-ny-10011/281909497679602357/","35 W 9th St")</f>
        <v>35 W 9th St</v>
      </c>
      <c r="F5127" s="25" t="s">
        <v>43</v>
      </c>
      <c r="G5127" s="28">
        <v>1450000.0</v>
      </c>
      <c r="H5127" s="28">
        <v>1318.0</v>
      </c>
      <c r="I5127" s="29"/>
      <c r="J5127" s="29"/>
      <c r="K5127" s="25" t="s">
        <v>25</v>
      </c>
      <c r="L5127" s="26">
        <v>4.0</v>
      </c>
      <c r="M5127" s="26">
        <v>2.0</v>
      </c>
      <c r="N5127" s="30"/>
      <c r="O5127" s="30"/>
      <c r="P5127" s="34">
        <v>1100.0</v>
      </c>
      <c r="Q5127" s="35">
        <v>6.0</v>
      </c>
      <c r="R5127" s="32">
        <v>42693.0</v>
      </c>
      <c r="S5127" s="32">
        <v>38419.0</v>
      </c>
      <c r="T5127" s="29"/>
      <c r="U5127" s="33"/>
      <c r="V5127" s="1"/>
    </row>
    <row r="5128" ht="24.0" customHeight="1">
      <c r="A5128" s="1"/>
      <c r="B5128" s="24" t="str">
        <f>HYPERLINK("https://www.compass.com/listing/35-west-9th-street-unit-2c-manhattan-ny-10011/29365848040837825/view?agent_id=610d3f3370540700019b0833","35 W 9th St, Unit 2C")</f>
        <v>35 W 9th St, Unit 2C</v>
      </c>
      <c r="C5128" s="25" t="s">
        <v>364</v>
      </c>
      <c r="D5128" s="26" t="s">
        <v>23</v>
      </c>
      <c r="E5128" s="27" t="str">
        <f t="shared" si="235"/>
        <v>35 W 9th St</v>
      </c>
      <c r="F5128" s="25" t="s">
        <v>43</v>
      </c>
      <c r="G5128" s="28">
        <v>1495000.0</v>
      </c>
      <c r="H5128" s="28">
        <v>1495.0</v>
      </c>
      <c r="I5128" s="29"/>
      <c r="J5128" s="29"/>
      <c r="K5128" s="25" t="s">
        <v>25</v>
      </c>
      <c r="L5128" s="26">
        <v>4.0</v>
      </c>
      <c r="M5128" s="26">
        <v>2.0</v>
      </c>
      <c r="N5128" s="30"/>
      <c r="O5128" s="30"/>
      <c r="P5128" s="34">
        <v>1000.0</v>
      </c>
      <c r="Q5128" s="35">
        <v>39.0</v>
      </c>
      <c r="R5128" s="32">
        <v>42671.0</v>
      </c>
      <c r="S5128" s="32">
        <v>40353.0</v>
      </c>
      <c r="T5128" s="29"/>
      <c r="U5128" s="33"/>
      <c r="V5128" s="1"/>
    </row>
    <row r="5129" ht="24.0" customHeight="1">
      <c r="A5129" s="1"/>
      <c r="B5129" s="24" t="str">
        <f>HYPERLINK("https://www.compass.com/listing/305-west-16th-street-unit-4h-manhattan-ny-10011/803340714666730305/view?agent_id=610d3f3370540700019b0833","305 W 16th St, Unit 4H")</f>
        <v>305 W 16th St, Unit 4H</v>
      </c>
      <c r="C5129" s="25" t="s">
        <v>364</v>
      </c>
      <c r="D5129" s="26" t="s">
        <v>23</v>
      </c>
      <c r="E5129" s="27" t="str">
        <f>HYPERLINK("https://www.compass.com/building/305w16-manhattan-ny/292799532029207445/","305W16")</f>
        <v>305W16</v>
      </c>
      <c r="F5129" s="25" t="s">
        <v>27</v>
      </c>
      <c r="G5129" s="28">
        <v>1995000.0</v>
      </c>
      <c r="H5129" s="28">
        <v>2040.0</v>
      </c>
      <c r="I5129" s="28">
        <v>2516.0</v>
      </c>
      <c r="J5129" s="29"/>
      <c r="K5129" s="25" t="s">
        <v>49</v>
      </c>
      <c r="L5129" s="26">
        <v>4.0</v>
      </c>
      <c r="M5129" s="26">
        <v>2.0</v>
      </c>
      <c r="N5129" s="26">
        <v>0.0</v>
      </c>
      <c r="O5129" s="26">
        <v>0.0</v>
      </c>
      <c r="P5129" s="26">
        <v>978.0</v>
      </c>
      <c r="Q5129" s="35">
        <v>198.0</v>
      </c>
      <c r="R5129" s="32">
        <v>45636.0</v>
      </c>
      <c r="S5129" s="32">
        <v>42640.0</v>
      </c>
      <c r="T5129" s="29"/>
      <c r="U5129" s="33"/>
      <c r="V5129" s="1"/>
    </row>
    <row r="5130" ht="24.0" customHeight="1">
      <c r="A5130" s="1"/>
      <c r="B5130" s="24" t="str">
        <f>HYPERLINK("https://www.compass.com/listing/118-sterling-place-unit-4a-brooklyn-ny-11217/197775868532166241/view?agent_id=610d3f3370540700019b0833","118 Sterling Pl, Unit 4A")</f>
        <v>118 Sterling Pl, Unit 4A</v>
      </c>
      <c r="C5130" s="25" t="s">
        <v>370</v>
      </c>
      <c r="D5130" s="26" t="s">
        <v>23</v>
      </c>
      <c r="E5130" s="27" t="str">
        <f>HYPERLINK("https://www.compass.com/building/118-sterling-pl-brooklyn-ny-11217/282507513985846453/","118 Sterling Pl")</f>
        <v>118 Sterling Pl</v>
      </c>
      <c r="F5130" s="25" t="s">
        <v>451</v>
      </c>
      <c r="G5130" s="28">
        <v>799000.0</v>
      </c>
      <c r="H5130" s="28">
        <v>1125.0</v>
      </c>
      <c r="I5130" s="28">
        <v>777.0</v>
      </c>
      <c r="J5130" s="28">
        <v>4601.0</v>
      </c>
      <c r="K5130" s="25" t="s">
        <v>28</v>
      </c>
      <c r="L5130" s="26">
        <v>4.0</v>
      </c>
      <c r="M5130" s="26">
        <v>2.0</v>
      </c>
      <c r="N5130" s="26">
        <v>1.0</v>
      </c>
      <c r="O5130" s="30"/>
      <c r="P5130" s="26">
        <v>710.0</v>
      </c>
      <c r="Q5130" s="35">
        <v>107.0</v>
      </c>
      <c r="R5130" s="32">
        <v>45636.0</v>
      </c>
      <c r="S5130" s="32">
        <v>43358.0</v>
      </c>
      <c r="T5130" s="29"/>
      <c r="U5130" s="33"/>
      <c r="V5130" s="1"/>
    </row>
    <row r="5131" ht="24.0" customHeight="1">
      <c r="A5131" s="1"/>
      <c r="B5131" s="24" t="str">
        <f>HYPERLINK("https://www.compass.com/listing/310-west-18th-street-unit-3bc-manhattan-ny-10011/4852269986976106129/view?agent_id=610d3f3370540700019b0833","310 W 18th St, Unit 3BC")</f>
        <v>310 W 18th St, Unit 3BC</v>
      </c>
      <c r="C5131" s="25" t="s">
        <v>364</v>
      </c>
      <c r="D5131" s="26" t="s">
        <v>23</v>
      </c>
      <c r="E5131" s="27" t="str">
        <f>HYPERLINK("https://www.compass.com/building/310-w-18th-st-manhattan-ny-10011/281908525305714277/","310 W 18th St")</f>
        <v>310 W 18th St</v>
      </c>
      <c r="F5131" s="25" t="s">
        <v>27</v>
      </c>
      <c r="G5131" s="28">
        <v>844000.0</v>
      </c>
      <c r="H5131" s="29"/>
      <c r="I5131" s="28">
        <v>1905.0</v>
      </c>
      <c r="J5131" s="29"/>
      <c r="K5131" s="25" t="s">
        <v>25</v>
      </c>
      <c r="L5131" s="26">
        <v>4.0</v>
      </c>
      <c r="M5131" s="26">
        <v>2.0</v>
      </c>
      <c r="N5131" s="26">
        <v>0.0</v>
      </c>
      <c r="O5131" s="26">
        <v>0.0</v>
      </c>
      <c r="P5131" s="30"/>
      <c r="Q5131" s="35">
        <v>17.0</v>
      </c>
      <c r="R5131" s="32">
        <v>45636.0</v>
      </c>
      <c r="S5131" s="32">
        <v>42117.0</v>
      </c>
      <c r="T5131" s="29"/>
      <c r="U5131" s="33"/>
      <c r="V5131" s="1"/>
    </row>
    <row r="5132" ht="24.0" customHeight="1">
      <c r="A5132" s="1"/>
      <c r="B5132" s="24" t="str">
        <f>HYPERLINK("https://www.compass.com/listing/110-duane-street-unit-7-manhattan-ny-10007/1838878122909309137/view?agent_id=610d3f3370540700019b0833","110 Duane St, Unit 7")</f>
        <v>110 Duane St, Unit 7</v>
      </c>
      <c r="C5132" s="25" t="s">
        <v>364</v>
      </c>
      <c r="D5132" s="26" t="s">
        <v>23</v>
      </c>
      <c r="E5132" s="27" t="str">
        <f t="shared" ref="E5132:E5134" si="236">HYPERLINK("https://www.compass.com/building/110-duane-lofts-manhattan-ny/292789132017549509/","110 Duane Lofts")</f>
        <v>110 Duane Lofts</v>
      </c>
      <c r="F5132" s="25" t="s">
        <v>60</v>
      </c>
      <c r="G5132" s="28">
        <v>1100000.0</v>
      </c>
      <c r="H5132" s="28">
        <v>817.0</v>
      </c>
      <c r="I5132" s="28">
        <v>1328.0</v>
      </c>
      <c r="J5132" s="28">
        <v>10128.0</v>
      </c>
      <c r="K5132" s="25" t="s">
        <v>28</v>
      </c>
      <c r="L5132" s="26">
        <v>5.0</v>
      </c>
      <c r="M5132" s="26">
        <v>2.0</v>
      </c>
      <c r="N5132" s="30"/>
      <c r="O5132" s="30"/>
      <c r="P5132" s="34">
        <v>1347.0</v>
      </c>
      <c r="Q5132" s="31"/>
      <c r="R5132" s="32">
        <v>41537.0</v>
      </c>
      <c r="S5132" s="33"/>
      <c r="T5132" s="29"/>
      <c r="U5132" s="33"/>
      <c r="V5132" s="1"/>
    </row>
    <row r="5133" ht="24.0" customHeight="1">
      <c r="A5133" s="1"/>
      <c r="B5133" s="24" t="str">
        <f>HYPERLINK("https://www.compass.com/listing/110-duane-street-unit-7-manhattan-ny-10007/4852330000705135665/view?agent_id=610d3f3370540700019b0833","110 Duane St, Unit 7")</f>
        <v>110 Duane St, Unit 7</v>
      </c>
      <c r="C5133" s="25" t="s">
        <v>364</v>
      </c>
      <c r="D5133" s="26" t="s">
        <v>23</v>
      </c>
      <c r="E5133" s="27" t="str">
        <f t="shared" si="236"/>
        <v>110 Duane Lofts</v>
      </c>
      <c r="F5133" s="25" t="s">
        <v>60</v>
      </c>
      <c r="G5133" s="28">
        <v>1100000.0</v>
      </c>
      <c r="H5133" s="28">
        <v>817.0</v>
      </c>
      <c r="I5133" s="28">
        <v>1328.0</v>
      </c>
      <c r="J5133" s="28">
        <v>10128.0</v>
      </c>
      <c r="K5133" s="25" t="s">
        <v>28</v>
      </c>
      <c r="L5133" s="26">
        <v>5.0</v>
      </c>
      <c r="M5133" s="26">
        <v>2.0</v>
      </c>
      <c r="N5133" s="26">
        <v>0.0</v>
      </c>
      <c r="O5133" s="26">
        <v>0.0</v>
      </c>
      <c r="P5133" s="34">
        <v>1347.0</v>
      </c>
      <c r="Q5133" s="35">
        <v>0.0</v>
      </c>
      <c r="R5133" s="32">
        <v>44581.0</v>
      </c>
      <c r="S5133" s="32">
        <v>41537.0</v>
      </c>
      <c r="T5133" s="29"/>
      <c r="U5133" s="33"/>
      <c r="V5133" s="1"/>
    </row>
    <row r="5134" ht="24.0" customHeight="1">
      <c r="A5134" s="1"/>
      <c r="B5134" s="24" t="str">
        <f>HYPERLINK("https://www.compass.com/listing/110-duane-street-unit-7-manhattan-ny-10007/79507217035888145/view?agent_id=610d3f3370540700019b0833","110 Duane St, Unit 7")</f>
        <v>110 Duane St, Unit 7</v>
      </c>
      <c r="C5134" s="25" t="s">
        <v>364</v>
      </c>
      <c r="D5134" s="26" t="s">
        <v>23</v>
      </c>
      <c r="E5134" s="27" t="str">
        <f t="shared" si="236"/>
        <v>110 Duane Lofts</v>
      </c>
      <c r="F5134" s="25" t="s">
        <v>60</v>
      </c>
      <c r="G5134" s="28">
        <v>1100000.0</v>
      </c>
      <c r="H5134" s="28">
        <v>817.0</v>
      </c>
      <c r="I5134" s="28">
        <v>1328.0</v>
      </c>
      <c r="J5134" s="28">
        <v>10128.0</v>
      </c>
      <c r="K5134" s="25" t="s">
        <v>28</v>
      </c>
      <c r="L5134" s="26">
        <v>5.0</v>
      </c>
      <c r="M5134" s="26">
        <v>2.0</v>
      </c>
      <c r="N5134" s="30"/>
      <c r="O5134" s="30"/>
      <c r="P5134" s="34">
        <v>1347.0</v>
      </c>
      <c r="Q5134" s="35">
        <v>140.0</v>
      </c>
      <c r="R5134" s="32">
        <v>42104.0</v>
      </c>
      <c r="S5134" s="32">
        <v>40707.0</v>
      </c>
      <c r="T5134" s="29"/>
      <c r="U5134" s="33"/>
      <c r="V5134" s="1"/>
    </row>
    <row r="5135" ht="24.0" customHeight="1">
      <c r="A5135" s="1"/>
      <c r="B5135" s="24" t="str">
        <f>HYPERLINK("https://www.compass.com/listing/25-east-4th-street-unit-4-manhattan-ny-10003/1809623504672506921/view?agent_id=610d3f3370540700019b0833","25 E 4th St, Unit 4")</f>
        <v>25 E 4th St, Unit 4</v>
      </c>
      <c r="C5135" s="25" t="s">
        <v>370</v>
      </c>
      <c r="D5135" s="26" t="s">
        <v>23</v>
      </c>
      <c r="E5135" s="27" t="str">
        <f>HYPERLINK("https://www.compass.com/building/25-e-4th-st-manhattan-ny-10003/281891683187037077/","25 E 4th St")</f>
        <v>25 E 4th St</v>
      </c>
      <c r="F5135" s="25" t="s">
        <v>57</v>
      </c>
      <c r="G5135" s="28">
        <v>3300000.0</v>
      </c>
      <c r="H5135" s="29"/>
      <c r="I5135" s="28">
        <v>3452.0</v>
      </c>
      <c r="J5135" s="29"/>
      <c r="K5135" s="25" t="s">
        <v>25</v>
      </c>
      <c r="L5135" s="26">
        <v>4.0</v>
      </c>
      <c r="M5135" s="26">
        <v>2.0</v>
      </c>
      <c r="N5135" s="26">
        <v>0.0</v>
      </c>
      <c r="O5135" s="26">
        <v>0.0</v>
      </c>
      <c r="P5135" s="30"/>
      <c r="Q5135" s="35">
        <v>36.0</v>
      </c>
      <c r="R5135" s="32">
        <v>44581.0</v>
      </c>
      <c r="S5135" s="32">
        <v>41352.0</v>
      </c>
      <c r="T5135" s="29"/>
      <c r="U5135" s="33"/>
      <c r="V5135" s="1"/>
    </row>
    <row r="5136" ht="24.0" customHeight="1">
      <c r="A5136" s="1"/>
      <c r="B5136" s="24" t="str">
        <f>HYPERLINK("https://www.compass.com/listing/718-broadway-unit-11c-manhattan-ny-10003/4848428878445680945/view?agent_id=610d3f3370540700019b0833","718 Broadway, Unit 11C")</f>
        <v>718 Broadway, Unit 11C</v>
      </c>
      <c r="C5136" s="25" t="s">
        <v>364</v>
      </c>
      <c r="D5136" s="26" t="s">
        <v>23</v>
      </c>
      <c r="E5136" s="27" t="str">
        <f>HYPERLINK("https://www.compass.com/building/718-broadway-manhattan-ny-10003/281894678784122533/","718 Broadway")</f>
        <v>718 Broadway</v>
      </c>
      <c r="F5136" s="25" t="s">
        <v>57</v>
      </c>
      <c r="G5136" s="28">
        <v>1310000.0</v>
      </c>
      <c r="H5136" s="28">
        <v>1000.0</v>
      </c>
      <c r="I5136" s="28">
        <v>1593.0</v>
      </c>
      <c r="J5136" s="29"/>
      <c r="K5136" s="25" t="s">
        <v>25</v>
      </c>
      <c r="L5136" s="26">
        <v>4.0</v>
      </c>
      <c r="M5136" s="26">
        <v>2.0</v>
      </c>
      <c r="N5136" s="30"/>
      <c r="O5136" s="30"/>
      <c r="P5136" s="34">
        <v>1310.0</v>
      </c>
      <c r="Q5136" s="35">
        <v>233.0</v>
      </c>
      <c r="R5136" s="32">
        <v>42476.0</v>
      </c>
      <c r="S5136" s="32">
        <v>40705.0</v>
      </c>
      <c r="T5136" s="29"/>
      <c r="U5136" s="33"/>
      <c r="V5136" s="1"/>
    </row>
    <row r="5137" ht="24.0" customHeight="1">
      <c r="A5137" s="1"/>
      <c r="B5137" s="24" t="str">
        <f>HYPERLINK("https://www.compass.com/listing/754-east-6th-street-unit-5b-manhattan-ny-10009/4852329872980196689/view?agent_id=610d3f3370540700019b0833","754 E 6th St, Unit 5B")</f>
        <v>754 E 6th St, Unit 5B</v>
      </c>
      <c r="C5137" s="25" t="s">
        <v>370</v>
      </c>
      <c r="D5137" s="26" t="s">
        <v>23</v>
      </c>
      <c r="E5137" s="27" t="str">
        <f>HYPERLINK("https://www.compass.com/building/754-e-6th-st-manhattan-ny-10009/281901472206043893/","754 E 6th St")</f>
        <v>754 E 6th St</v>
      </c>
      <c r="F5137" s="25" t="s">
        <v>24</v>
      </c>
      <c r="G5137" s="28">
        <v>739000.0</v>
      </c>
      <c r="H5137" s="29"/>
      <c r="I5137" s="28">
        <v>387.0</v>
      </c>
      <c r="J5137" s="28">
        <v>1272.0</v>
      </c>
      <c r="K5137" s="25" t="s">
        <v>28</v>
      </c>
      <c r="L5137" s="26">
        <v>4.0</v>
      </c>
      <c r="M5137" s="26">
        <v>2.0</v>
      </c>
      <c r="N5137" s="26">
        <v>0.0</v>
      </c>
      <c r="O5137" s="26">
        <v>0.0</v>
      </c>
      <c r="P5137" s="30"/>
      <c r="Q5137" s="35">
        <v>0.0</v>
      </c>
      <c r="R5137" s="32">
        <v>44581.0</v>
      </c>
      <c r="S5137" s="32">
        <v>41509.0</v>
      </c>
      <c r="T5137" s="29"/>
      <c r="U5137" s="33"/>
      <c r="V5137" s="1"/>
    </row>
    <row r="5138" ht="24.0" customHeight="1">
      <c r="A5138" s="1"/>
      <c r="B5138" s="24" t="str">
        <f>HYPERLINK("https://www.compass.com/listing/140-5th-avenue-unit-5a-manhattan-ny-10011/1174766224230775609/view?agent_id=610d3f3370540700019b0833","140 5th Ave, Unit 5A")</f>
        <v>140 5th Ave, Unit 5A</v>
      </c>
      <c r="C5138" s="25" t="s">
        <v>364</v>
      </c>
      <c r="D5138" s="26" t="s">
        <v>23</v>
      </c>
      <c r="E5138" s="27" t="str">
        <f>HYPERLINK("https://www.compass.com/building/140-5th-ave-manhattan-ny-10011/281905326544931429/","140 5th Ave")</f>
        <v>140 5th Ave</v>
      </c>
      <c r="F5138" s="25" t="s">
        <v>115</v>
      </c>
      <c r="G5138" s="28">
        <v>1950000.0</v>
      </c>
      <c r="H5138" s="29"/>
      <c r="I5138" s="28">
        <v>1896.0</v>
      </c>
      <c r="J5138" s="29"/>
      <c r="K5138" s="25" t="s">
        <v>25</v>
      </c>
      <c r="L5138" s="26">
        <v>3.0</v>
      </c>
      <c r="M5138" s="26">
        <v>2.0</v>
      </c>
      <c r="N5138" s="26">
        <v>1.0</v>
      </c>
      <c r="O5138" s="26">
        <v>0.0</v>
      </c>
      <c r="P5138" s="30"/>
      <c r="Q5138" s="35">
        <v>163.0</v>
      </c>
      <c r="R5138" s="32">
        <v>45636.0</v>
      </c>
      <c r="S5138" s="32">
        <v>44872.0</v>
      </c>
      <c r="T5138" s="29"/>
      <c r="U5138" s="33"/>
      <c r="V5138" s="1"/>
    </row>
    <row r="5139" ht="24.0" customHeight="1">
      <c r="A5139" s="1"/>
      <c r="B5139" s="24" t="str">
        <f>HYPERLINK("https://www.compass.com/listing/610-west-110th-street-unit-5d-manhattan-ny-10025/916006084878249777/view?agent_id=610d3f3370540700019b0833","610 W 110th St, Unit 5D")</f>
        <v>610 W 110th St, Unit 5D</v>
      </c>
      <c r="C5139" s="25" t="s">
        <v>364</v>
      </c>
      <c r="D5139" s="26" t="s">
        <v>23</v>
      </c>
      <c r="E5139" s="27" t="str">
        <f>HYPERLINK("https://www.compass.com/building/610-w-110th-st-manhattan-ny-10025/567537985736514341/","610 W 110th St")</f>
        <v>610 W 110th St</v>
      </c>
      <c r="F5139" s="25" t="s">
        <v>29</v>
      </c>
      <c r="G5139" s="28">
        <v>1750000.0</v>
      </c>
      <c r="H5139" s="28">
        <v>1513.0</v>
      </c>
      <c r="I5139" s="28">
        <v>1858.0</v>
      </c>
      <c r="J5139" s="28">
        <v>6360.0</v>
      </c>
      <c r="K5139" s="25" t="s">
        <v>28</v>
      </c>
      <c r="L5139" s="26">
        <v>4.0</v>
      </c>
      <c r="M5139" s="26">
        <v>2.0</v>
      </c>
      <c r="N5139" s="26">
        <v>0.0</v>
      </c>
      <c r="O5139" s="26">
        <v>0.0</v>
      </c>
      <c r="P5139" s="34">
        <v>1157.0</v>
      </c>
      <c r="Q5139" s="35">
        <v>188.0</v>
      </c>
      <c r="R5139" s="32">
        <v>45636.0</v>
      </c>
      <c r="S5139" s="32">
        <v>42675.0</v>
      </c>
      <c r="T5139" s="29"/>
      <c r="U5139" s="33"/>
      <c r="V5139" s="1"/>
    </row>
    <row r="5140" ht="24.0" customHeight="1">
      <c r="A5140" s="1"/>
      <c r="B5140" s="24" t="str">
        <f>HYPERLINK("https://www.compass.com/listing/117-prince-street-unit-3c-manhattan-ny-10012/803303382886315241/view?agent_id=610d3f3370540700019b0833","117 Prince St, Unit 3C")</f>
        <v>117 Prince St, Unit 3C</v>
      </c>
      <c r="C5140" s="25" t="s">
        <v>364</v>
      </c>
      <c r="D5140" s="26" t="s">
        <v>23</v>
      </c>
      <c r="E5140" s="27" t="str">
        <f>HYPERLINK("https://www.compass.com/building/117-prince-st-manhattan-ny-10012/282064925457682293/","117 Prince St")</f>
        <v>117 Prince St</v>
      </c>
      <c r="F5140" s="25" t="s">
        <v>53</v>
      </c>
      <c r="G5140" s="28">
        <v>4995000.0</v>
      </c>
      <c r="H5140" s="28">
        <v>1998.0</v>
      </c>
      <c r="I5140" s="28">
        <v>2722.0</v>
      </c>
      <c r="J5140" s="29"/>
      <c r="K5140" s="25" t="s">
        <v>25</v>
      </c>
      <c r="L5140" s="26">
        <v>6.0</v>
      </c>
      <c r="M5140" s="26">
        <v>2.0</v>
      </c>
      <c r="N5140" s="26">
        <v>0.0</v>
      </c>
      <c r="O5140" s="26">
        <v>0.0</v>
      </c>
      <c r="P5140" s="34">
        <v>2500.0</v>
      </c>
      <c r="Q5140" s="35">
        <v>67.0</v>
      </c>
      <c r="R5140" s="32">
        <v>45636.0</v>
      </c>
      <c r="S5140" s="32">
        <v>42473.0</v>
      </c>
      <c r="T5140" s="29"/>
      <c r="U5140" s="33"/>
      <c r="V5140" s="1"/>
    </row>
    <row r="5141" ht="24.0" customHeight="1">
      <c r="A5141" s="1"/>
      <c r="B5141" s="24" t="str">
        <f>HYPERLINK("https://www.compass.com/listing/77-7th-avenue-unit-20p-manhattan-ny-10011/79544769554017281/view?agent_id=610d3f3370540700019b0833","77 7th Ave, Unit 20P")</f>
        <v>77 7th Ave, Unit 20P</v>
      </c>
      <c r="C5141" s="25" t="s">
        <v>364</v>
      </c>
      <c r="D5141" s="26" t="s">
        <v>23</v>
      </c>
      <c r="E5141" s="27" t="str">
        <f>HYPERLINK("https://www.compass.com/building/the-vermeer-manhattan-ny/294844710749059445/","The Vermeer")</f>
        <v>The Vermeer</v>
      </c>
      <c r="F5141" s="25" t="s">
        <v>27</v>
      </c>
      <c r="G5141" s="28">
        <v>1895000.0</v>
      </c>
      <c r="H5141" s="28">
        <v>1378.0</v>
      </c>
      <c r="I5141" s="28">
        <v>2082.0</v>
      </c>
      <c r="J5141" s="29"/>
      <c r="K5141" s="25" t="s">
        <v>25</v>
      </c>
      <c r="L5141" s="26">
        <v>3.0</v>
      </c>
      <c r="M5141" s="26">
        <v>2.0</v>
      </c>
      <c r="N5141" s="26">
        <v>0.0</v>
      </c>
      <c r="O5141" s="26">
        <v>0.0</v>
      </c>
      <c r="P5141" s="34">
        <v>1375.0</v>
      </c>
      <c r="Q5141" s="31"/>
      <c r="R5141" s="32">
        <v>44581.0</v>
      </c>
      <c r="S5141" s="33"/>
      <c r="T5141" s="29"/>
      <c r="U5141" s="33"/>
      <c r="V5141" s="1"/>
    </row>
    <row r="5142" ht="24.0" customHeight="1">
      <c r="A5142" s="1"/>
      <c r="B5142" s="24" t="str">
        <f>HYPERLINK("https://www.compass.com/listing/165-west-18th-street-unit-5c-manhattan-ny-10011/923062761713911777/view?agent_id=610d3f3370540700019b0833","165 W 18th St, Unit 5C")</f>
        <v>165 W 18th St, Unit 5C</v>
      </c>
      <c r="C5142" s="25" t="s">
        <v>370</v>
      </c>
      <c r="D5142" s="26" t="s">
        <v>23</v>
      </c>
      <c r="E5142" s="27" t="str">
        <f>HYPERLINK("https://www.compass.com/building/slate-condominiums-manhattan-ny/515114565977505805/","Slate Condominiums")</f>
        <v>Slate Condominiums</v>
      </c>
      <c r="F5142" s="25" t="s">
        <v>27</v>
      </c>
      <c r="G5142" s="28">
        <v>2599000.0</v>
      </c>
      <c r="H5142" s="28">
        <v>2159.0</v>
      </c>
      <c r="I5142" s="28">
        <v>2966.0</v>
      </c>
      <c r="J5142" s="28">
        <v>14460.0</v>
      </c>
      <c r="K5142" s="25" t="s">
        <v>28</v>
      </c>
      <c r="L5142" s="26">
        <v>4.0</v>
      </c>
      <c r="M5142" s="26">
        <v>2.0</v>
      </c>
      <c r="N5142" s="26">
        <v>0.0</v>
      </c>
      <c r="O5142" s="26">
        <v>0.0</v>
      </c>
      <c r="P5142" s="34">
        <v>1204.0</v>
      </c>
      <c r="Q5142" s="31"/>
      <c r="R5142" s="32">
        <v>44581.0</v>
      </c>
      <c r="S5142" s="33"/>
      <c r="T5142" s="29"/>
      <c r="U5142" s="33"/>
      <c r="V5142" s="1"/>
    </row>
    <row r="5143" ht="24.0" customHeight="1">
      <c r="A5143" s="1"/>
      <c r="B5143" s="24" t="str">
        <f>HYPERLINK("https://www.compass.com/listing/92-perry-street-unit-5-manhattan-ny-10014/1838912958734760881/view?agent_id=610d3f3370540700019b0833","92 Perry St, Unit 5")</f>
        <v>92 Perry St, Unit 5</v>
      </c>
      <c r="C5143" s="25" t="s">
        <v>364</v>
      </c>
      <c r="D5143" s="26" t="s">
        <v>23</v>
      </c>
      <c r="E5143" s="27" t="str">
        <f t="shared" ref="E5143:E5145" si="237">HYPERLINK("https://www.compass.com/building/92-perry-condominium-manhattan-ny/292832896652204885/","92 Perry Condominium")</f>
        <v>92 Perry Condominium</v>
      </c>
      <c r="F5143" s="25" t="s">
        <v>26</v>
      </c>
      <c r="G5143" s="28">
        <v>1800000.0</v>
      </c>
      <c r="H5143" s="28">
        <v>2752.0</v>
      </c>
      <c r="I5143" s="28">
        <v>1850.0</v>
      </c>
      <c r="J5143" s="28">
        <v>7224.0</v>
      </c>
      <c r="K5143" s="25" t="s">
        <v>28</v>
      </c>
      <c r="L5143" s="26">
        <v>4.0</v>
      </c>
      <c r="M5143" s="26">
        <v>2.0</v>
      </c>
      <c r="N5143" s="26">
        <v>1.0</v>
      </c>
      <c r="O5143" s="26">
        <v>0.0</v>
      </c>
      <c r="P5143" s="26">
        <v>654.0</v>
      </c>
      <c r="Q5143" s="35">
        <v>85.0</v>
      </c>
      <c r="R5143" s="32">
        <v>45636.0</v>
      </c>
      <c r="S5143" s="32">
        <v>44487.0</v>
      </c>
      <c r="T5143" s="29"/>
      <c r="U5143" s="33"/>
      <c r="V5143" s="1"/>
    </row>
    <row r="5144" ht="24.0" customHeight="1">
      <c r="A5144" s="1"/>
      <c r="B5144" s="24" t="str">
        <f>HYPERLINK("https://www.compass.com/listing/92-perry-street-unit-5-manhattan-ny-10014/923239037136479865/view?agent_id=610d3f3370540700019b0833","92 Perry St, Unit 5")</f>
        <v>92 Perry St, Unit 5</v>
      </c>
      <c r="C5144" s="25" t="s">
        <v>364</v>
      </c>
      <c r="D5144" s="26" t="s">
        <v>23</v>
      </c>
      <c r="E5144" s="27" t="str">
        <f t="shared" si="237"/>
        <v>92 Perry Condominium</v>
      </c>
      <c r="F5144" s="25" t="s">
        <v>26</v>
      </c>
      <c r="G5144" s="28">
        <v>1765000.0</v>
      </c>
      <c r="H5144" s="28">
        <v>2699.0</v>
      </c>
      <c r="I5144" s="28">
        <v>1850.0</v>
      </c>
      <c r="J5144" s="28">
        <v>7224.0</v>
      </c>
      <c r="K5144" s="25" t="s">
        <v>28</v>
      </c>
      <c r="L5144" s="26">
        <v>4.0</v>
      </c>
      <c r="M5144" s="26">
        <v>2.0</v>
      </c>
      <c r="N5144" s="26">
        <v>1.0</v>
      </c>
      <c r="O5144" s="26">
        <v>0.0</v>
      </c>
      <c r="P5144" s="26">
        <v>654.0</v>
      </c>
      <c r="Q5144" s="35">
        <v>40.0</v>
      </c>
      <c r="R5144" s="32">
        <v>44581.0</v>
      </c>
      <c r="S5144" s="32">
        <v>44232.0</v>
      </c>
      <c r="T5144" s="29"/>
      <c r="U5144" s="33"/>
      <c r="V5144" s="1"/>
    </row>
    <row r="5145" ht="24.0" customHeight="1">
      <c r="A5145" s="1"/>
      <c r="B5145" s="24" t="str">
        <f>HYPERLINK("https://www.compass.com/listing/92-perry-street-unit-5-manhattan-ny-10014/984075025174545865/view?agent_id=610d3f3370540700019b0833","92 Perry St, Unit 5")</f>
        <v>92 Perry St, Unit 5</v>
      </c>
      <c r="C5145" s="25" t="s">
        <v>370</v>
      </c>
      <c r="D5145" s="26" t="s">
        <v>23</v>
      </c>
      <c r="E5145" s="27" t="str">
        <f t="shared" si="237"/>
        <v>92 Perry Condominium</v>
      </c>
      <c r="F5145" s="25" t="s">
        <v>26</v>
      </c>
      <c r="G5145" s="28">
        <v>1800000.0</v>
      </c>
      <c r="H5145" s="28">
        <v>2752.0</v>
      </c>
      <c r="I5145" s="28">
        <v>1850.0</v>
      </c>
      <c r="J5145" s="28">
        <v>7224.0</v>
      </c>
      <c r="K5145" s="25" t="s">
        <v>28</v>
      </c>
      <c r="L5145" s="26">
        <v>4.0</v>
      </c>
      <c r="M5145" s="26">
        <v>2.0</v>
      </c>
      <c r="N5145" s="26">
        <v>1.0</v>
      </c>
      <c r="O5145" s="26">
        <v>0.0</v>
      </c>
      <c r="P5145" s="26">
        <v>654.0</v>
      </c>
      <c r="Q5145" s="35">
        <v>11.0</v>
      </c>
      <c r="R5145" s="32">
        <v>44621.0</v>
      </c>
      <c r="S5145" s="32">
        <v>44609.0</v>
      </c>
      <c r="T5145" s="29"/>
      <c r="U5145" s="33"/>
      <c r="V5145" s="1"/>
    </row>
    <row r="5146" ht="24.0" customHeight="1">
      <c r="A5146" s="1"/>
      <c r="B5146" s="24" t="str">
        <f>HYPERLINK("https://www.compass.com/listing/220-manhattan-avenue-unit-1h-manhattan-ny-10025/803392114100616321/view?agent_id=610d3f3370540700019b0833","220 Manhattan Ave, Unit 1H")</f>
        <v>220 Manhattan Ave, Unit 1H</v>
      </c>
      <c r="C5146" s="25" t="s">
        <v>364</v>
      </c>
      <c r="D5146" s="26" t="s">
        <v>23</v>
      </c>
      <c r="E5146" s="27" t="str">
        <f>HYPERLINK("https://www.compass.com/building/towers-on-the-park-manhattan-ny/455672565349083653/","Towers on the Park")</f>
        <v>Towers on the Park</v>
      </c>
      <c r="F5146" s="25" t="s">
        <v>29</v>
      </c>
      <c r="G5146" s="28">
        <v>895000.0</v>
      </c>
      <c r="H5146" s="28">
        <v>1003.0</v>
      </c>
      <c r="I5146" s="28">
        <v>1210.0</v>
      </c>
      <c r="J5146" s="28">
        <v>8160.0</v>
      </c>
      <c r="K5146" s="25" t="s">
        <v>28</v>
      </c>
      <c r="L5146" s="26">
        <v>4.0</v>
      </c>
      <c r="M5146" s="26">
        <v>2.0</v>
      </c>
      <c r="N5146" s="26">
        <v>1.0</v>
      </c>
      <c r="O5146" s="26">
        <v>0.0</v>
      </c>
      <c r="P5146" s="26">
        <v>892.0</v>
      </c>
      <c r="Q5146" s="31"/>
      <c r="R5146" s="32">
        <v>44581.0</v>
      </c>
      <c r="S5146" s="33"/>
      <c r="T5146" s="29"/>
      <c r="U5146" s="33"/>
      <c r="V5146" s="1"/>
    </row>
    <row r="5147" ht="24.0" customHeight="1">
      <c r="A5147" s="1"/>
      <c r="B5147" s="24" t="str">
        <f>HYPERLINK("https://www.compass.com/listing/365-st-johns-place-unit-a1-brooklyn-ny-11238/4821242825125410145/view?agent_id=610d3f3370540700019b0833","365 St Johns Pl, Unit A1")</f>
        <v>365 St Johns Pl, Unit A1</v>
      </c>
      <c r="C5147" s="25" t="s">
        <v>364</v>
      </c>
      <c r="D5147" s="26" t="s">
        <v>23</v>
      </c>
      <c r="E5147" s="27" t="str">
        <f>HYPERLINK("https://www.compass.com/building/365-st-johns-pl-brooklyn-ny-11238/293426269016628933/","365 St Johns Pl")</f>
        <v>365 St Johns Pl</v>
      </c>
      <c r="F5147" s="25" t="s">
        <v>39</v>
      </c>
      <c r="G5147" s="28">
        <v>699000.0</v>
      </c>
      <c r="H5147" s="29"/>
      <c r="I5147" s="28">
        <v>779.0</v>
      </c>
      <c r="J5147" s="29"/>
      <c r="K5147" s="25" t="s">
        <v>25</v>
      </c>
      <c r="L5147" s="26">
        <v>4.0</v>
      </c>
      <c r="M5147" s="26">
        <v>2.0</v>
      </c>
      <c r="N5147" s="26">
        <v>0.0</v>
      </c>
      <c r="O5147" s="26">
        <v>0.0</v>
      </c>
      <c r="P5147" s="30"/>
      <c r="Q5147" s="35">
        <v>49.0</v>
      </c>
      <c r="R5147" s="32">
        <v>45636.0</v>
      </c>
      <c r="S5147" s="32">
        <v>42997.0</v>
      </c>
      <c r="T5147" s="29"/>
      <c r="U5147" s="33"/>
      <c r="V5147" s="1"/>
    </row>
    <row r="5148" ht="24.0" customHeight="1">
      <c r="A5148" s="1"/>
      <c r="B5148" s="24" t="str">
        <f>HYPERLINK("https://www.compass.com/listing/261-broadway-unit-5a-manhattan-ny-10007/198394266429483313/view?agent_id=610d3f3370540700019b0833","261 Broadway, Unit 5A")</f>
        <v>261 Broadway, Unit 5A</v>
      </c>
      <c r="C5148" s="25" t="s">
        <v>364</v>
      </c>
      <c r="D5148" s="26" t="s">
        <v>23</v>
      </c>
      <c r="E5148" s="27" t="str">
        <f>HYPERLINK("https://www.compass.com/building/261-broadway-manhattan-ny-10007/282058491345009717/","261 Broadway")</f>
        <v>261 Broadway</v>
      </c>
      <c r="F5148" s="25" t="s">
        <v>60</v>
      </c>
      <c r="G5148" s="28">
        <v>999000.0</v>
      </c>
      <c r="H5148" s="28">
        <v>1323.0</v>
      </c>
      <c r="I5148" s="28">
        <v>1724.0</v>
      </c>
      <c r="J5148" s="29"/>
      <c r="K5148" s="25" t="s">
        <v>25</v>
      </c>
      <c r="L5148" s="26">
        <v>4.0</v>
      </c>
      <c r="M5148" s="26">
        <v>2.0</v>
      </c>
      <c r="N5148" s="26">
        <v>1.0</v>
      </c>
      <c r="O5148" s="26">
        <v>0.0</v>
      </c>
      <c r="P5148" s="26">
        <v>755.0</v>
      </c>
      <c r="Q5148" s="35">
        <v>177.0</v>
      </c>
      <c r="R5148" s="32">
        <v>45636.0</v>
      </c>
      <c r="S5148" s="32">
        <v>43525.0</v>
      </c>
      <c r="T5148" s="29"/>
      <c r="U5148" s="33"/>
      <c r="V5148" s="1"/>
    </row>
    <row r="5149" ht="24.0" customHeight="1">
      <c r="A5149" s="1"/>
      <c r="B5149" s="24" t="str">
        <f>HYPERLINK("https://www.compass.com/listing/116-west-22nd-street-unit-6-manhattan-ny-10011/29373254930023777/view?agent_id=610d3f3370540700019b0833","116 W 22nd St, Unit 6")</f>
        <v>116 W 22nd St, Unit 6</v>
      </c>
      <c r="C5149" s="25" t="s">
        <v>370</v>
      </c>
      <c r="D5149" s="26" t="s">
        <v>23</v>
      </c>
      <c r="E5149" s="27" t="str">
        <f>HYPERLINK("https://www.compass.com/building/soma-condominium-manhattan-ny/281904489101805333/","SOMA Condominium")</f>
        <v>SOMA Condominium</v>
      </c>
      <c r="F5149" s="25" t="s">
        <v>27</v>
      </c>
      <c r="G5149" s="28">
        <v>2395000.0</v>
      </c>
      <c r="H5149" s="28">
        <v>1528.0</v>
      </c>
      <c r="I5149" s="28">
        <v>3169.0</v>
      </c>
      <c r="J5149" s="28">
        <v>19680.0</v>
      </c>
      <c r="K5149" s="25" t="s">
        <v>28</v>
      </c>
      <c r="L5149" s="26">
        <v>4.0</v>
      </c>
      <c r="M5149" s="26">
        <v>2.0</v>
      </c>
      <c r="N5149" s="26">
        <v>0.0</v>
      </c>
      <c r="O5149" s="26">
        <v>0.0</v>
      </c>
      <c r="P5149" s="34">
        <v>1567.0</v>
      </c>
      <c r="Q5149" s="35">
        <v>288.0</v>
      </c>
      <c r="R5149" s="32">
        <v>45636.0</v>
      </c>
      <c r="S5149" s="32">
        <v>42457.0</v>
      </c>
      <c r="T5149" s="29"/>
      <c r="U5149" s="33"/>
      <c r="V5149" s="1"/>
    </row>
    <row r="5150" ht="24.0" customHeight="1">
      <c r="A5150" s="1"/>
      <c r="B5150" s="24" t="str">
        <f>HYPERLINK("https://www.compass.com/listing/146-148-west-22nd-street-unit-12-manhattan-ny-10011/822517661735117505/view?agent_id=610d3f3370540700019b0833","146-148 W 22nd St, Unit 12")</f>
        <v>146-148 W 22nd St, Unit 12</v>
      </c>
      <c r="C5150" s="25" t="s">
        <v>364</v>
      </c>
      <c r="D5150" s="26" t="s">
        <v>23</v>
      </c>
      <c r="E5150" s="27" t="str">
        <f>HYPERLINK("https://www.compass.com/building/the-paradigm-manhattan-ny/292800205324051701/","The Paradigm")</f>
        <v>The Paradigm</v>
      </c>
      <c r="F5150" s="25" t="s">
        <v>27</v>
      </c>
      <c r="G5150" s="28">
        <v>2395000.0</v>
      </c>
      <c r="H5150" s="28">
        <v>1547.0</v>
      </c>
      <c r="I5150" s="28">
        <v>1099.0</v>
      </c>
      <c r="J5150" s="28">
        <v>2100.0</v>
      </c>
      <c r="K5150" s="25" t="s">
        <v>28</v>
      </c>
      <c r="L5150" s="26">
        <v>5.0</v>
      </c>
      <c r="M5150" s="26">
        <v>2.0</v>
      </c>
      <c r="N5150" s="26">
        <v>0.0</v>
      </c>
      <c r="O5150" s="26">
        <v>0.0</v>
      </c>
      <c r="P5150" s="34">
        <v>1548.0</v>
      </c>
      <c r="Q5150" s="31"/>
      <c r="R5150" s="32">
        <v>44581.0</v>
      </c>
      <c r="S5150" s="33"/>
      <c r="T5150" s="29"/>
      <c r="U5150" s="33"/>
      <c r="V5150" s="1"/>
    </row>
    <row r="5151" ht="24.0" customHeight="1">
      <c r="A5151" s="1"/>
      <c r="B5151" s="24" t="str">
        <f>HYPERLINK("https://www.compass.com/listing/130-barrow-street-unit-ph520-manhattan-ny-10014/803298124571082369/view?agent_id=610d3f3370540700019b0833","130 Barrow St, Unit PH520")</f>
        <v>130 Barrow St, Unit PH520</v>
      </c>
      <c r="C5151" s="25" t="s">
        <v>364</v>
      </c>
      <c r="D5151" s="26" t="s">
        <v>23</v>
      </c>
      <c r="E5151" s="27" t="str">
        <f>HYPERLINK("https://www.compass.com/building/130-barrow-st-manhattan-ny-10014/281929836933460117/","130 Barrow St")</f>
        <v>130 Barrow St</v>
      </c>
      <c r="F5151" s="25" t="s">
        <v>26</v>
      </c>
      <c r="G5151" s="28">
        <v>2850000.0</v>
      </c>
      <c r="H5151" s="28">
        <v>2027.0</v>
      </c>
      <c r="I5151" s="28">
        <v>2862.0</v>
      </c>
      <c r="J5151" s="28">
        <v>13512.0</v>
      </c>
      <c r="K5151" s="25" t="s">
        <v>28</v>
      </c>
      <c r="L5151" s="26">
        <v>4.0</v>
      </c>
      <c r="M5151" s="26">
        <v>2.0</v>
      </c>
      <c r="N5151" s="26">
        <v>0.0</v>
      </c>
      <c r="O5151" s="26">
        <v>0.0</v>
      </c>
      <c r="P5151" s="34">
        <v>1406.0</v>
      </c>
      <c r="Q5151" s="35">
        <v>636.0</v>
      </c>
      <c r="R5151" s="32">
        <v>45636.0</v>
      </c>
      <c r="S5151" s="32">
        <v>42510.0</v>
      </c>
      <c r="T5151" s="29"/>
      <c r="U5151" s="33"/>
      <c r="V5151" s="1"/>
    </row>
    <row r="5152" ht="24.0" customHeight="1">
      <c r="A5152" s="1"/>
      <c r="B5152" s="24" t="str">
        <f>HYPERLINK("https://www.compass.com/listing/61-west-9th-street-unit-3c-manhattan-ny-10011/29365858325318897/view?agent_id=610d3f3370540700019b0833","61 W 9th St, Unit 3C")</f>
        <v>61 W 9th St, Unit 3C</v>
      </c>
      <c r="C5152" s="25" t="s">
        <v>364</v>
      </c>
      <c r="D5152" s="26" t="s">
        <v>23</v>
      </c>
      <c r="E5152" s="27" t="str">
        <f>HYPERLINK("https://www.compass.com/building/61-w-9th-st-manhattan-ny-10011/281911958494538757/","61 W 9th St")</f>
        <v>61 W 9th St</v>
      </c>
      <c r="F5152" s="25" t="s">
        <v>43</v>
      </c>
      <c r="G5152" s="28">
        <v>1300000.0</v>
      </c>
      <c r="H5152" s="28">
        <v>1182.0</v>
      </c>
      <c r="I5152" s="29"/>
      <c r="J5152" s="29"/>
      <c r="K5152" s="25" t="s">
        <v>25</v>
      </c>
      <c r="L5152" s="26">
        <v>4.0</v>
      </c>
      <c r="M5152" s="26">
        <v>2.0</v>
      </c>
      <c r="N5152" s="30"/>
      <c r="O5152" s="30"/>
      <c r="P5152" s="34">
        <v>1100.0</v>
      </c>
      <c r="Q5152" s="35">
        <v>25.0</v>
      </c>
      <c r="R5152" s="32">
        <v>42476.0</v>
      </c>
      <c r="S5152" s="32">
        <v>39360.0</v>
      </c>
      <c r="T5152" s="29"/>
      <c r="U5152" s="33"/>
      <c r="V5152" s="1"/>
    </row>
    <row r="5153" ht="24.0" customHeight="1">
      <c r="A5153" s="1"/>
      <c r="B5153" s="24" t="str">
        <f>HYPERLINK("https://www.compass.com/listing/83-underhill-avenue-unit-3b-brooklyn-ny-11238/256612820253262609/view?agent_id=610d3f3370540700019b0833","83 Underhill Ave, Unit 3B")</f>
        <v>83 Underhill Ave, Unit 3B</v>
      </c>
      <c r="C5153" s="25" t="s">
        <v>365</v>
      </c>
      <c r="D5153" s="26" t="s">
        <v>23</v>
      </c>
      <c r="E5153" s="27" t="str">
        <f>HYPERLINK("https://www.compass.com/building/83-underhill-ave-brooklyn-ny-11238/293425577929546053/","83 Underhill Ave")</f>
        <v>83 Underhill Ave</v>
      </c>
      <c r="F5153" s="25" t="s">
        <v>39</v>
      </c>
      <c r="G5153" s="28">
        <v>795000.0</v>
      </c>
      <c r="H5153" s="28">
        <v>1104.0</v>
      </c>
      <c r="I5153" s="28">
        <v>720.0</v>
      </c>
      <c r="J5153" s="29"/>
      <c r="K5153" s="25" t="s">
        <v>25</v>
      </c>
      <c r="L5153" s="26">
        <v>4.0</v>
      </c>
      <c r="M5153" s="26">
        <v>2.0</v>
      </c>
      <c r="N5153" s="26">
        <v>1.0</v>
      </c>
      <c r="O5153" s="30"/>
      <c r="P5153" s="26">
        <v>720.0</v>
      </c>
      <c r="Q5153" s="35">
        <v>184.0</v>
      </c>
      <c r="R5153" s="32">
        <v>44820.0</v>
      </c>
      <c r="S5153" s="32">
        <v>43605.0</v>
      </c>
      <c r="T5153" s="29"/>
      <c r="U5153" s="33"/>
      <c r="V5153" s="1"/>
    </row>
    <row r="5154" ht="24.0" customHeight="1">
      <c r="A5154" s="1"/>
      <c r="B5154" s="24" t="str">
        <f>HYPERLINK("https://www.compass.com/listing/11-riverside-drive-unit-9ve-manhattan-ny-10023/40603503764277569/view?agent_id=610d3f3370540700019b0833","11 Riverside Dr, Unit 9VE")</f>
        <v>11 Riverside Dr, Unit 9VE</v>
      </c>
      <c r="C5154" s="25" t="s">
        <v>364</v>
      </c>
      <c r="D5154" s="26" t="s">
        <v>23</v>
      </c>
      <c r="E5154" s="27" t="str">
        <f>HYPERLINK("https://www.compass.com/building/schwab-manhattan-ny/281956307722900517/","Schwab")</f>
        <v>Schwab</v>
      </c>
      <c r="F5154" s="25" t="s">
        <v>29</v>
      </c>
      <c r="G5154" s="28">
        <v>1400000.0</v>
      </c>
      <c r="H5154" s="29"/>
      <c r="I5154" s="28">
        <v>1830.0</v>
      </c>
      <c r="J5154" s="29"/>
      <c r="K5154" s="25" t="s">
        <v>25</v>
      </c>
      <c r="L5154" s="26">
        <v>4.0</v>
      </c>
      <c r="M5154" s="26">
        <v>2.0</v>
      </c>
      <c r="N5154" s="26">
        <v>1.0</v>
      </c>
      <c r="O5154" s="26">
        <v>0.0</v>
      </c>
      <c r="P5154" s="30"/>
      <c r="Q5154" s="35">
        <v>230.0</v>
      </c>
      <c r="R5154" s="32">
        <v>44581.0</v>
      </c>
      <c r="S5154" s="32">
        <v>43307.0</v>
      </c>
      <c r="T5154" s="29"/>
      <c r="U5154" s="33"/>
      <c r="V5154" s="1"/>
    </row>
    <row r="5155" ht="24.0" customHeight="1">
      <c r="A5155" s="1"/>
      <c r="B5155" s="24" t="str">
        <f>HYPERLINK("https://www.compass.com/listing/134-greene-street-unit-3-manhattan-ny-10012/775042699768080161/view?agent_id=610d3f3370540700019b0833","134 Greene St, Unit 3")</f>
        <v>134 Greene St, Unit 3</v>
      </c>
      <c r="C5155" s="25" t="s">
        <v>364</v>
      </c>
      <c r="D5155" s="26" t="s">
        <v>23</v>
      </c>
      <c r="E5155" s="27" t="str">
        <f>HYPERLINK("https://www.compass.com/building/134-greene-st-manhattan-ny-10012/292808913462526549/","134 Greene St")</f>
        <v>134 Greene St</v>
      </c>
      <c r="F5155" s="25" t="s">
        <v>53</v>
      </c>
      <c r="G5155" s="28">
        <v>4250000.0</v>
      </c>
      <c r="H5155" s="29"/>
      <c r="I5155" s="28">
        <v>3710.0</v>
      </c>
      <c r="J5155" s="28">
        <v>0.0</v>
      </c>
      <c r="K5155" s="25" t="s">
        <v>25</v>
      </c>
      <c r="L5155" s="26">
        <v>6.0</v>
      </c>
      <c r="M5155" s="26">
        <v>2.0</v>
      </c>
      <c r="N5155" s="30"/>
      <c r="O5155" s="30"/>
      <c r="P5155" s="30"/>
      <c r="Q5155" s="35">
        <v>2.0</v>
      </c>
      <c r="R5155" s="32">
        <v>44323.0</v>
      </c>
      <c r="S5155" s="32">
        <v>44321.0</v>
      </c>
      <c r="T5155" s="29"/>
      <c r="U5155" s="33"/>
      <c r="V5155" s="1"/>
    </row>
    <row r="5156" ht="24.0" customHeight="1">
      <c r="A5156" s="1"/>
      <c r="B5156" s="24" t="str">
        <f>HYPERLINK("https://www.compass.com/listing/279-prospect-place-unit-4f-brooklyn-ny-11238/920581107061762161/view?agent_id=610d3f3370540700019b0833","279 Prospect Pl, Unit 4F")</f>
        <v>279 Prospect Pl, Unit 4F</v>
      </c>
      <c r="C5156" s="25" t="s">
        <v>364</v>
      </c>
      <c r="D5156" s="26" t="s">
        <v>23</v>
      </c>
      <c r="E5156" s="27" t="str">
        <f>HYPERLINK("https://www.compass.com/building/279-prospect-pl-brooklyn-ny-11238/293420431745022885/","279 Prospect Pl")</f>
        <v>279 Prospect Pl</v>
      </c>
      <c r="F5156" s="25" t="s">
        <v>39</v>
      </c>
      <c r="G5156" s="28">
        <v>389000.0</v>
      </c>
      <c r="H5156" s="28">
        <v>375.0</v>
      </c>
      <c r="I5156" s="28">
        <v>624.0</v>
      </c>
      <c r="J5156" s="29"/>
      <c r="K5156" s="25" t="s">
        <v>25</v>
      </c>
      <c r="L5156" s="26">
        <v>5.0</v>
      </c>
      <c r="M5156" s="26">
        <v>2.0</v>
      </c>
      <c r="N5156" s="26">
        <v>1.0</v>
      </c>
      <c r="O5156" s="26">
        <v>0.0</v>
      </c>
      <c r="P5156" s="34">
        <v>1038.0</v>
      </c>
      <c r="Q5156" s="35">
        <v>1051.0</v>
      </c>
      <c r="R5156" s="32">
        <v>44581.0</v>
      </c>
      <c r="S5156" s="32">
        <v>41827.0</v>
      </c>
      <c r="T5156" s="29"/>
      <c r="U5156" s="33"/>
      <c r="V5156" s="1"/>
    </row>
    <row r="5157" ht="24.0" customHeight="1">
      <c r="A5157" s="1"/>
      <c r="B5157" s="24" t="str">
        <f>HYPERLINK("https://www.compass.com/listing/207-west-21st-street-unit-3-manhattan-ny-10011/4703732271352404929/view?agent_id=610d3f3370540700019b0833","207 W 21st St, Unit 3")</f>
        <v>207 W 21st St, Unit 3</v>
      </c>
      <c r="C5157" s="25" t="s">
        <v>364</v>
      </c>
      <c r="D5157" s="26" t="s">
        <v>23</v>
      </c>
      <c r="E5157" s="27" t="str">
        <f>HYPERLINK("https://www.compass.com/building/207-w-21st-st-manhattan-ny-10011/281906635301997925/","207 W 21st St")</f>
        <v>207 W 21st St</v>
      </c>
      <c r="F5157" s="25" t="s">
        <v>27</v>
      </c>
      <c r="G5157" s="28">
        <v>785000.0</v>
      </c>
      <c r="H5157" s="28">
        <v>1047.0</v>
      </c>
      <c r="I5157" s="28">
        <v>1373.0</v>
      </c>
      <c r="J5157" s="29"/>
      <c r="K5157" s="25" t="s">
        <v>25</v>
      </c>
      <c r="L5157" s="26">
        <v>4.0</v>
      </c>
      <c r="M5157" s="26">
        <v>2.0</v>
      </c>
      <c r="N5157" s="30"/>
      <c r="O5157" s="30"/>
      <c r="P5157" s="26">
        <v>750.0</v>
      </c>
      <c r="Q5157" s="31"/>
      <c r="R5157" s="32">
        <v>42477.0</v>
      </c>
      <c r="S5157" s="33"/>
      <c r="T5157" s="29"/>
      <c r="U5157" s="33"/>
      <c r="V5157" s="1"/>
    </row>
    <row r="5158" ht="24.0" customHeight="1">
      <c r="A5158" s="1"/>
      <c r="B5158" s="24" t="str">
        <f>HYPERLINK("https://www.compass.com/listing/355-halsey-street-unit-3-brooklyn-ny-11216/1248195140389185305/view?agent_id=610d3f3370540700019b0833","355 Halsey St, Unit 3")</f>
        <v>355 Halsey St, Unit 3</v>
      </c>
      <c r="C5158" s="25" t="s">
        <v>364</v>
      </c>
      <c r="D5158" s="26" t="s">
        <v>23</v>
      </c>
      <c r="E5158" s="27" t="str">
        <f>HYPERLINK("https://www.compass.com/building/355-halsey-st-brooklyn-ny-11216/293534568537979989/","355 Halsey St")</f>
        <v>355 Halsey St</v>
      </c>
      <c r="F5158" s="25" t="s">
        <v>51</v>
      </c>
      <c r="G5158" s="28">
        <v>825000.0</v>
      </c>
      <c r="H5158" s="28">
        <v>1000.0</v>
      </c>
      <c r="I5158" s="28">
        <v>378.0</v>
      </c>
      <c r="J5158" s="28">
        <v>2436.0</v>
      </c>
      <c r="K5158" s="25" t="s">
        <v>452</v>
      </c>
      <c r="L5158" s="26">
        <v>5.0</v>
      </c>
      <c r="M5158" s="26">
        <v>2.0</v>
      </c>
      <c r="N5158" s="26">
        <v>0.0</v>
      </c>
      <c r="O5158" s="26">
        <v>0.0</v>
      </c>
      <c r="P5158" s="26">
        <v>825.0</v>
      </c>
      <c r="Q5158" s="35">
        <v>3.0</v>
      </c>
      <c r="R5158" s="32">
        <v>45636.0</v>
      </c>
      <c r="S5158" s="32">
        <v>43161.0</v>
      </c>
      <c r="T5158" s="29"/>
      <c r="U5158" s="33"/>
      <c r="V5158" s="1"/>
    </row>
    <row r="5159" ht="24.0" customHeight="1">
      <c r="A5159" s="1"/>
      <c r="B5159" s="24" t="str">
        <f>HYPERLINK("https://www.compass.com/listing/125-west-12th-street-unit-4d-manhattan-ny-10011/29367388768130865/view?agent_id=610d3f3370540700019b0833","125 W 12th St, Unit 4D")</f>
        <v>125 W 12th St, Unit 4D</v>
      </c>
      <c r="C5159" s="25" t="s">
        <v>364</v>
      </c>
      <c r="D5159" s="26" t="s">
        <v>23</v>
      </c>
      <c r="E5159" s="27" t="str">
        <f>HYPERLINK("https://www.compass.com/building/125-w-12th-st-manhattan-ny-10011/281904841784053381/","125 W 12th St")</f>
        <v>125 W 12th St</v>
      </c>
      <c r="F5159" s="25" t="s">
        <v>26</v>
      </c>
      <c r="G5159" s="28">
        <v>1449000.0</v>
      </c>
      <c r="H5159" s="29"/>
      <c r="I5159" s="28">
        <v>1527.0</v>
      </c>
      <c r="J5159" s="29"/>
      <c r="K5159" s="25" t="s">
        <v>25</v>
      </c>
      <c r="L5159" s="26">
        <v>5.0</v>
      </c>
      <c r="M5159" s="26">
        <v>2.0</v>
      </c>
      <c r="N5159" s="26">
        <v>0.0</v>
      </c>
      <c r="O5159" s="26">
        <v>0.0</v>
      </c>
      <c r="P5159" s="30"/>
      <c r="Q5159" s="35">
        <v>158.0</v>
      </c>
      <c r="R5159" s="32">
        <v>45636.0</v>
      </c>
      <c r="S5159" s="32">
        <v>42570.0</v>
      </c>
      <c r="T5159" s="29"/>
      <c r="U5159" s="33"/>
      <c r="V5159" s="1"/>
    </row>
    <row r="5160" ht="24.0" customHeight="1">
      <c r="A5160" s="1"/>
      <c r="B5160" s="24" t="str">
        <f>HYPERLINK("https://www.compass.com/listing/146-west-16th-street-unit-3ab-manhattan-ny-10011/29372802498868945/view?agent_id=610d3f3370540700019b0833","146 W 16th St, Unit 3AB")</f>
        <v>146 W 16th St, Unit 3AB</v>
      </c>
      <c r="C5160" s="25" t="s">
        <v>370</v>
      </c>
      <c r="D5160" s="26" t="s">
        <v>23</v>
      </c>
      <c r="E5160" s="27" t="str">
        <f>HYPERLINK("https://www.compass.com/building/146-w-16th-st-manhattan-ny-10011/281905488092746117/","146 W 16th St")</f>
        <v>146 W 16th St</v>
      </c>
      <c r="F5160" s="25" t="s">
        <v>27</v>
      </c>
      <c r="G5160" s="28">
        <v>1095000.0</v>
      </c>
      <c r="H5160" s="28">
        <v>1095.0</v>
      </c>
      <c r="I5160" s="28">
        <v>1022.0</v>
      </c>
      <c r="J5160" s="29"/>
      <c r="K5160" s="25" t="s">
        <v>25</v>
      </c>
      <c r="L5160" s="26">
        <v>4.0</v>
      </c>
      <c r="M5160" s="26">
        <v>2.0</v>
      </c>
      <c r="N5160" s="26">
        <v>0.0</v>
      </c>
      <c r="O5160" s="26">
        <v>0.0</v>
      </c>
      <c r="P5160" s="34">
        <v>1000.0</v>
      </c>
      <c r="Q5160" s="35">
        <v>0.0</v>
      </c>
      <c r="R5160" s="32">
        <v>44581.0</v>
      </c>
      <c r="S5160" s="32">
        <v>41538.0</v>
      </c>
      <c r="T5160" s="29"/>
      <c r="U5160" s="33"/>
      <c r="V5160" s="1"/>
    </row>
    <row r="5161" ht="24.0" customHeight="1">
      <c r="A5161" s="1"/>
      <c r="B5161" s="24" t="str">
        <f>HYPERLINK("https://www.compass.com/listing/300-west-23rd-street-unit-4e-manhattan-ny-10011/919043700969748113/view?agent_id=610d3f3370540700019b0833","300 W 23rd St, Unit 4E")</f>
        <v>300 W 23rd St, Unit 4E</v>
      </c>
      <c r="C5161" s="25" t="s">
        <v>364</v>
      </c>
      <c r="D5161" s="26" t="s">
        <v>23</v>
      </c>
      <c r="E5161" s="27" t="str">
        <f>HYPERLINK("https://www.compass.com/building/300-w-23rd-st-manhattan-ny-10011/292803094704582533/","300 W 23rd St")</f>
        <v>300 W 23rd St</v>
      </c>
      <c r="F5161" s="25" t="s">
        <v>27</v>
      </c>
      <c r="G5161" s="28">
        <v>1995000.0</v>
      </c>
      <c r="H5161" s="28">
        <v>1108.0</v>
      </c>
      <c r="I5161" s="28">
        <v>3539.0</v>
      </c>
      <c r="J5161" s="29"/>
      <c r="K5161" s="25" t="s">
        <v>25</v>
      </c>
      <c r="L5161" s="26">
        <v>6.0</v>
      </c>
      <c r="M5161" s="26">
        <v>2.0</v>
      </c>
      <c r="N5161" s="26">
        <v>0.0</v>
      </c>
      <c r="O5161" s="26">
        <v>0.0</v>
      </c>
      <c r="P5161" s="34">
        <v>1800.0</v>
      </c>
      <c r="Q5161" s="35">
        <v>1515.0</v>
      </c>
      <c r="R5161" s="32">
        <v>45636.0</v>
      </c>
      <c r="S5161" s="32">
        <v>41243.0</v>
      </c>
      <c r="T5161" s="29"/>
      <c r="U5161" s="33"/>
      <c r="V5161" s="1"/>
    </row>
    <row r="5162" ht="24.0" customHeight="1">
      <c r="A5162" s="1"/>
      <c r="B5162" s="24" t="str">
        <f>HYPERLINK("https://www.compass.com/listing/376-west-street-unit-5a-manhattan-ny-10014/198792561555423233/view?agent_id=610d3f3370540700019b0833","376 West St, Unit 5A")</f>
        <v>376 West St, Unit 5A</v>
      </c>
      <c r="C5162" s="25" t="s">
        <v>364</v>
      </c>
      <c r="D5162" s="26" t="s">
        <v>23</v>
      </c>
      <c r="E5162" s="27" t="str">
        <f>HYPERLINK("https://www.compass.com/building/west-village-houses-manhattan-ny/282060576618741845/","West Village Houses")</f>
        <v>West Village Houses</v>
      </c>
      <c r="F5162" s="25" t="s">
        <v>26</v>
      </c>
      <c r="G5162" s="28">
        <v>1135000.0</v>
      </c>
      <c r="H5162" s="29"/>
      <c r="I5162" s="28">
        <v>1020.0</v>
      </c>
      <c r="J5162" s="29"/>
      <c r="K5162" s="25" t="s">
        <v>25</v>
      </c>
      <c r="L5162" s="26">
        <v>4.0</v>
      </c>
      <c r="M5162" s="26">
        <v>2.0</v>
      </c>
      <c r="N5162" s="26">
        <v>1.0</v>
      </c>
      <c r="O5162" s="26">
        <v>0.0</v>
      </c>
      <c r="P5162" s="30"/>
      <c r="Q5162" s="35">
        <v>8.0</v>
      </c>
      <c r="R5162" s="32">
        <v>45636.0</v>
      </c>
      <c r="S5162" s="32">
        <v>43615.0</v>
      </c>
      <c r="T5162" s="29"/>
      <c r="U5162" s="33"/>
      <c r="V5162" s="1"/>
    </row>
    <row r="5163" ht="24.0" customHeight="1">
      <c r="A5163" s="1"/>
      <c r="B5163" s="24" t="str">
        <f>HYPERLINK("https://www.compass.com/listing/110-duane-street-unit-5-manhattan-ny-10007/1838962115978039777/view?agent_id=610d3f3370540700019b0833","110 Duane St, Unit 5")</f>
        <v>110 Duane St, Unit 5</v>
      </c>
      <c r="C5163" s="25" t="s">
        <v>364</v>
      </c>
      <c r="D5163" s="26" t="s">
        <v>23</v>
      </c>
      <c r="E5163" s="27" t="str">
        <f t="shared" ref="E5163:E5165" si="238">HYPERLINK("https://www.compass.com/building/110-duane-lofts-manhattan-ny/292789132017549509/","110 Duane Lofts")</f>
        <v>110 Duane Lofts</v>
      </c>
      <c r="F5163" s="25" t="s">
        <v>60</v>
      </c>
      <c r="G5163" s="28">
        <v>1550000.0</v>
      </c>
      <c r="H5163" s="28">
        <v>822.0</v>
      </c>
      <c r="I5163" s="28">
        <v>1933.0</v>
      </c>
      <c r="J5163" s="28">
        <v>14748.0</v>
      </c>
      <c r="K5163" s="25" t="s">
        <v>28</v>
      </c>
      <c r="L5163" s="26">
        <v>5.0</v>
      </c>
      <c r="M5163" s="26">
        <v>2.0</v>
      </c>
      <c r="N5163" s="30"/>
      <c r="O5163" s="30"/>
      <c r="P5163" s="34">
        <v>1886.0</v>
      </c>
      <c r="Q5163" s="31"/>
      <c r="R5163" s="32">
        <v>41537.0</v>
      </c>
      <c r="S5163" s="33"/>
      <c r="T5163" s="29"/>
      <c r="U5163" s="33"/>
      <c r="V5163" s="1"/>
    </row>
    <row r="5164" ht="24.0" customHeight="1">
      <c r="A5164" s="1"/>
      <c r="B5164" s="24" t="str">
        <f>HYPERLINK("https://www.compass.com/listing/110-duane-street-unit-5-manhattan-ny-10007/4852306306603689953/view?agent_id=610d3f3370540700019b0833","110 Duane St, Unit 5")</f>
        <v>110 Duane St, Unit 5</v>
      </c>
      <c r="C5164" s="25" t="s">
        <v>364</v>
      </c>
      <c r="D5164" s="26" t="s">
        <v>23</v>
      </c>
      <c r="E5164" s="27" t="str">
        <f t="shared" si="238"/>
        <v>110 Duane Lofts</v>
      </c>
      <c r="F5164" s="25" t="s">
        <v>60</v>
      </c>
      <c r="G5164" s="28">
        <v>1550000.0</v>
      </c>
      <c r="H5164" s="28">
        <v>822.0</v>
      </c>
      <c r="I5164" s="28">
        <v>1933.0</v>
      </c>
      <c r="J5164" s="28">
        <v>14748.0</v>
      </c>
      <c r="K5164" s="25" t="s">
        <v>28</v>
      </c>
      <c r="L5164" s="26">
        <v>5.0</v>
      </c>
      <c r="M5164" s="26">
        <v>2.0</v>
      </c>
      <c r="N5164" s="26">
        <v>0.0</v>
      </c>
      <c r="O5164" s="26">
        <v>0.0</v>
      </c>
      <c r="P5164" s="34">
        <v>1886.0</v>
      </c>
      <c r="Q5164" s="35">
        <v>0.0</v>
      </c>
      <c r="R5164" s="32">
        <v>44581.0</v>
      </c>
      <c r="S5164" s="32">
        <v>41537.0</v>
      </c>
      <c r="T5164" s="29"/>
      <c r="U5164" s="33"/>
      <c r="V5164" s="1"/>
    </row>
    <row r="5165" ht="24.0" customHeight="1">
      <c r="A5165" s="1"/>
      <c r="B5165" s="24" t="str">
        <f>HYPERLINK("https://www.compass.com/listing/110-duane-street-unit-5-manhattan-ny-10007/79507230835195057/view?agent_id=610d3f3370540700019b0833","110 Duane St, Unit 5")</f>
        <v>110 Duane St, Unit 5</v>
      </c>
      <c r="C5165" s="25" t="s">
        <v>364</v>
      </c>
      <c r="D5165" s="26" t="s">
        <v>23</v>
      </c>
      <c r="E5165" s="27" t="str">
        <f t="shared" si="238"/>
        <v>110 Duane Lofts</v>
      </c>
      <c r="F5165" s="25" t="s">
        <v>60</v>
      </c>
      <c r="G5165" s="28">
        <v>1550000.0</v>
      </c>
      <c r="H5165" s="28">
        <v>822.0</v>
      </c>
      <c r="I5165" s="28">
        <v>1933.0</v>
      </c>
      <c r="J5165" s="28">
        <v>14748.0</v>
      </c>
      <c r="K5165" s="25" t="s">
        <v>28</v>
      </c>
      <c r="L5165" s="26">
        <v>5.0</v>
      </c>
      <c r="M5165" s="26">
        <v>2.0</v>
      </c>
      <c r="N5165" s="30"/>
      <c r="O5165" s="30"/>
      <c r="P5165" s="34">
        <v>1886.0</v>
      </c>
      <c r="Q5165" s="35">
        <v>140.0</v>
      </c>
      <c r="R5165" s="32">
        <v>42104.0</v>
      </c>
      <c r="S5165" s="32">
        <v>40707.0</v>
      </c>
      <c r="T5165" s="29"/>
      <c r="U5165" s="33"/>
      <c r="V5165" s="1"/>
    </row>
    <row r="5166" ht="24.0" customHeight="1">
      <c r="A5166" s="1"/>
      <c r="B5166" s="24" t="str">
        <f>HYPERLINK("https://www.compass.com/listing/150-thompson-street-unit-2-manhattan-ny-10012/4852308889154095761/view?agent_id=610d3f3370540700019b0833","150 Thompson St, Unit 2")</f>
        <v>150 Thompson St, Unit 2</v>
      </c>
      <c r="C5166" s="25" t="s">
        <v>370</v>
      </c>
      <c r="D5166" s="26" t="s">
        <v>23</v>
      </c>
      <c r="E5166" s="27" t="str">
        <f>HYPERLINK("https://www.compass.com/building/150-thompson-st-manhattan-ny-10012/307457467126257125/","150 Thompson St")</f>
        <v>150 Thompson St</v>
      </c>
      <c r="F5166" s="25" t="s">
        <v>53</v>
      </c>
      <c r="G5166" s="28">
        <v>4495000.0</v>
      </c>
      <c r="H5166" s="28">
        <v>1550.0</v>
      </c>
      <c r="I5166" s="28">
        <v>2900.0</v>
      </c>
      <c r="J5166" s="29"/>
      <c r="K5166" s="25" t="s">
        <v>25</v>
      </c>
      <c r="L5166" s="26">
        <v>5.0</v>
      </c>
      <c r="M5166" s="26">
        <v>2.0</v>
      </c>
      <c r="N5166" s="26">
        <v>0.0</v>
      </c>
      <c r="O5166" s="26">
        <v>0.0</v>
      </c>
      <c r="P5166" s="34">
        <v>2900.0</v>
      </c>
      <c r="Q5166" s="35">
        <v>86.0</v>
      </c>
      <c r="R5166" s="32">
        <v>45636.0</v>
      </c>
      <c r="S5166" s="32">
        <v>42638.0</v>
      </c>
      <c r="T5166" s="29"/>
      <c r="U5166" s="33"/>
      <c r="V5166" s="1"/>
    </row>
    <row r="5167" ht="24.0" customHeight="1">
      <c r="A5167" s="1"/>
      <c r="B5167" s="24" t="str">
        <f>HYPERLINK("https://www.compass.com/listing/71-73-bleecker-street-unit-2w-manhattan-ny-10012/29363575927704913/view?agent_id=610d3f3370540700019b0833","71-73 Bleecker St, Unit 2W")</f>
        <v>71-73 Bleecker St, Unit 2W</v>
      </c>
      <c r="C5167" s="25" t="s">
        <v>370</v>
      </c>
      <c r="D5167" s="26" t="s">
        <v>23</v>
      </c>
      <c r="E5167" s="27" t="str">
        <f>HYPERLINK("https://www.compass.com/building/71-73-bleecker-st-manhattan-ny-10012/292812430671646549/","71-73 Bleecker St")</f>
        <v>71-73 Bleecker St</v>
      </c>
      <c r="F5167" s="25" t="s">
        <v>57</v>
      </c>
      <c r="G5167" s="28">
        <v>2850000.0</v>
      </c>
      <c r="H5167" s="28">
        <v>983.0</v>
      </c>
      <c r="I5167" s="28">
        <v>5235.0</v>
      </c>
      <c r="J5167" s="29"/>
      <c r="K5167" s="25" t="s">
        <v>25</v>
      </c>
      <c r="L5167" s="26">
        <v>4.0</v>
      </c>
      <c r="M5167" s="26">
        <v>2.0</v>
      </c>
      <c r="N5167" s="26">
        <v>0.0</v>
      </c>
      <c r="O5167" s="26">
        <v>0.0</v>
      </c>
      <c r="P5167" s="34">
        <v>2900.0</v>
      </c>
      <c r="Q5167" s="35">
        <v>322.0</v>
      </c>
      <c r="R5167" s="32">
        <v>45636.0</v>
      </c>
      <c r="S5167" s="32">
        <v>42049.0</v>
      </c>
      <c r="T5167" s="29"/>
      <c r="U5167" s="33"/>
      <c r="V5167" s="1"/>
    </row>
    <row r="5168" ht="24.0" customHeight="1">
      <c r="A5168" s="1"/>
      <c r="B5168" s="24" t="str">
        <f>HYPERLINK("https://www.compass.com/listing/105-west-77th-street-unit-1aa-manhattan-ny-10024/4852274855891970305/view?agent_id=610d3f3370540700019b0833","105 W 77th St, Unit 1AA")</f>
        <v>105 W 77th St, Unit 1AA</v>
      </c>
      <c r="C5168" s="25" t="s">
        <v>370</v>
      </c>
      <c r="D5168" s="26" t="s">
        <v>23</v>
      </c>
      <c r="E5168" s="27" t="str">
        <f>HYPERLINK("https://www.compass.com/building/105-w-77th-st-manhattan-ny-10024/281924513682200661/","105 W 77th St")</f>
        <v>105 W 77th St</v>
      </c>
      <c r="F5168" s="25" t="s">
        <v>29</v>
      </c>
      <c r="G5168" s="28">
        <v>899000.0</v>
      </c>
      <c r="H5168" s="29"/>
      <c r="I5168" s="28">
        <v>1497.0</v>
      </c>
      <c r="J5168" s="28">
        <v>10704.0</v>
      </c>
      <c r="K5168" s="25" t="s">
        <v>28</v>
      </c>
      <c r="L5168" s="26">
        <v>4.0</v>
      </c>
      <c r="M5168" s="26">
        <v>2.0</v>
      </c>
      <c r="N5168" s="26">
        <v>0.0</v>
      </c>
      <c r="O5168" s="26">
        <v>0.0</v>
      </c>
      <c r="P5168" s="30"/>
      <c r="Q5168" s="35">
        <v>172.0</v>
      </c>
      <c r="R5168" s="32">
        <v>45636.0</v>
      </c>
      <c r="S5168" s="32">
        <v>42740.0</v>
      </c>
      <c r="T5168" s="29"/>
      <c r="U5168" s="33"/>
      <c r="V5168" s="1"/>
    </row>
    <row r="5169" ht="24.0" customHeight="1">
      <c r="A5169" s="1"/>
      <c r="B5169" s="24" t="str">
        <f>HYPERLINK("https://www.compass.com/listing/19-park-place-unit-16a-manhattan-ny-10007/4866904226988557665/view?agent_id=610d3f3370540700019b0833","19 Park Pl, Unit 16A")</f>
        <v>19 Park Pl, Unit 16A</v>
      </c>
      <c r="C5169" s="25" t="s">
        <v>364</v>
      </c>
      <c r="D5169" s="26" t="s">
        <v>23</v>
      </c>
      <c r="E5169" s="27" t="str">
        <f>HYPERLINK("https://www.compass.com/building/19-park-pl-manhattan-ny-10007/281896755719580821/","19 Park Pl")</f>
        <v>19 Park Pl</v>
      </c>
      <c r="F5169" s="25" t="s">
        <v>60</v>
      </c>
      <c r="G5169" s="28">
        <v>2925000.0</v>
      </c>
      <c r="H5169" s="28">
        <v>2189.0</v>
      </c>
      <c r="I5169" s="28">
        <v>3189.0</v>
      </c>
      <c r="J5169" s="28">
        <v>14352.0</v>
      </c>
      <c r="K5169" s="25" t="s">
        <v>28</v>
      </c>
      <c r="L5169" s="26">
        <v>4.0</v>
      </c>
      <c r="M5169" s="26">
        <v>2.0</v>
      </c>
      <c r="N5169" s="26">
        <v>0.0</v>
      </c>
      <c r="O5169" s="26">
        <v>0.0</v>
      </c>
      <c r="P5169" s="34">
        <v>1336.0</v>
      </c>
      <c r="Q5169" s="35">
        <v>251.0</v>
      </c>
      <c r="R5169" s="32">
        <v>44581.0</v>
      </c>
      <c r="S5169" s="32">
        <v>42957.0</v>
      </c>
      <c r="T5169" s="29"/>
      <c r="U5169" s="33"/>
      <c r="V5169" s="1"/>
    </row>
    <row r="5170" ht="24.0" customHeight="1">
      <c r="A5170" s="1"/>
      <c r="B5170" s="24" t="str">
        <f>HYPERLINK("https://www.compass.com/listing/25-east-4th-street-unit-4-manhattan-ny-10003/826840186618990873/view?agent_id=610d3f3370540700019b0833","25 East 4th Street, Unit 4")</f>
        <v>25 East 4th Street, Unit 4</v>
      </c>
      <c r="C5170" s="25" t="s">
        <v>370</v>
      </c>
      <c r="D5170" s="26" t="s">
        <v>23</v>
      </c>
      <c r="E5170" s="27" t="str">
        <f>HYPERLINK("https://www.compass.com/building/25-e-4th-st-manhattan-ny-10003/281891683187037077/","25 E 4th St")</f>
        <v>25 E 4th St</v>
      </c>
      <c r="F5170" s="25" t="s">
        <v>57</v>
      </c>
      <c r="G5170" s="28">
        <v>3100000.0</v>
      </c>
      <c r="H5170" s="29"/>
      <c r="I5170" s="28">
        <v>2600.0</v>
      </c>
      <c r="J5170" s="29"/>
      <c r="K5170" s="25" t="s">
        <v>25</v>
      </c>
      <c r="L5170" s="26">
        <v>6.0</v>
      </c>
      <c r="M5170" s="26">
        <v>2.0</v>
      </c>
      <c r="N5170" s="26">
        <v>0.0</v>
      </c>
      <c r="O5170" s="26">
        <v>0.0</v>
      </c>
      <c r="P5170" s="30"/>
      <c r="Q5170" s="35">
        <v>127.0</v>
      </c>
      <c r="R5170" s="32">
        <v>44581.0</v>
      </c>
      <c r="S5170" s="32">
        <v>41339.0</v>
      </c>
      <c r="T5170" s="29"/>
      <c r="U5170" s="33"/>
      <c r="V5170" s="1"/>
    </row>
    <row r="5171" ht="24.0" customHeight="1">
      <c r="A5171" s="1"/>
      <c r="B5171" s="24" t="str">
        <f>HYPERLINK("https://www.compass.com/listing/69-5th-avenue-unit-18e-manhattan-ny-10003/29375233903306401/view?agent_id=610d3f3370540700019b0833","69 5th Avenue, Unit 18E")</f>
        <v>69 5th Avenue, Unit 18E</v>
      </c>
      <c r="C5171" s="25" t="s">
        <v>370</v>
      </c>
      <c r="D5171" s="26" t="s">
        <v>23</v>
      </c>
      <c r="E5171" s="27" t="str">
        <f>HYPERLINK("https://www.compass.com/building/the-wedgwood-house-manhattan-ny/281894534642671621/","The Wedgwood House")</f>
        <v>The Wedgwood House</v>
      </c>
      <c r="F5171" s="25" t="s">
        <v>115</v>
      </c>
      <c r="G5171" s="28">
        <v>2575000.0</v>
      </c>
      <c r="H5171" s="29"/>
      <c r="I5171" s="28">
        <v>2620.0</v>
      </c>
      <c r="J5171" s="29"/>
      <c r="K5171" s="25" t="s">
        <v>25</v>
      </c>
      <c r="L5171" s="26">
        <v>5.0</v>
      </c>
      <c r="M5171" s="26">
        <v>2.0</v>
      </c>
      <c r="N5171" s="26">
        <v>0.0</v>
      </c>
      <c r="O5171" s="26">
        <v>0.0</v>
      </c>
      <c r="P5171" s="30"/>
      <c r="Q5171" s="35">
        <v>52.0</v>
      </c>
      <c r="R5171" s="32">
        <v>45636.0</v>
      </c>
      <c r="S5171" s="32">
        <v>42288.0</v>
      </c>
      <c r="T5171" s="29"/>
      <c r="U5171" s="33"/>
      <c r="V5171" s="1"/>
    </row>
    <row r="5172" ht="24.0" customHeight="1">
      <c r="A5172" s="1"/>
      <c r="B5172" s="24" t="str">
        <f>HYPERLINK("https://www.compass.com/listing/65-morton-street-unit-1hi-manhattan-ny-10014/4852271030720278465/view?agent_id=610d3f3370540700019b0833","65 Morton Street, Unit 1HI")</f>
        <v>65 Morton Street, Unit 1HI</v>
      </c>
      <c r="C5172" s="25" t="s">
        <v>370</v>
      </c>
      <c r="D5172" s="26" t="s">
        <v>23</v>
      </c>
      <c r="E5172" s="27" t="str">
        <f>HYPERLINK("https://www.compass.com/building/65-morton-st-manhattan-ny-10014/282065049390978901/","65 Morton St")</f>
        <v>65 Morton St</v>
      </c>
      <c r="F5172" s="25" t="s">
        <v>26</v>
      </c>
      <c r="G5172" s="28">
        <v>1460000.0</v>
      </c>
      <c r="H5172" s="29"/>
      <c r="I5172" s="28">
        <v>1565.0</v>
      </c>
      <c r="J5172" s="29"/>
      <c r="K5172" s="25" t="s">
        <v>25</v>
      </c>
      <c r="L5172" s="26">
        <v>5.0</v>
      </c>
      <c r="M5172" s="26">
        <v>2.0</v>
      </c>
      <c r="N5172" s="26">
        <v>0.0</v>
      </c>
      <c r="O5172" s="26">
        <v>0.0</v>
      </c>
      <c r="P5172" s="30"/>
      <c r="Q5172" s="35">
        <v>60.0</v>
      </c>
      <c r="R5172" s="32">
        <v>45636.0</v>
      </c>
      <c r="S5172" s="32">
        <v>41717.0</v>
      </c>
      <c r="T5172" s="29"/>
      <c r="U5172" s="33"/>
      <c r="V5172" s="1"/>
    </row>
    <row r="5173" ht="24.0" customHeight="1">
      <c r="A5173" s="1"/>
      <c r="B5173" s="24" t="str">
        <f>HYPERLINK("https://www.compass.com/listing/165-west-66th-street-unit-12w-manhattan-ny-10023/1419750389333435593/view?agent_id=610d3f3370540700019b0833","165 West 66th Street, Unit 12W")</f>
        <v>165 West 66th Street, Unit 12W</v>
      </c>
      <c r="C5173" s="25" t="s">
        <v>364</v>
      </c>
      <c r="D5173" s="26" t="s">
        <v>23</v>
      </c>
      <c r="E5173" s="27" t="str">
        <f>HYPERLINK("https://www.compass.com/building/lincoln-terrace-manhattan-ny/281957165508400581/","Lincoln Terrace")</f>
        <v>Lincoln Terrace</v>
      </c>
      <c r="F5173" s="25" t="s">
        <v>29</v>
      </c>
      <c r="G5173" s="28">
        <v>999000.0</v>
      </c>
      <c r="H5173" s="29"/>
      <c r="I5173" s="28">
        <v>2427.0</v>
      </c>
      <c r="J5173" s="28">
        <v>0.0</v>
      </c>
      <c r="K5173" s="25" t="s">
        <v>25</v>
      </c>
      <c r="L5173" s="26">
        <v>4.0</v>
      </c>
      <c r="M5173" s="26">
        <v>2.0</v>
      </c>
      <c r="N5173" s="26">
        <v>1.0</v>
      </c>
      <c r="O5173" s="26">
        <v>0.0</v>
      </c>
      <c r="P5173" s="30"/>
      <c r="Q5173" s="35">
        <v>222.0</v>
      </c>
      <c r="R5173" s="32">
        <v>45695.0</v>
      </c>
      <c r="S5173" s="32">
        <v>45210.0</v>
      </c>
      <c r="T5173" s="29"/>
      <c r="U5173" s="33"/>
      <c r="V5173" s="1"/>
    </row>
    <row r="5174" ht="24.0" customHeight="1">
      <c r="A5174" s="1"/>
      <c r="B5174" s="24" t="str">
        <f>HYPERLINK("https://www.compass.com/listing/10-plaza-street-east-unit-4g-brooklyn-ny-11238/744967903241232689/view?agent_id=610d3f3370540700019b0833","10 Plaza Street East, Unit 4G")</f>
        <v>10 Plaza Street East, Unit 4G</v>
      </c>
      <c r="C5174" s="25" t="s">
        <v>364</v>
      </c>
      <c r="D5174" s="26" t="s">
        <v>23</v>
      </c>
      <c r="E5174" s="27" t="str">
        <f>HYPERLINK("https://www.compass.com/building/10-plaza-st-e-brooklyn-ny-11238/293426255351586133/","10 Plaza St E")</f>
        <v>10 Plaza St E</v>
      </c>
      <c r="F5174" s="25" t="s">
        <v>39</v>
      </c>
      <c r="G5174" s="28">
        <v>849000.0</v>
      </c>
      <c r="H5174" s="28">
        <v>970.0</v>
      </c>
      <c r="I5174" s="28">
        <v>905.0</v>
      </c>
      <c r="J5174" s="29"/>
      <c r="K5174" s="25" t="s">
        <v>25</v>
      </c>
      <c r="L5174" s="26">
        <v>4.0</v>
      </c>
      <c r="M5174" s="26">
        <v>2.0</v>
      </c>
      <c r="N5174" s="26">
        <v>1.0</v>
      </c>
      <c r="O5174" s="26">
        <v>0.0</v>
      </c>
      <c r="P5174" s="26">
        <v>875.0</v>
      </c>
      <c r="Q5174" s="35">
        <v>68.0</v>
      </c>
      <c r="R5174" s="32">
        <v>45636.0</v>
      </c>
      <c r="S5174" s="32">
        <v>44391.0</v>
      </c>
      <c r="T5174" s="29"/>
      <c r="U5174" s="33"/>
      <c r="V5174" s="1"/>
    </row>
    <row r="5175" ht="24.0" customHeight="1">
      <c r="A5175" s="1"/>
      <c r="B5175" s="24" t="str">
        <f>HYPERLINK("https://www.compass.com/listing/213-west-23rd-street-unit-6s-manhattan-ny-10011/783278936179060337/view?agent_id=610d3f3370540700019b0833","213 West 23rd Street, Unit 6S")</f>
        <v>213 West 23rd Street, Unit 6S</v>
      </c>
      <c r="C5175" s="25" t="s">
        <v>364</v>
      </c>
      <c r="D5175" s="26" t="s">
        <v>23</v>
      </c>
      <c r="E5175" s="27" t="str">
        <f>HYPERLINK("https://www.compass.com/building/213-w-23rd-st-manhattan-ny-10011/281906855813338885/","213 W 23rd St")</f>
        <v>213 W 23rd St</v>
      </c>
      <c r="F5175" s="25" t="s">
        <v>27</v>
      </c>
      <c r="G5175" s="28">
        <v>5995000.0</v>
      </c>
      <c r="H5175" s="28">
        <v>1599.0</v>
      </c>
      <c r="I5175" s="28">
        <v>4300.0</v>
      </c>
      <c r="J5175" s="28">
        <v>36000.0</v>
      </c>
      <c r="K5175" s="25" t="s">
        <v>28</v>
      </c>
      <c r="L5175" s="26">
        <v>6.0</v>
      </c>
      <c r="M5175" s="26">
        <v>2.0</v>
      </c>
      <c r="N5175" s="26">
        <v>0.0</v>
      </c>
      <c r="O5175" s="26">
        <v>0.0</v>
      </c>
      <c r="P5175" s="34">
        <v>3750.0</v>
      </c>
      <c r="Q5175" s="35">
        <v>1333.0</v>
      </c>
      <c r="R5175" s="32">
        <v>45636.0</v>
      </c>
      <c r="S5175" s="32">
        <v>41545.0</v>
      </c>
      <c r="T5175" s="29"/>
      <c r="U5175" s="33"/>
      <c r="V5175" s="1"/>
    </row>
    <row r="5176" ht="24.0" customHeight="1">
      <c r="A5176" s="1"/>
      <c r="B5176" s="24" t="str">
        <f>HYPERLINK("https://www.compass.com/listing/200-east-16th-street-unit-11gh-manhattan-ny-10003/1216388126414538025/view?agent_id=610d3f3370540700019b0833","200 East 16th Street, Unit 11GH")</f>
        <v>200 East 16th Street, Unit 11GH</v>
      </c>
      <c r="C5176" s="25" t="s">
        <v>364</v>
      </c>
      <c r="D5176" s="26" t="s">
        <v>23</v>
      </c>
      <c r="E5176" s="27" t="str">
        <f>HYPERLINK("https://www.compass.com/building/200-east-owners-corp-manhattan-ny/292781037329589989/","200 East Owners Corp.")</f>
        <v>200 East Owners Corp.</v>
      </c>
      <c r="F5176" s="25" t="s">
        <v>48</v>
      </c>
      <c r="G5176" s="28">
        <v>1495000.0</v>
      </c>
      <c r="H5176" s="29"/>
      <c r="I5176" s="28">
        <v>2399.0</v>
      </c>
      <c r="J5176" s="28">
        <v>0.0</v>
      </c>
      <c r="K5176" s="25" t="s">
        <v>25</v>
      </c>
      <c r="L5176" s="26">
        <v>4.0</v>
      </c>
      <c r="M5176" s="26">
        <v>2.0</v>
      </c>
      <c r="N5176" s="30"/>
      <c r="O5176" s="30"/>
      <c r="P5176" s="30"/>
      <c r="Q5176" s="35">
        <v>29.0</v>
      </c>
      <c r="R5176" s="32">
        <v>44975.0</v>
      </c>
      <c r="S5176" s="32">
        <v>44929.0</v>
      </c>
      <c r="T5176" s="29"/>
      <c r="U5176" s="33"/>
      <c r="V5176" s="1"/>
    </row>
    <row r="5177" ht="24.0" customHeight="1">
      <c r="A5177" s="1"/>
      <c r="B5177" s="24" t="str">
        <f>HYPERLINK("https://www.compass.com/listing/340-west-19th-street-unit-20-manhattan-ny-10011/1838987858577628273/view?agent_id=610d3f3370540700019b0833","340 West 19th Street, Unit 20")</f>
        <v>340 West 19th Street, Unit 20</v>
      </c>
      <c r="C5177" s="25" t="s">
        <v>364</v>
      </c>
      <c r="D5177" s="26" t="s">
        <v>23</v>
      </c>
      <c r="E5177" s="27" t="str">
        <f t="shared" ref="E5177:E5178" si="239">HYPERLINK("https://www.compass.com/building/340-w-19th-st-manhattan-ny-10011/281909205378554757/","340 W 19th St")</f>
        <v>340 W 19th St</v>
      </c>
      <c r="F5177" s="25" t="s">
        <v>27</v>
      </c>
      <c r="G5177" s="28">
        <v>900000.0</v>
      </c>
      <c r="H5177" s="29"/>
      <c r="I5177" s="28">
        <v>1223.0</v>
      </c>
      <c r="J5177" s="29"/>
      <c r="K5177" s="25" t="s">
        <v>25</v>
      </c>
      <c r="L5177" s="26">
        <v>4.0</v>
      </c>
      <c r="M5177" s="26">
        <v>2.0</v>
      </c>
      <c r="N5177" s="26">
        <v>1.0</v>
      </c>
      <c r="O5177" s="26">
        <v>0.0</v>
      </c>
      <c r="P5177" s="30"/>
      <c r="Q5177" s="35">
        <v>153.0</v>
      </c>
      <c r="R5177" s="32">
        <v>44581.0</v>
      </c>
      <c r="S5177" s="32">
        <v>44285.0</v>
      </c>
      <c r="T5177" s="29"/>
      <c r="U5177" s="33"/>
      <c r="V5177" s="1"/>
    </row>
    <row r="5178" ht="24.0" customHeight="1">
      <c r="A5178" s="1"/>
      <c r="B5178" s="24" t="str">
        <f>HYPERLINK("https://www.compass.com/listing/340-west-19th-street-unit-5-manhattan-ny-10011/921975604458195873/view?agent_id=610d3f3370540700019b0833","340 W 19th St, Unit 5")</f>
        <v>340 W 19th St, Unit 5</v>
      </c>
      <c r="C5178" s="25" t="s">
        <v>364</v>
      </c>
      <c r="D5178" s="26" t="s">
        <v>23</v>
      </c>
      <c r="E5178" s="27" t="str">
        <f t="shared" si="239"/>
        <v>340 W 19th St</v>
      </c>
      <c r="F5178" s="25" t="s">
        <v>27</v>
      </c>
      <c r="G5178" s="28">
        <v>899000.0</v>
      </c>
      <c r="H5178" s="29"/>
      <c r="I5178" s="28">
        <v>1192.0</v>
      </c>
      <c r="J5178" s="29"/>
      <c r="K5178" s="25" t="s">
        <v>25</v>
      </c>
      <c r="L5178" s="30"/>
      <c r="M5178" s="26">
        <v>2.0</v>
      </c>
      <c r="N5178" s="30"/>
      <c r="O5178" s="30"/>
      <c r="P5178" s="30"/>
      <c r="Q5178" s="35">
        <v>3.0</v>
      </c>
      <c r="R5178" s="32">
        <v>42478.0</v>
      </c>
      <c r="S5178" s="32">
        <v>41016.0</v>
      </c>
      <c r="T5178" s="29"/>
      <c r="U5178" s="33"/>
      <c r="V5178" s="1"/>
    </row>
    <row r="5179" ht="24.0" customHeight="1">
      <c r="A5179" s="1"/>
      <c r="B5179" s="24" t="str">
        <f>HYPERLINK("https://www.compass.com/listing/102-east-22nd-street-unit-1ef-manhattan-ny-10010/921853098686653929/view?agent_id=610d3f3370540700019b0833","102 East 22nd Street, Unit 1EF")</f>
        <v>102 East 22nd Street, Unit 1EF</v>
      </c>
      <c r="C5179" s="25" t="s">
        <v>370</v>
      </c>
      <c r="D5179" s="26" t="s">
        <v>23</v>
      </c>
      <c r="E5179" s="27" t="str">
        <f>HYPERLINK("https://www.compass.com/building/102-e-22nd-st-manhattan-ny-10010/281901724015279637/","102 E 22nd St")</f>
        <v>102 E 22nd St</v>
      </c>
      <c r="F5179" s="25" t="s">
        <v>48</v>
      </c>
      <c r="G5179" s="28">
        <v>1725000.0</v>
      </c>
      <c r="H5179" s="29"/>
      <c r="I5179" s="28">
        <v>2115.0</v>
      </c>
      <c r="J5179" s="29"/>
      <c r="K5179" s="25" t="s">
        <v>25</v>
      </c>
      <c r="L5179" s="26">
        <v>5.0</v>
      </c>
      <c r="M5179" s="26">
        <v>2.0</v>
      </c>
      <c r="N5179" s="26">
        <v>0.0</v>
      </c>
      <c r="O5179" s="26">
        <v>0.0</v>
      </c>
      <c r="P5179" s="30"/>
      <c r="Q5179" s="35">
        <v>26.0</v>
      </c>
      <c r="R5179" s="32">
        <v>45636.0</v>
      </c>
      <c r="S5179" s="32">
        <v>42886.0</v>
      </c>
      <c r="T5179" s="29"/>
      <c r="U5179" s="33"/>
      <c r="V5179" s="1"/>
    </row>
    <row r="5180" ht="24.0" customHeight="1">
      <c r="A5180" s="1"/>
      <c r="B5180" s="24" t="str">
        <f>HYPERLINK("https://www.compass.com/listing/514-west-24th-street-unit-5e-manhattan-ny-10011/355709526222668529/view?agent_id=610d3f3370540700019b0833","514 West 24th Street, Unit 5E")</f>
        <v>514 West 24th Street, Unit 5E</v>
      </c>
      <c r="C5180" s="25" t="s">
        <v>364</v>
      </c>
      <c r="D5180" s="26" t="s">
        <v>23</v>
      </c>
      <c r="E5180" s="27" t="str">
        <f>HYPERLINK("https://www.compass.com/building/the-fitzroy-manhattan-ny/281911423242627685/","The Fitzroy")</f>
        <v>The Fitzroy</v>
      </c>
      <c r="F5180" s="25" t="s">
        <v>27</v>
      </c>
      <c r="G5180" s="28">
        <v>5500000.0</v>
      </c>
      <c r="H5180" s="28">
        <v>2415.0</v>
      </c>
      <c r="I5180" s="28">
        <v>5490.0</v>
      </c>
      <c r="J5180" s="28">
        <v>29868.0</v>
      </c>
      <c r="K5180" s="25" t="s">
        <v>28</v>
      </c>
      <c r="L5180" s="26">
        <v>4.0</v>
      </c>
      <c r="M5180" s="26">
        <v>2.0</v>
      </c>
      <c r="N5180" s="26">
        <v>0.0</v>
      </c>
      <c r="O5180" s="26">
        <v>0.0</v>
      </c>
      <c r="P5180" s="34">
        <v>2277.0</v>
      </c>
      <c r="Q5180" s="35">
        <v>537.0</v>
      </c>
      <c r="R5180" s="32">
        <v>44581.0</v>
      </c>
      <c r="S5180" s="32">
        <v>42448.0</v>
      </c>
      <c r="T5180" s="29"/>
      <c r="U5180" s="33"/>
      <c r="V5180" s="1"/>
    </row>
    <row r="5181" ht="24.0" customHeight="1">
      <c r="A5181" s="1"/>
      <c r="B5181" s="24" t="str">
        <f>HYPERLINK("https://www.compass.com/listing/45-east-22nd-street-unit-52b-manhattan-ny-10010/921212074364723953/view?agent_id=610d3f3370540700019b0833","45 East 22nd Street, Unit 52B")</f>
        <v>45 East 22nd Street, Unit 52B</v>
      </c>
      <c r="C5181" s="25" t="s">
        <v>364</v>
      </c>
      <c r="D5181" s="26" t="s">
        <v>23</v>
      </c>
      <c r="E5181" s="27" t="str">
        <f>HYPERLINK("https://www.compass.com/building/madison-square-park-tower-manhattan-ny/281903584482705973/","Madison Square Park Tower")</f>
        <v>Madison Square Park Tower</v>
      </c>
      <c r="F5181" s="25" t="s">
        <v>115</v>
      </c>
      <c r="G5181" s="28">
        <v>8425000.0</v>
      </c>
      <c r="H5181" s="28">
        <v>3874.0</v>
      </c>
      <c r="I5181" s="28">
        <v>8243.0</v>
      </c>
      <c r="J5181" s="28">
        <v>66192.0</v>
      </c>
      <c r="K5181" s="25" t="s">
        <v>28</v>
      </c>
      <c r="L5181" s="26">
        <v>4.0</v>
      </c>
      <c r="M5181" s="26">
        <v>2.0</v>
      </c>
      <c r="N5181" s="26">
        <v>0.0</v>
      </c>
      <c r="O5181" s="26">
        <v>0.0</v>
      </c>
      <c r="P5181" s="34">
        <v>2175.0</v>
      </c>
      <c r="Q5181" s="35">
        <v>59.0</v>
      </c>
      <c r="R5181" s="32">
        <v>44581.0</v>
      </c>
      <c r="S5181" s="32">
        <v>43328.0</v>
      </c>
      <c r="T5181" s="29"/>
      <c r="U5181" s="33"/>
      <c r="V5181" s="1"/>
    </row>
    <row r="5182" ht="24.0" customHeight="1">
      <c r="A5182" s="1"/>
      <c r="B5182" s="24" t="str">
        <f>HYPERLINK("https://www.compass.com/listing/444-west-19th-street-unit-703-manhattan-ny-10011/921074083440793905/view?agent_id=610d3f3370540700019b0833","444 West 19th Street, Unit 703")</f>
        <v>444 West 19th Street, Unit 703</v>
      </c>
      <c r="C5182" s="25" t="s">
        <v>364</v>
      </c>
      <c r="D5182" s="26" t="s">
        <v>23</v>
      </c>
      <c r="E5182" s="27" t="str">
        <f>HYPERLINK("https://www.compass.com/building/the-chelsea-club-manhattan-ny/281910522457120389/","The Chelsea Club")</f>
        <v>The Chelsea Club</v>
      </c>
      <c r="F5182" s="25" t="s">
        <v>27</v>
      </c>
      <c r="G5182" s="28">
        <v>3195000.0</v>
      </c>
      <c r="H5182" s="28">
        <v>2353.0</v>
      </c>
      <c r="I5182" s="28">
        <v>3207.0</v>
      </c>
      <c r="J5182" s="28">
        <v>14724.0</v>
      </c>
      <c r="K5182" s="25" t="s">
        <v>28</v>
      </c>
      <c r="L5182" s="26">
        <v>4.0</v>
      </c>
      <c r="M5182" s="26">
        <v>2.0</v>
      </c>
      <c r="N5182" s="26">
        <v>0.0</v>
      </c>
      <c r="O5182" s="26">
        <v>0.0</v>
      </c>
      <c r="P5182" s="34">
        <v>1358.0</v>
      </c>
      <c r="Q5182" s="35">
        <v>121.0</v>
      </c>
      <c r="R5182" s="32">
        <v>45636.0</v>
      </c>
      <c r="S5182" s="32">
        <v>42475.0</v>
      </c>
      <c r="T5182" s="29"/>
      <c r="U5182" s="33"/>
      <c r="V5182" s="1"/>
    </row>
    <row r="5183" ht="24.0" customHeight="1">
      <c r="A5183" s="1"/>
      <c r="B5183" s="24" t="str">
        <f>HYPERLINK("https://www.compass.com/listing/340-west-19th-street-unit-4-manhattan-ny-10011/714069612889913545/view?agent_id=610d3f3370540700019b0833","340 West 19th Street, Unit 4")</f>
        <v>340 West 19th Street, Unit 4</v>
      </c>
      <c r="C5183" s="25" t="s">
        <v>364</v>
      </c>
      <c r="D5183" s="26" t="s">
        <v>23</v>
      </c>
      <c r="E5183" s="27" t="str">
        <f>HYPERLINK("https://www.compass.com/building/340-w-19th-st-manhattan-ny-10011/281909205378554757/","340 W 19th St")</f>
        <v>340 W 19th St</v>
      </c>
      <c r="F5183" s="25" t="s">
        <v>27</v>
      </c>
      <c r="G5183" s="28">
        <v>875000.0</v>
      </c>
      <c r="H5183" s="29"/>
      <c r="I5183" s="28">
        <v>1629.0</v>
      </c>
      <c r="J5183" s="28">
        <v>7704.0</v>
      </c>
      <c r="K5183" s="25" t="s">
        <v>25</v>
      </c>
      <c r="L5183" s="30"/>
      <c r="M5183" s="26">
        <v>2.0</v>
      </c>
      <c r="N5183" s="30"/>
      <c r="O5183" s="30"/>
      <c r="P5183" s="30"/>
      <c r="Q5183" s="35">
        <v>42.0</v>
      </c>
      <c r="R5183" s="32">
        <v>44280.0</v>
      </c>
      <c r="S5183" s="32">
        <v>44237.0</v>
      </c>
      <c r="T5183" s="29"/>
      <c r="U5183" s="33"/>
      <c r="V5183" s="1"/>
    </row>
    <row r="5184" ht="24.0" customHeight="1">
      <c r="A5184" s="1"/>
      <c r="B5184" s="24" t="str">
        <f>HYPERLINK("https://www.compass.com/listing/322-west-22nd-street-unit-2-manhattan-ny-10011/1039171398590088577/view?agent_id=610d3f3370540700019b0833","322 West 22nd Street, Unit 2")</f>
        <v>322 West 22nd Street, Unit 2</v>
      </c>
      <c r="C5184" s="25" t="s">
        <v>364</v>
      </c>
      <c r="D5184" s="26" t="s">
        <v>23</v>
      </c>
      <c r="E5184" s="27" t="str">
        <f>HYPERLINK("https://www.compass.com/building/322-w-22nd-st-manhattan-ny-10011/281908747746435077/","322 W 22nd St")</f>
        <v>322 W 22nd St</v>
      </c>
      <c r="F5184" s="25" t="s">
        <v>27</v>
      </c>
      <c r="G5184" s="28">
        <v>1395000.0</v>
      </c>
      <c r="H5184" s="29"/>
      <c r="I5184" s="28">
        <v>1649.0</v>
      </c>
      <c r="J5184" s="29"/>
      <c r="K5184" s="25" t="s">
        <v>25</v>
      </c>
      <c r="L5184" s="26">
        <v>4.0</v>
      </c>
      <c r="M5184" s="26">
        <v>2.0</v>
      </c>
      <c r="N5184" s="26">
        <v>1.0</v>
      </c>
      <c r="O5184" s="26">
        <v>0.0</v>
      </c>
      <c r="P5184" s="30"/>
      <c r="Q5184" s="35">
        <v>157.0</v>
      </c>
      <c r="R5184" s="32">
        <v>45636.0</v>
      </c>
      <c r="S5184" s="32">
        <v>44685.0</v>
      </c>
      <c r="T5184" s="29"/>
      <c r="U5184" s="33"/>
      <c r="V5184" s="1"/>
    </row>
    <row r="5185" ht="24.0" customHeight="1">
      <c r="A5185" s="1"/>
      <c r="B5185" s="24" t="str">
        <f>HYPERLINK("https://www.compass.com/listing/290-powers-street-unit-ph-brooklyn-ny-11211/178201660768667441/view?agent_id=610d3f3370540700019b0833","290 Powers Street, Unit PH")</f>
        <v>290 Powers Street, Unit PH</v>
      </c>
      <c r="C5185" s="25" t="s">
        <v>364</v>
      </c>
      <c r="D5185" s="26" t="s">
        <v>23</v>
      </c>
      <c r="E5185" s="27" t="str">
        <f>HYPERLINK("https://www.compass.com/building/290-powers-street-brooklyn-ny/282394994482935541/","290 Powers Street")</f>
        <v>290 Powers Street</v>
      </c>
      <c r="F5185" s="25" t="s">
        <v>376</v>
      </c>
      <c r="G5185" s="28">
        <v>1299000.0</v>
      </c>
      <c r="H5185" s="28">
        <v>1284.0</v>
      </c>
      <c r="I5185" s="28">
        <v>738.0</v>
      </c>
      <c r="J5185" s="28">
        <v>5508.0</v>
      </c>
      <c r="K5185" s="25" t="s">
        <v>28</v>
      </c>
      <c r="L5185" s="26">
        <v>5.0</v>
      </c>
      <c r="M5185" s="26">
        <v>2.0</v>
      </c>
      <c r="N5185" s="30"/>
      <c r="O5185" s="30"/>
      <c r="P5185" s="34">
        <v>1012.0</v>
      </c>
      <c r="Q5185" s="35">
        <v>144.0</v>
      </c>
      <c r="R5185" s="32">
        <v>43644.0</v>
      </c>
      <c r="S5185" s="32">
        <v>43497.0</v>
      </c>
      <c r="T5185" s="29"/>
      <c r="U5185" s="33"/>
      <c r="V5185" s="1"/>
    </row>
    <row r="5186" ht="24.0" customHeight="1">
      <c r="A5186" s="1"/>
      <c r="B5186" s="24" t="str">
        <f>HYPERLINK("https://www.compass.com/listing/205-east-22nd-street-unit-4d-manhattan-ny-10010/344680553790880513/view?agent_id=610d3f3370540700019b0833","205 East 22nd Street, Unit 4D")</f>
        <v>205 East 22nd Street, Unit 4D</v>
      </c>
      <c r="C5186" s="25" t="s">
        <v>370</v>
      </c>
      <c r="D5186" s="26" t="s">
        <v>23</v>
      </c>
      <c r="E5186" s="27" t="str">
        <f>HYPERLINK("https://www.compass.com/building/the-gramercy-habitat-manhattan-ny/292796903920262021/","The Gramercy Habitat")</f>
        <v>The Gramercy Habitat</v>
      </c>
      <c r="F5186" s="25" t="s">
        <v>48</v>
      </c>
      <c r="G5186" s="28">
        <v>1695000.0</v>
      </c>
      <c r="H5186" s="28">
        <v>1627.0</v>
      </c>
      <c r="I5186" s="28">
        <v>2028.0</v>
      </c>
      <c r="J5186" s="28">
        <v>12444.0</v>
      </c>
      <c r="K5186" s="25" t="s">
        <v>28</v>
      </c>
      <c r="L5186" s="26">
        <v>4.0</v>
      </c>
      <c r="M5186" s="26">
        <v>2.0</v>
      </c>
      <c r="N5186" s="26">
        <v>1.0</v>
      </c>
      <c r="O5186" s="26">
        <v>0.0</v>
      </c>
      <c r="P5186" s="34">
        <v>1042.0</v>
      </c>
      <c r="Q5186" s="35">
        <v>168.0</v>
      </c>
      <c r="R5186" s="32">
        <v>45636.0</v>
      </c>
      <c r="S5186" s="32">
        <v>43727.0</v>
      </c>
      <c r="T5186" s="29"/>
      <c r="U5186" s="33"/>
      <c r="V5186" s="1"/>
    </row>
    <row r="5187" ht="24.0" customHeight="1">
      <c r="A5187" s="1"/>
      <c r="B5187" s="24" t="str">
        <f>HYPERLINK("https://www.compass.com/listing/349-west-21st-street-unit-c-manhattan-ny-10011/550765527508171393/view?agent_id=610d3f3370540700019b0833","349 West 21st Street, Unit C")</f>
        <v>349 West 21st Street, Unit C</v>
      </c>
      <c r="C5187" s="25" t="s">
        <v>364</v>
      </c>
      <c r="D5187" s="26" t="s">
        <v>23</v>
      </c>
      <c r="E5187" s="27" t="str">
        <f>HYPERLINK("https://www.compass.com/building/349-west-21st-street-manhattan-ny/281909453463249541/","349 West 21st Street")</f>
        <v>349 West 21st Street</v>
      </c>
      <c r="F5187" s="25" t="s">
        <v>27</v>
      </c>
      <c r="G5187" s="28">
        <v>1095000.0</v>
      </c>
      <c r="H5187" s="29"/>
      <c r="I5187" s="28">
        <v>1211.0</v>
      </c>
      <c r="J5187" s="29"/>
      <c r="K5187" s="25" t="s">
        <v>25</v>
      </c>
      <c r="L5187" s="26">
        <v>4.0</v>
      </c>
      <c r="M5187" s="26">
        <v>2.0</v>
      </c>
      <c r="N5187" s="26">
        <v>0.0</v>
      </c>
      <c r="O5187" s="26">
        <v>0.0</v>
      </c>
      <c r="P5187" s="30"/>
      <c r="Q5187" s="35">
        <v>74.0</v>
      </c>
      <c r="R5187" s="32">
        <v>45636.0</v>
      </c>
      <c r="S5187" s="32">
        <v>41304.0</v>
      </c>
      <c r="T5187" s="29"/>
      <c r="U5187" s="33"/>
      <c r="V5187" s="1"/>
    </row>
    <row r="5188" ht="24.0" customHeight="1">
      <c r="A5188" s="1"/>
      <c r="B5188" s="24" t="str">
        <f>HYPERLINK("https://www.compass.com/listing/65-central-park-west-unit-7a-manhattan-ny-10023/1809601179697506449/view?agent_id=610d3f3370540700019b0833","65 Central Park West, Unit 7A")</f>
        <v>65 Central Park West, Unit 7A</v>
      </c>
      <c r="C5188" s="25" t="s">
        <v>370</v>
      </c>
      <c r="D5188" s="26" t="s">
        <v>23</v>
      </c>
      <c r="E5188" s="27" t="str">
        <f>HYPERLINK("https://www.compass.com/building/65-central-park-w-manhattan-ny-10023/281961203608135637/","65 Central Park W")</f>
        <v>65 Central Park W</v>
      </c>
      <c r="F5188" s="25" t="s">
        <v>29</v>
      </c>
      <c r="G5188" s="28">
        <v>2295000.0</v>
      </c>
      <c r="H5188" s="29"/>
      <c r="I5188" s="28">
        <v>2343.0</v>
      </c>
      <c r="J5188" s="29"/>
      <c r="K5188" s="25" t="s">
        <v>25</v>
      </c>
      <c r="L5188" s="26">
        <v>4.0</v>
      </c>
      <c r="M5188" s="26">
        <v>2.0</v>
      </c>
      <c r="N5188" s="26">
        <v>0.0</v>
      </c>
      <c r="O5188" s="26">
        <v>0.0</v>
      </c>
      <c r="P5188" s="30"/>
      <c r="Q5188" s="35">
        <v>19.0</v>
      </c>
      <c r="R5188" s="32">
        <v>45636.0</v>
      </c>
      <c r="S5188" s="32">
        <v>42859.0</v>
      </c>
      <c r="T5188" s="29"/>
      <c r="U5188" s="33"/>
      <c r="V5188" s="1"/>
    </row>
    <row r="5189" ht="24.0" customHeight="1">
      <c r="A5189" s="1"/>
      <c r="B5189" s="24" t="str">
        <f>HYPERLINK("https://www.compass.com/listing/18-east-12th-street-unit-2d-manhattan-ny-10003/323073630120370641/view?agent_id=610d3f3370540700019b0833","18 East 12th Street, Unit 2D")</f>
        <v>18 East 12th Street, Unit 2D</v>
      </c>
      <c r="C5189" s="25" t="s">
        <v>364</v>
      </c>
      <c r="D5189" s="26" t="s">
        <v>23</v>
      </c>
      <c r="E5189" s="27" t="str">
        <f>HYPERLINK("https://www.compass.com/building/18-e-12th-st-manhattan-ny-10003/292781080119878917/","18 E 12th St")</f>
        <v>18 E 12th St</v>
      </c>
      <c r="F5189" s="25" t="s">
        <v>43</v>
      </c>
      <c r="G5189" s="28">
        <v>1900000.0</v>
      </c>
      <c r="H5189" s="28">
        <v>1583.0</v>
      </c>
      <c r="I5189" s="28">
        <v>2173.0</v>
      </c>
      <c r="J5189" s="28">
        <v>16296.0</v>
      </c>
      <c r="K5189" s="25" t="s">
        <v>28</v>
      </c>
      <c r="L5189" s="26">
        <v>4.0</v>
      </c>
      <c r="M5189" s="26">
        <v>2.0</v>
      </c>
      <c r="N5189" s="26">
        <v>0.0</v>
      </c>
      <c r="O5189" s="26">
        <v>0.0</v>
      </c>
      <c r="P5189" s="34">
        <v>1200.0</v>
      </c>
      <c r="Q5189" s="35">
        <v>245.0</v>
      </c>
      <c r="R5189" s="32">
        <v>44581.0</v>
      </c>
      <c r="S5189" s="32">
        <v>41775.0</v>
      </c>
      <c r="T5189" s="29"/>
      <c r="U5189" s="33"/>
      <c r="V5189" s="1"/>
    </row>
    <row r="5190" ht="24.0" customHeight="1">
      <c r="A5190" s="1"/>
      <c r="B5190" s="24" t="str">
        <f>HYPERLINK("https://www.compass.com/listing/525-west-22nd-street-unit-4b-manhattan-ny-10011/78967492772422401/view?agent_id=610d3f3370540700019b0833","525 W 22nd St, Unit 4B")</f>
        <v>525 W 22nd St, Unit 4B</v>
      </c>
      <c r="C5190" s="25" t="s">
        <v>364</v>
      </c>
      <c r="D5190" s="26" t="s">
        <v>23</v>
      </c>
      <c r="E5190" s="27" t="str">
        <f>HYPERLINK("https://www.compass.com/building/the-spears-building-manhattan-ny/281911579581113413/","The Spears Building")</f>
        <v>The Spears Building</v>
      </c>
      <c r="F5190" s="25" t="s">
        <v>27</v>
      </c>
      <c r="G5190" s="28">
        <v>2330000.0</v>
      </c>
      <c r="H5190" s="28">
        <v>1942.0</v>
      </c>
      <c r="I5190" s="28">
        <v>1829.0</v>
      </c>
      <c r="J5190" s="28">
        <v>10188.0</v>
      </c>
      <c r="K5190" s="25" t="s">
        <v>28</v>
      </c>
      <c r="L5190" s="26">
        <v>4.0</v>
      </c>
      <c r="M5190" s="26">
        <v>2.0</v>
      </c>
      <c r="N5190" s="30"/>
      <c r="O5190" s="30"/>
      <c r="P5190" s="34">
        <v>1200.0</v>
      </c>
      <c r="Q5190" s="35">
        <v>15.0</v>
      </c>
      <c r="R5190" s="32">
        <v>42478.0</v>
      </c>
      <c r="S5190" s="32">
        <v>41116.0</v>
      </c>
      <c r="T5190" s="29"/>
      <c r="U5190" s="33"/>
      <c r="V5190" s="1"/>
    </row>
    <row r="5191" ht="24.0" customHeight="1">
      <c r="A5191" s="1"/>
      <c r="B5191" s="24" t="str">
        <f>HYPERLINK("https://www.compass.com/listing/423-atlantic-avenue-unit-4c-brooklyn-ny-11217/1044570109988187505/view?agent_id=610d3f3370540700019b0833","423 Atlantic Avenue, Unit 4C")</f>
        <v>423 Atlantic Avenue, Unit 4C</v>
      </c>
      <c r="C5191" s="25" t="s">
        <v>364</v>
      </c>
      <c r="D5191" s="26" t="s">
        <v>23</v>
      </c>
      <c r="E5191" s="27" t="str">
        <f>HYPERLINK("https://www.compass.com/building/exlax-building-brooklyn-ny/282504642716322325/","ExLax Building")</f>
        <v>ExLax Building</v>
      </c>
      <c r="F5191" s="25" t="s">
        <v>102</v>
      </c>
      <c r="G5191" s="28">
        <v>1395000.0</v>
      </c>
      <c r="H5191" s="29"/>
      <c r="I5191" s="28">
        <v>1722.0</v>
      </c>
      <c r="J5191" s="29"/>
      <c r="K5191" s="25" t="s">
        <v>25</v>
      </c>
      <c r="L5191" s="26">
        <v>5.0</v>
      </c>
      <c r="M5191" s="26">
        <v>2.0</v>
      </c>
      <c r="N5191" s="26">
        <v>1.0</v>
      </c>
      <c r="O5191" s="26">
        <v>0.0</v>
      </c>
      <c r="P5191" s="30"/>
      <c r="Q5191" s="35">
        <v>114.0</v>
      </c>
      <c r="R5191" s="32">
        <v>45636.0</v>
      </c>
      <c r="S5191" s="32">
        <v>44693.0</v>
      </c>
      <c r="T5191" s="29"/>
      <c r="U5191" s="33"/>
      <c r="V5191" s="1"/>
    </row>
    <row r="5192" ht="24.0" customHeight="1">
      <c r="A5192" s="1"/>
      <c r="B5192" s="24" t="str">
        <f>HYPERLINK("https://www.compass.com/listing/735-east-9th-street-unit-1f-manhattan-ny-10009/4703676501831218369/view?agent_id=610d3f3370540700019b0833","735 E 9th St, Unit 1F")</f>
        <v>735 E 9th St, Unit 1F</v>
      </c>
      <c r="C5192" s="25" t="s">
        <v>364</v>
      </c>
      <c r="D5192" s="26" t="s">
        <v>23</v>
      </c>
      <c r="E5192" s="27" t="str">
        <f>HYPERLINK("https://www.compass.com/building/735-e-9th-st-manhattan-ny-10009/281901448424340741/","735 E 9th St")</f>
        <v>735 E 9th St</v>
      </c>
      <c r="F5192" s="25" t="s">
        <v>24</v>
      </c>
      <c r="G5192" s="28">
        <v>849000.0</v>
      </c>
      <c r="H5192" s="28">
        <v>354.0</v>
      </c>
      <c r="I5192" s="28">
        <v>692.0</v>
      </c>
      <c r="J5192" s="29"/>
      <c r="K5192" s="25" t="s">
        <v>25</v>
      </c>
      <c r="L5192" s="26">
        <v>3.0</v>
      </c>
      <c r="M5192" s="26">
        <v>2.0</v>
      </c>
      <c r="N5192" s="30"/>
      <c r="O5192" s="30"/>
      <c r="P5192" s="34">
        <v>2400.0</v>
      </c>
      <c r="Q5192" s="35">
        <v>21.0</v>
      </c>
      <c r="R5192" s="32">
        <v>42475.0</v>
      </c>
      <c r="S5192" s="32">
        <v>37819.0</v>
      </c>
      <c r="T5192" s="29"/>
      <c r="U5192" s="33"/>
      <c r="V5192" s="1"/>
    </row>
    <row r="5193" ht="24.0" customHeight="1">
      <c r="A5193" s="1"/>
      <c r="B5193" s="24" t="str">
        <f>HYPERLINK("https://www.compass.com/listing/49-chambers-street-unit-11b-manhattan-ny-10007/1248189848234472265/view?agent_id=610d3f3370540700019b0833","49 Chambers Street, Unit 11B")</f>
        <v>49 Chambers Street, Unit 11B</v>
      </c>
      <c r="C5193" s="25" t="s">
        <v>364</v>
      </c>
      <c r="D5193" s="26" t="s">
        <v>23</v>
      </c>
      <c r="E5193" s="27" t="str">
        <f>HYPERLINK("https://www.compass.com/building/49-chambers-manhattan-ny/282058733280852725/","49 Chambers")</f>
        <v>49 Chambers</v>
      </c>
      <c r="F5193" s="25" t="s">
        <v>60</v>
      </c>
      <c r="G5193" s="28">
        <v>2890000.0</v>
      </c>
      <c r="H5193" s="28">
        <v>1651.0</v>
      </c>
      <c r="I5193" s="28">
        <v>3725.0</v>
      </c>
      <c r="J5193" s="28">
        <v>29880.0</v>
      </c>
      <c r="K5193" s="25" t="s">
        <v>28</v>
      </c>
      <c r="L5193" s="30"/>
      <c r="M5193" s="26">
        <v>2.0</v>
      </c>
      <c r="N5193" s="30"/>
      <c r="O5193" s="30"/>
      <c r="P5193" s="34">
        <v>1750.0</v>
      </c>
      <c r="Q5193" s="35">
        <v>18.0</v>
      </c>
      <c r="R5193" s="32">
        <v>45005.0</v>
      </c>
      <c r="S5193" s="32">
        <v>43932.0</v>
      </c>
      <c r="T5193" s="29"/>
      <c r="U5193" s="33"/>
      <c r="V5193" s="1"/>
    </row>
    <row r="5194" ht="24.0" customHeight="1">
      <c r="A5194" s="1"/>
      <c r="B5194" s="24" t="str">
        <f>HYPERLINK("https://www.compass.com/listing/87-east-2nd-street-unit-1b-manhattan-ny-10003/1174239207256586849/view?agent_id=610d3f3370540700019b0833","87 East 2nd Street, Unit 1B")</f>
        <v>87 East 2nd Street, Unit 1B</v>
      </c>
      <c r="C5194" s="25" t="s">
        <v>364</v>
      </c>
      <c r="D5194" s="26" t="s">
        <v>23</v>
      </c>
      <c r="E5194" s="27" t="str">
        <f>HYPERLINK("https://www.compass.com/building/87-e-2nd-st-manhattan-ny-10003/292783446655249717/","87 E 2nd St")</f>
        <v>87 E 2nd St</v>
      </c>
      <c r="F5194" s="25" t="s">
        <v>24</v>
      </c>
      <c r="G5194" s="28">
        <v>1550000.0</v>
      </c>
      <c r="H5194" s="28">
        <v>1348.0</v>
      </c>
      <c r="I5194" s="28">
        <v>1784.0</v>
      </c>
      <c r="J5194" s="29"/>
      <c r="K5194" s="25" t="s">
        <v>25</v>
      </c>
      <c r="L5194" s="26">
        <v>4.0</v>
      </c>
      <c r="M5194" s="26">
        <v>2.0</v>
      </c>
      <c r="N5194" s="26">
        <v>1.0</v>
      </c>
      <c r="O5194" s="26">
        <v>0.0</v>
      </c>
      <c r="P5194" s="34">
        <v>1150.0</v>
      </c>
      <c r="Q5194" s="35">
        <v>120.0</v>
      </c>
      <c r="R5194" s="32">
        <v>45636.0</v>
      </c>
      <c r="S5194" s="32">
        <v>44871.0</v>
      </c>
      <c r="T5194" s="29"/>
      <c r="U5194" s="33"/>
      <c r="V5194" s="1"/>
    </row>
    <row r="5195" ht="24.0" customHeight="1">
      <c r="A5195" s="1"/>
      <c r="B5195" s="24" t="str">
        <f>HYPERLINK("https://www.compass.com/listing/450-west-17th-street-unit-1103-manhattan-ny-10011/29369882625821457/view?agent_id=610d3f3370540700019b0833","450 West 17th Street, Unit 1103")</f>
        <v>450 West 17th Street, Unit 1103</v>
      </c>
      <c r="C5195" s="25" t="s">
        <v>364</v>
      </c>
      <c r="D5195" s="26" t="s">
        <v>23</v>
      </c>
      <c r="E5195" s="27" t="str">
        <f>HYPERLINK("https://www.compass.com/building/the-caledonia-manhattan-ny/281910674349645621/","The Caledonia")</f>
        <v>The Caledonia</v>
      </c>
      <c r="F5195" s="25" t="s">
        <v>27</v>
      </c>
      <c r="G5195" s="28">
        <v>2295000.0</v>
      </c>
      <c r="H5195" s="28">
        <v>2421.0</v>
      </c>
      <c r="I5195" s="28">
        <v>1350.0</v>
      </c>
      <c r="J5195" s="28">
        <v>4896.0</v>
      </c>
      <c r="K5195" s="25" t="s">
        <v>28</v>
      </c>
      <c r="L5195" s="26">
        <v>4.0</v>
      </c>
      <c r="M5195" s="26">
        <v>2.0</v>
      </c>
      <c r="N5195" s="26">
        <v>0.0</v>
      </c>
      <c r="O5195" s="26">
        <v>0.0</v>
      </c>
      <c r="P5195" s="26">
        <v>948.0</v>
      </c>
      <c r="Q5195" s="35">
        <v>114.0</v>
      </c>
      <c r="R5195" s="32">
        <v>45636.0</v>
      </c>
      <c r="S5195" s="32">
        <v>42156.0</v>
      </c>
      <c r="T5195" s="29"/>
      <c r="U5195" s="33"/>
      <c r="V5195" s="1"/>
    </row>
    <row r="5196" ht="24.0" customHeight="1">
      <c r="A5196" s="1"/>
      <c r="B5196" s="24" t="str">
        <f>HYPERLINK("https://www.compass.com/listing/8-thomas-street-unit-1-manhattan-ny-10007/920787522670162097/view?agent_id=610d3f3370540700019b0833","8 Thomas Street, Unit 1")</f>
        <v>8 Thomas Street, Unit 1</v>
      </c>
      <c r="C5196" s="25" t="s">
        <v>364</v>
      </c>
      <c r="D5196" s="26" t="s">
        <v>23</v>
      </c>
      <c r="E5196" s="27" t="str">
        <f>HYPERLINK("https://www.compass.com/building/david-s-brown-store-manhattan-ny/281897175544243637/","DAVID S. BROWN STORE")</f>
        <v>DAVID S. BROWN STORE</v>
      </c>
      <c r="F5196" s="25" t="s">
        <v>60</v>
      </c>
      <c r="G5196" s="28">
        <v>2945000.0</v>
      </c>
      <c r="H5196" s="28">
        <v>1016.0</v>
      </c>
      <c r="I5196" s="28">
        <v>3606.0</v>
      </c>
      <c r="J5196" s="28">
        <v>23544.0</v>
      </c>
      <c r="K5196" s="25" t="s">
        <v>28</v>
      </c>
      <c r="L5196" s="26">
        <v>4.0</v>
      </c>
      <c r="M5196" s="26">
        <v>2.0</v>
      </c>
      <c r="N5196" s="26">
        <v>0.0</v>
      </c>
      <c r="O5196" s="26">
        <v>0.0</v>
      </c>
      <c r="P5196" s="34">
        <v>2900.0</v>
      </c>
      <c r="Q5196" s="35">
        <v>103.0</v>
      </c>
      <c r="R5196" s="32">
        <v>44581.0</v>
      </c>
      <c r="S5196" s="32">
        <v>43049.0</v>
      </c>
      <c r="T5196" s="29"/>
      <c r="U5196" s="33"/>
      <c r="V5196" s="1"/>
    </row>
    <row r="5197" ht="24.0" customHeight="1">
      <c r="A5197" s="1"/>
      <c r="B5197" s="24" t="str">
        <f>HYPERLINK("https://www.compass.com/listing/250-west-16th-street-unit-2a-manhattan-ny-10011/1838986177349362817/view?agent_id=610d3f3370540700019b0833","250 West 16th Street, Unit 2A")</f>
        <v>250 West 16th Street, Unit 2A</v>
      </c>
      <c r="C5197" s="25" t="s">
        <v>364</v>
      </c>
      <c r="D5197" s="26" t="s">
        <v>23</v>
      </c>
      <c r="E5197" s="27" t="str">
        <f t="shared" ref="E5197:E5198" si="240">HYPERLINK("https://www.compass.com/building/250-w-16th-st-manhattan-ny-10011/292803072139226981/","250 W 16th St")</f>
        <v>250 W 16th St</v>
      </c>
      <c r="F5197" s="25" t="s">
        <v>27</v>
      </c>
      <c r="G5197" s="28">
        <v>850000.0</v>
      </c>
      <c r="H5197" s="28">
        <v>850.0</v>
      </c>
      <c r="I5197" s="28">
        <v>1370.0</v>
      </c>
      <c r="J5197" s="29"/>
      <c r="K5197" s="25" t="s">
        <v>25</v>
      </c>
      <c r="L5197" s="26">
        <v>4.0</v>
      </c>
      <c r="M5197" s="26">
        <v>2.0</v>
      </c>
      <c r="N5197" s="26">
        <v>0.0</v>
      </c>
      <c r="O5197" s="26">
        <v>0.0</v>
      </c>
      <c r="P5197" s="34">
        <v>1000.0</v>
      </c>
      <c r="Q5197" s="35">
        <v>3396.0</v>
      </c>
      <c r="R5197" s="32">
        <v>44581.0</v>
      </c>
      <c r="S5197" s="32">
        <v>41185.0</v>
      </c>
      <c r="T5197" s="29"/>
      <c r="U5197" s="33"/>
      <c r="V5197" s="1"/>
    </row>
    <row r="5198" ht="24.0" customHeight="1">
      <c r="A5198" s="1"/>
      <c r="B5198" s="24" t="str">
        <f>HYPERLINK("https://www.compass.com/listing/250-west-16th-street-unit-2a-manhattan-ny-10011/192565461353796481/view?agent_id=610d3f3370540700019b0833","250 West 16th Street, Unit 2A")</f>
        <v>250 West 16th Street, Unit 2A</v>
      </c>
      <c r="C5198" s="25" t="s">
        <v>370</v>
      </c>
      <c r="D5198" s="26" t="s">
        <v>23</v>
      </c>
      <c r="E5198" s="27" t="str">
        <f t="shared" si="240"/>
        <v>250 W 16th St</v>
      </c>
      <c r="F5198" s="25" t="s">
        <v>27</v>
      </c>
      <c r="G5198" s="28">
        <v>965000.0</v>
      </c>
      <c r="H5198" s="28">
        <v>965.0</v>
      </c>
      <c r="I5198" s="28">
        <v>1370.0</v>
      </c>
      <c r="J5198" s="29"/>
      <c r="K5198" s="25" t="s">
        <v>25</v>
      </c>
      <c r="L5198" s="26">
        <v>4.0</v>
      </c>
      <c r="M5198" s="26">
        <v>2.0</v>
      </c>
      <c r="N5198" s="26">
        <v>0.0</v>
      </c>
      <c r="O5198" s="26">
        <v>0.0</v>
      </c>
      <c r="P5198" s="34">
        <v>1000.0</v>
      </c>
      <c r="Q5198" s="35">
        <v>0.0</v>
      </c>
      <c r="R5198" s="32">
        <v>44581.0</v>
      </c>
      <c r="S5198" s="32">
        <v>41538.0</v>
      </c>
      <c r="T5198" s="29"/>
      <c r="U5198" s="33"/>
      <c r="V5198" s="1"/>
    </row>
    <row r="5199" ht="24.0" customHeight="1">
      <c r="A5199" s="1"/>
      <c r="B5199" s="24" t="str">
        <f>HYPERLINK("https://www.compass.com/listing/312-east-22nd-street-unit-phc-manhattan-ny-10010/29381937734933633/view?agent_id=610d3f3370540700019b0833","312 East 22nd Street, Unit PHC")</f>
        <v>312 East 22nd Street, Unit PHC</v>
      </c>
      <c r="C5199" s="25" t="s">
        <v>364</v>
      </c>
      <c r="D5199" s="26" t="s">
        <v>23</v>
      </c>
      <c r="E5199" s="27" t="str">
        <f>HYPERLINK("https://www.compass.com/building/312-e-22nd-st-manhattan-ny-10010/281902839591092261/","312 E 22nd St")</f>
        <v>312 E 22nd St</v>
      </c>
      <c r="F5199" s="25" t="s">
        <v>48</v>
      </c>
      <c r="G5199" s="28">
        <v>2995000.0</v>
      </c>
      <c r="H5199" s="28">
        <v>1590.0</v>
      </c>
      <c r="I5199" s="28">
        <v>2963.0</v>
      </c>
      <c r="J5199" s="28">
        <v>22944.0</v>
      </c>
      <c r="K5199" s="25" t="s">
        <v>28</v>
      </c>
      <c r="L5199" s="26">
        <v>6.0</v>
      </c>
      <c r="M5199" s="26">
        <v>2.0</v>
      </c>
      <c r="N5199" s="26">
        <v>0.0</v>
      </c>
      <c r="O5199" s="26">
        <v>0.0</v>
      </c>
      <c r="P5199" s="34">
        <v>1884.0</v>
      </c>
      <c r="Q5199" s="35">
        <v>567.0</v>
      </c>
      <c r="R5199" s="32">
        <v>45636.0</v>
      </c>
      <c r="S5199" s="32">
        <v>42310.0</v>
      </c>
      <c r="T5199" s="29"/>
      <c r="U5199" s="33"/>
      <c r="V5199" s="1"/>
    </row>
    <row r="5200" ht="24.0" customHeight="1">
      <c r="A5200" s="1"/>
      <c r="B5200" s="24" t="str">
        <f>HYPERLINK("https://www.compass.com/listing/224-west-18th-street-unit-6a-manhattan-ny-10011/29371937885090273/view?agent_id=610d3f3370540700019b0833","224 West 18th Street, Unit 6A")</f>
        <v>224 West 18th Street, Unit 6A</v>
      </c>
      <c r="C5200" s="25" t="s">
        <v>370</v>
      </c>
      <c r="D5200" s="26" t="s">
        <v>23</v>
      </c>
      <c r="E5200" s="27" t="str">
        <f>HYPERLINK("https://www.compass.com/building/224-w-18th-st-manhattan-ny-10011/281907146176616581/","224 W 18th St")</f>
        <v>224 W 18th St</v>
      </c>
      <c r="F5200" s="25" t="s">
        <v>27</v>
      </c>
      <c r="G5200" s="28">
        <v>2585000.0</v>
      </c>
      <c r="H5200" s="28">
        <v>1385.0</v>
      </c>
      <c r="I5200" s="28">
        <v>2252.0</v>
      </c>
      <c r="J5200" s="28">
        <v>8652.0</v>
      </c>
      <c r="K5200" s="25" t="s">
        <v>28</v>
      </c>
      <c r="L5200" s="26">
        <v>5.0</v>
      </c>
      <c r="M5200" s="26">
        <v>2.0</v>
      </c>
      <c r="N5200" s="26">
        <v>0.0</v>
      </c>
      <c r="O5200" s="26">
        <v>0.0</v>
      </c>
      <c r="P5200" s="34">
        <v>1866.0</v>
      </c>
      <c r="Q5200" s="35">
        <v>0.0</v>
      </c>
      <c r="R5200" s="32">
        <v>44581.0</v>
      </c>
      <c r="S5200" s="32">
        <v>41538.0</v>
      </c>
      <c r="T5200" s="29"/>
      <c r="U5200" s="33"/>
      <c r="V5200" s="1"/>
    </row>
    <row r="5201" ht="24.0" customHeight="1">
      <c r="A5201" s="1"/>
      <c r="B5201" s="24" t="str">
        <f>HYPERLINK("https://www.compass.com/listing/8-st-lukes-place-manhattan-ny-10014/4852273958713563233/view?agent_id=610d3f3370540700019b0833","8 St Lukes Place")</f>
        <v>8 St Lukes Place</v>
      </c>
      <c r="C5201" s="25" t="s">
        <v>370</v>
      </c>
      <c r="D5201" s="26" t="s">
        <v>23</v>
      </c>
      <c r="E5201" s="27" t="str">
        <f>HYPERLINK("https://www.compass.com/building/8-st-lukes-pl-manhattan-ny-10014/298446527256857253/","8 St Lukes Pl")</f>
        <v>8 St Lukes Pl</v>
      </c>
      <c r="F5201" s="25" t="s">
        <v>26</v>
      </c>
      <c r="G5201" s="28">
        <v>1.6E7</v>
      </c>
      <c r="H5201" s="28">
        <v>3200.0</v>
      </c>
      <c r="I5201" s="28">
        <v>0.0</v>
      </c>
      <c r="J5201" s="29"/>
      <c r="K5201" s="25" t="s">
        <v>159</v>
      </c>
      <c r="L5201" s="26">
        <v>0.0</v>
      </c>
      <c r="M5201" s="26">
        <v>2.0</v>
      </c>
      <c r="N5201" s="26">
        <v>0.0</v>
      </c>
      <c r="O5201" s="26">
        <v>0.0</v>
      </c>
      <c r="P5201" s="34">
        <v>5000.0</v>
      </c>
      <c r="Q5201" s="35">
        <v>547.0</v>
      </c>
      <c r="R5201" s="32">
        <v>45636.0</v>
      </c>
      <c r="S5201" s="32">
        <v>42108.0</v>
      </c>
      <c r="T5201" s="29"/>
      <c r="U5201" s="33"/>
      <c r="V5201" s="1"/>
    </row>
    <row r="5202" ht="24.0" customHeight="1">
      <c r="A5202" s="1"/>
      <c r="B5202" s="24" t="str">
        <f>HYPERLINK("https://www.compass.com/listing/19-park-place-unit-17a-manhattan-ny-10007/4866904239017825361/view?agent_id=610d3f3370540700019b0833","19 Park Place, Unit 17A")</f>
        <v>19 Park Place, Unit 17A</v>
      </c>
      <c r="C5202" s="25" t="s">
        <v>364</v>
      </c>
      <c r="D5202" s="26" t="s">
        <v>23</v>
      </c>
      <c r="E5202" s="27" t="str">
        <f>HYPERLINK("https://www.compass.com/building/19-park-pl-manhattan-ny-10007/281896755719580821/","19 Park Pl")</f>
        <v>19 Park Pl</v>
      </c>
      <c r="F5202" s="25" t="s">
        <v>60</v>
      </c>
      <c r="G5202" s="28">
        <v>3350000.0</v>
      </c>
      <c r="H5202" s="28">
        <v>2507.0</v>
      </c>
      <c r="I5202" s="28">
        <v>3200.0</v>
      </c>
      <c r="J5202" s="28">
        <v>14400.0</v>
      </c>
      <c r="K5202" s="25" t="s">
        <v>28</v>
      </c>
      <c r="L5202" s="26">
        <v>4.0</v>
      </c>
      <c r="M5202" s="26">
        <v>2.0</v>
      </c>
      <c r="N5202" s="26">
        <v>0.0</v>
      </c>
      <c r="O5202" s="26">
        <v>0.0</v>
      </c>
      <c r="P5202" s="34">
        <v>1336.0</v>
      </c>
      <c r="Q5202" s="35">
        <v>85.0</v>
      </c>
      <c r="R5202" s="32">
        <v>44581.0</v>
      </c>
      <c r="S5202" s="32">
        <v>42871.0</v>
      </c>
      <c r="T5202" s="29"/>
      <c r="U5202" s="33"/>
      <c r="V5202" s="1"/>
    </row>
    <row r="5203" ht="24.0" customHeight="1">
      <c r="A5203" s="1"/>
      <c r="B5203" s="24" t="str">
        <f>HYPERLINK("https://www.compass.com/listing/69-west-9th-street-unit-6f-manhattan-ny-10011/29365872678221137/view?agent_id=610d3f3370540700019b0833","69 W 9th St, Unit 6F")</f>
        <v>69 W 9th St, Unit 6F</v>
      </c>
      <c r="C5203" s="25" t="s">
        <v>364</v>
      </c>
      <c r="D5203" s="26" t="s">
        <v>23</v>
      </c>
      <c r="E5203" s="27" t="str">
        <f t="shared" ref="E5203:E5204" si="241">HYPERLINK("https://www.compass.com/building/69-w-9th-st-manhattan-ny-10011/282061360903261253/","69 W 9th St")</f>
        <v>69 W 9th St</v>
      </c>
      <c r="F5203" s="25" t="s">
        <v>43</v>
      </c>
      <c r="G5203" s="28">
        <v>950000.0</v>
      </c>
      <c r="H5203" s="29"/>
      <c r="I5203" s="29"/>
      <c r="J5203" s="29"/>
      <c r="K5203" s="25" t="s">
        <v>25</v>
      </c>
      <c r="L5203" s="26">
        <v>4.0</v>
      </c>
      <c r="M5203" s="26">
        <v>2.0</v>
      </c>
      <c r="N5203" s="30"/>
      <c r="O5203" s="30"/>
      <c r="P5203" s="30"/>
      <c r="Q5203" s="35">
        <v>182.0</v>
      </c>
      <c r="R5203" s="32">
        <v>42477.0</v>
      </c>
      <c r="S5203" s="32">
        <v>39498.0</v>
      </c>
      <c r="T5203" s="29"/>
      <c r="U5203" s="33"/>
      <c r="V5203" s="1"/>
    </row>
    <row r="5204" ht="24.0" customHeight="1">
      <c r="A5204" s="1"/>
      <c r="B5204" s="24" t="str">
        <f>HYPERLINK("https://www.compass.com/listing/69-west-9th-street-unit-5f-manhattan-ny-10011/29365893179939329/view?agent_id=610d3f3370540700019b0833","69 W 9th St, Unit 5F")</f>
        <v>69 W 9th St, Unit 5F</v>
      </c>
      <c r="C5204" s="25" t="s">
        <v>364</v>
      </c>
      <c r="D5204" s="26" t="s">
        <v>23</v>
      </c>
      <c r="E5204" s="27" t="str">
        <f t="shared" si="241"/>
        <v>69 W 9th St</v>
      </c>
      <c r="F5204" s="25" t="s">
        <v>43</v>
      </c>
      <c r="G5204" s="28">
        <v>950000.0</v>
      </c>
      <c r="H5204" s="29"/>
      <c r="I5204" s="29"/>
      <c r="J5204" s="29"/>
      <c r="K5204" s="25" t="s">
        <v>25</v>
      </c>
      <c r="L5204" s="26">
        <v>4.0</v>
      </c>
      <c r="M5204" s="26">
        <v>2.0</v>
      </c>
      <c r="N5204" s="30"/>
      <c r="O5204" s="30"/>
      <c r="P5204" s="30"/>
      <c r="Q5204" s="35">
        <v>59.0</v>
      </c>
      <c r="R5204" s="32">
        <v>42957.0</v>
      </c>
      <c r="S5204" s="32">
        <v>39556.0</v>
      </c>
      <c r="T5204" s="29"/>
      <c r="U5204" s="33"/>
      <c r="V5204" s="1"/>
    </row>
    <row r="5205" ht="24.0" customHeight="1">
      <c r="A5205" s="1"/>
      <c r="B5205" s="24" t="str">
        <f>HYPERLINK("https://www.compass.com/listing/110-duane-street-unit-5r-manhattan-ny-10007/4852276946165302481/view?agent_id=610d3f3370540700019b0833","110 Duane Street, Unit 5R")</f>
        <v>110 Duane Street, Unit 5R</v>
      </c>
      <c r="C5205" s="25" t="s">
        <v>364</v>
      </c>
      <c r="D5205" s="26" t="s">
        <v>23</v>
      </c>
      <c r="E5205" s="27" t="str">
        <f>HYPERLINK("https://www.compass.com/building/110-duane-lofts-manhattan-ny/292789132017549509/","110 Duane Lofts")</f>
        <v>110 Duane Lofts</v>
      </c>
      <c r="F5205" s="25" t="s">
        <v>60</v>
      </c>
      <c r="G5205" s="28">
        <v>720000.0</v>
      </c>
      <c r="H5205" s="28">
        <v>412.0</v>
      </c>
      <c r="I5205" s="28">
        <v>1811.0</v>
      </c>
      <c r="J5205" s="28">
        <v>13812.0</v>
      </c>
      <c r="K5205" s="25" t="s">
        <v>28</v>
      </c>
      <c r="L5205" s="26">
        <v>4.0</v>
      </c>
      <c r="M5205" s="26">
        <v>2.0</v>
      </c>
      <c r="N5205" s="26">
        <v>0.0</v>
      </c>
      <c r="O5205" s="26">
        <v>0.0</v>
      </c>
      <c r="P5205" s="34">
        <v>1746.0</v>
      </c>
      <c r="Q5205" s="35">
        <v>1758.0</v>
      </c>
      <c r="R5205" s="32">
        <v>44581.0</v>
      </c>
      <c r="S5205" s="32">
        <v>41178.0</v>
      </c>
      <c r="T5205" s="29"/>
      <c r="U5205" s="33"/>
      <c r="V5205" s="1"/>
    </row>
    <row r="5206" ht="24.0" customHeight="1">
      <c r="A5206" s="1"/>
      <c r="B5206" s="24" t="str">
        <f>HYPERLINK("https://www.compass.com/listing/561-broadway-unit-8b-manhattan-ny-10012/29362909041735169/view?agent_id=610d3f3370540700019b0833","561 Broadway, Unit 8B")</f>
        <v>561 Broadway, Unit 8B</v>
      </c>
      <c r="C5206" s="25" t="s">
        <v>364</v>
      </c>
      <c r="D5206" s="26" t="s">
        <v>23</v>
      </c>
      <c r="E5206" s="27" t="str">
        <f>HYPERLINK("https://www.compass.com/building/561-broadway-88-prince-st-manhattan-ny/293533306362869413/","561 Broadway-88 Prince St")</f>
        <v>561 Broadway-88 Prince St</v>
      </c>
      <c r="F5206" s="25" t="s">
        <v>53</v>
      </c>
      <c r="G5206" s="28">
        <v>1475000.0</v>
      </c>
      <c r="H5206" s="28">
        <v>843.0</v>
      </c>
      <c r="I5206" s="28">
        <v>2790.0</v>
      </c>
      <c r="J5206" s="29"/>
      <c r="K5206" s="25" t="s">
        <v>25</v>
      </c>
      <c r="L5206" s="26">
        <v>4.0</v>
      </c>
      <c r="M5206" s="26">
        <v>2.0</v>
      </c>
      <c r="N5206" s="26">
        <v>1.0</v>
      </c>
      <c r="O5206" s="26">
        <v>0.0</v>
      </c>
      <c r="P5206" s="34">
        <v>1750.0</v>
      </c>
      <c r="Q5206" s="35">
        <v>78.0</v>
      </c>
      <c r="R5206" s="32">
        <v>45636.0</v>
      </c>
      <c r="S5206" s="32">
        <v>42059.0</v>
      </c>
      <c r="T5206" s="29"/>
      <c r="U5206" s="33"/>
      <c r="V5206" s="1"/>
    </row>
    <row r="5207" ht="24.0" customHeight="1">
      <c r="A5207" s="1"/>
      <c r="B5207" s="24" t="str">
        <f>HYPERLINK("https://www.compass.com/listing/712-washington-street-unit-3a-manhattan-ny-10014/1115290017157341273/view?agent_id=610d3f3370540700019b0833","712 Washington Street, Unit 3A")</f>
        <v>712 Washington Street, Unit 3A</v>
      </c>
      <c r="C5207" s="25" t="s">
        <v>364</v>
      </c>
      <c r="D5207" s="26" t="s">
        <v>23</v>
      </c>
      <c r="E5207" s="27" t="str">
        <f>HYPERLINK("https://www.compass.com/building/west-village-houses-manhattan-ny/294837780886543237/","West Village Houses")</f>
        <v>West Village Houses</v>
      </c>
      <c r="F5207" s="25" t="s">
        <v>26</v>
      </c>
      <c r="G5207" s="28">
        <v>1050000.0</v>
      </c>
      <c r="H5207" s="29"/>
      <c r="I5207" s="28">
        <v>1105.0</v>
      </c>
      <c r="J5207" s="29"/>
      <c r="K5207" s="25" t="s">
        <v>25</v>
      </c>
      <c r="L5207" s="26">
        <v>4.0</v>
      </c>
      <c r="M5207" s="26">
        <v>2.0</v>
      </c>
      <c r="N5207" s="26">
        <v>1.0</v>
      </c>
      <c r="O5207" s="26">
        <v>0.0</v>
      </c>
      <c r="P5207" s="30"/>
      <c r="Q5207" s="35">
        <v>124.0</v>
      </c>
      <c r="R5207" s="32">
        <v>44915.0</v>
      </c>
      <c r="S5207" s="32">
        <v>44790.0</v>
      </c>
      <c r="T5207" s="29"/>
      <c r="U5207" s="33"/>
      <c r="V5207" s="1"/>
    </row>
    <row r="5208" ht="24.0" customHeight="1">
      <c r="A5208" s="1"/>
      <c r="B5208" s="24" t="str">
        <f>HYPERLINK("https://www.compass.com/listing/53-crosby-street-unit-6-manhattan-ny-10012/4852306780862031921/view?agent_id=610d3f3370540700019b0833","53 Crosby Street, Unit 6")</f>
        <v>53 Crosby Street, Unit 6</v>
      </c>
      <c r="C5208" s="25" t="s">
        <v>370</v>
      </c>
      <c r="D5208" s="26" t="s">
        <v>23</v>
      </c>
      <c r="E5208" s="27" t="str">
        <f>HYPERLINK("https://www.compass.com/building/53-crosby-st-manhattan-ny-10012/281915444565144965/","53 Crosby St")</f>
        <v>53 Crosby St</v>
      </c>
      <c r="F5208" s="25" t="s">
        <v>53</v>
      </c>
      <c r="G5208" s="28">
        <v>7250000.0</v>
      </c>
      <c r="H5208" s="28">
        <v>2685.0</v>
      </c>
      <c r="I5208" s="28">
        <v>2175.0</v>
      </c>
      <c r="J5208" s="29"/>
      <c r="K5208" s="25" t="s">
        <v>25</v>
      </c>
      <c r="L5208" s="26">
        <v>4.0</v>
      </c>
      <c r="M5208" s="26">
        <v>2.0</v>
      </c>
      <c r="N5208" s="26">
        <v>0.0</v>
      </c>
      <c r="O5208" s="26">
        <v>0.0</v>
      </c>
      <c r="P5208" s="34">
        <v>2700.0</v>
      </c>
      <c r="Q5208" s="35">
        <v>75.0</v>
      </c>
      <c r="R5208" s="32">
        <v>45636.0</v>
      </c>
      <c r="S5208" s="32">
        <v>42476.0</v>
      </c>
      <c r="T5208" s="29"/>
      <c r="U5208" s="33"/>
      <c r="V5208" s="1"/>
    </row>
    <row r="5209" ht="24.0" customHeight="1">
      <c r="A5209" s="1"/>
      <c r="B5209" s="24" t="str">
        <f>HYPERLINK("https://www.compass.com/listing/519-broadway-unit-2-manhattan-ny-10012/921829905712708009/view?agent_id=610d3f3370540700019b0833","519 Broadway, Unit 2")</f>
        <v>519 Broadway, Unit 2</v>
      </c>
      <c r="C5209" s="25" t="s">
        <v>370</v>
      </c>
      <c r="D5209" s="26" t="s">
        <v>23</v>
      </c>
      <c r="E5209" s="27" t="str">
        <f>HYPERLINK("https://www.compass.com/building/519-broadway-manhattan-ny-10012/282061182771168341/","519 Broadway")</f>
        <v>519 Broadway</v>
      </c>
      <c r="F5209" s="25" t="s">
        <v>53</v>
      </c>
      <c r="G5209" s="28">
        <v>6000000.0</v>
      </c>
      <c r="H5209" s="28">
        <v>1574.0</v>
      </c>
      <c r="I5209" s="28">
        <v>5786.0</v>
      </c>
      <c r="J5209" s="29"/>
      <c r="K5209" s="25" t="s">
        <v>25</v>
      </c>
      <c r="L5209" s="26">
        <v>6.0</v>
      </c>
      <c r="M5209" s="26">
        <v>2.0</v>
      </c>
      <c r="N5209" s="26">
        <v>0.0</v>
      </c>
      <c r="O5209" s="26">
        <v>0.0</v>
      </c>
      <c r="P5209" s="34">
        <v>3813.0</v>
      </c>
      <c r="Q5209" s="35">
        <v>181.0</v>
      </c>
      <c r="R5209" s="32">
        <v>45636.0</v>
      </c>
      <c r="S5209" s="32">
        <v>42290.0</v>
      </c>
      <c r="T5209" s="29"/>
      <c r="U5209" s="33"/>
      <c r="V5209" s="1"/>
    </row>
    <row r="5210" ht="24.0" customHeight="1">
      <c r="A5210" s="1"/>
      <c r="B5210" s="24" t="str">
        <f>HYPERLINK("https://www.compass.com/listing/15-west-20th-street-unit-2a-manhattan-ny-10010/29374642363894049/view?agent_id=610d3f3370540700019b0833","15 West 20th Street, Unit 2A")</f>
        <v>15 West 20th Street, Unit 2A</v>
      </c>
      <c r="C5210" s="25" t="s">
        <v>364</v>
      </c>
      <c r="D5210" s="26" t="s">
        <v>23</v>
      </c>
      <c r="E5210" s="27" t="str">
        <f>HYPERLINK("https://www.compass.com/building/altair-20-manhattan-ny/281905616144847365/","Altair 20")</f>
        <v>Altair 20</v>
      </c>
      <c r="F5210" s="25" t="s">
        <v>115</v>
      </c>
      <c r="G5210" s="28">
        <v>3400000.0</v>
      </c>
      <c r="H5210" s="28">
        <v>1505.0</v>
      </c>
      <c r="I5210" s="28">
        <v>3724.0</v>
      </c>
      <c r="J5210" s="28">
        <v>21996.0</v>
      </c>
      <c r="K5210" s="25" t="s">
        <v>28</v>
      </c>
      <c r="L5210" s="26">
        <v>5.0</v>
      </c>
      <c r="M5210" s="26">
        <v>2.0</v>
      </c>
      <c r="N5210" s="26">
        <v>0.0</v>
      </c>
      <c r="O5210" s="26">
        <v>0.0</v>
      </c>
      <c r="P5210" s="34">
        <v>2259.0</v>
      </c>
      <c r="Q5210" s="35">
        <v>175.0</v>
      </c>
      <c r="R5210" s="32">
        <v>45636.0</v>
      </c>
      <c r="S5210" s="32">
        <v>41828.0</v>
      </c>
      <c r="T5210" s="29"/>
      <c r="U5210" s="33"/>
      <c r="V5210" s="1"/>
    </row>
    <row r="5211" ht="24.0" customHeight="1">
      <c r="A5211" s="1"/>
      <c r="B5211" s="24" t="str">
        <f>HYPERLINK("https://www.compass.com/listing/210-east-21st-street-unit-3b-manhattan-ny-10010/50869902545835361/view?agent_id=610d3f3370540700019b0833","210 East 21st Street, Unit 3B")</f>
        <v>210 East 21st Street, Unit 3B</v>
      </c>
      <c r="C5211" s="25" t="s">
        <v>370</v>
      </c>
      <c r="D5211" s="26" t="s">
        <v>23</v>
      </c>
      <c r="E5211" s="27" t="str">
        <f>HYPERLINK("https://www.compass.com/building/210-e-21st-st-manhattan-ny-10010/281902119395542485/","210 E 21st St")</f>
        <v>210 E 21st St</v>
      </c>
      <c r="F5211" s="25" t="s">
        <v>48</v>
      </c>
      <c r="G5211" s="28">
        <v>900000.0</v>
      </c>
      <c r="H5211" s="29"/>
      <c r="I5211" s="28">
        <v>872.0</v>
      </c>
      <c r="J5211" s="29"/>
      <c r="K5211" s="25" t="s">
        <v>25</v>
      </c>
      <c r="L5211" s="26">
        <v>4.0</v>
      </c>
      <c r="M5211" s="26">
        <v>2.0</v>
      </c>
      <c r="N5211" s="26">
        <v>0.0</v>
      </c>
      <c r="O5211" s="26">
        <v>0.0</v>
      </c>
      <c r="P5211" s="30"/>
      <c r="Q5211" s="35">
        <v>49.0</v>
      </c>
      <c r="R5211" s="32">
        <v>45636.0</v>
      </c>
      <c r="S5211" s="32">
        <v>42581.0</v>
      </c>
      <c r="T5211" s="29"/>
      <c r="U5211" s="33"/>
      <c r="V5211" s="1"/>
    </row>
    <row r="5212" ht="24.0" customHeight="1">
      <c r="A5212" s="1"/>
      <c r="B5212" s="24" t="str">
        <f>HYPERLINK("https://www.compass.com/listing/143-avenue-b-unit-8g-manhattan-ny-10009/4852272164524528929/view?agent_id=610d3f3370540700019b0833","143 Avenue B, Unit 8G")</f>
        <v>143 Avenue B, Unit 8G</v>
      </c>
      <c r="C5212" s="25" t="s">
        <v>370</v>
      </c>
      <c r="D5212" s="26" t="s">
        <v>23</v>
      </c>
      <c r="E5212" s="27" t="str">
        <f>HYPERLINK("https://www.compass.com/building/143-avenue-b-manhattan-ny-10009/389279058562493109/","143 Avenue B")</f>
        <v>143 Avenue B</v>
      </c>
      <c r="F5212" s="25" t="s">
        <v>24</v>
      </c>
      <c r="G5212" s="28">
        <v>1350000.0</v>
      </c>
      <c r="H5212" s="28">
        <v>1227.0</v>
      </c>
      <c r="I5212" s="28">
        <v>1674.0</v>
      </c>
      <c r="J5212" s="28">
        <v>7800.0</v>
      </c>
      <c r="K5212" s="25" t="s">
        <v>28</v>
      </c>
      <c r="L5212" s="26">
        <v>4.0</v>
      </c>
      <c r="M5212" s="26">
        <v>2.0</v>
      </c>
      <c r="N5212" s="26">
        <v>0.0</v>
      </c>
      <c r="O5212" s="26">
        <v>0.0</v>
      </c>
      <c r="P5212" s="34">
        <v>1100.0</v>
      </c>
      <c r="Q5212" s="35">
        <v>18.0</v>
      </c>
      <c r="R5212" s="32">
        <v>45636.0</v>
      </c>
      <c r="S5212" s="32">
        <v>41608.0</v>
      </c>
      <c r="T5212" s="29"/>
      <c r="U5212" s="33"/>
      <c r="V5212" s="1"/>
    </row>
    <row r="5213" ht="24.0" customHeight="1">
      <c r="A5213" s="1"/>
      <c r="B5213" s="24" t="str">
        <f>HYPERLINK("https://www.compass.com/listing/43-murray-street-unit-5a-manhattan-ny-10007/4852266517078745521/view?agent_id=610d3f3370540700019b0833","43 Murray Street, Unit 5A")</f>
        <v>43 Murray Street, Unit 5A</v>
      </c>
      <c r="C5213" s="25" t="s">
        <v>364</v>
      </c>
      <c r="D5213" s="26" t="s">
        <v>23</v>
      </c>
      <c r="E5213" s="27" t="str">
        <f>HYPERLINK("https://www.compass.com/building/43-murray-st-manhattan-ny-10007/282064784361295029/","43 Murray St")</f>
        <v>43 Murray St</v>
      </c>
      <c r="F5213" s="25" t="s">
        <v>60</v>
      </c>
      <c r="G5213" s="28">
        <v>2000000.0</v>
      </c>
      <c r="H5213" s="29"/>
      <c r="I5213" s="28">
        <v>1821.0</v>
      </c>
      <c r="J5213" s="29"/>
      <c r="K5213" s="25" t="s">
        <v>49</v>
      </c>
      <c r="L5213" s="26">
        <v>5.0</v>
      </c>
      <c r="M5213" s="26">
        <v>2.0</v>
      </c>
      <c r="N5213" s="26">
        <v>0.0</v>
      </c>
      <c r="O5213" s="26">
        <v>0.0</v>
      </c>
      <c r="P5213" s="30"/>
      <c r="Q5213" s="35">
        <v>1493.0</v>
      </c>
      <c r="R5213" s="32">
        <v>44581.0</v>
      </c>
      <c r="S5213" s="32">
        <v>41385.0</v>
      </c>
      <c r="T5213" s="29"/>
      <c r="U5213" s="33"/>
      <c r="V5213" s="1"/>
    </row>
    <row r="5214" ht="24.0" customHeight="1">
      <c r="A5214" s="1"/>
      <c r="B5214" s="24" t="str">
        <f>HYPERLINK("https://www.compass.com/listing/519-broadway-unit-2c-manhattan-ny-10012/4852282088407183841/view?agent_id=610d3f3370540700019b0833","519 Broadway, Unit 2C")</f>
        <v>519 Broadway, Unit 2C</v>
      </c>
      <c r="C5214" s="25" t="s">
        <v>370</v>
      </c>
      <c r="D5214" s="26" t="s">
        <v>23</v>
      </c>
      <c r="E5214" s="27" t="str">
        <f>HYPERLINK("https://www.compass.com/building/519-broadway-manhattan-ny-10012/282061182771168341/","519 Broadway")</f>
        <v>519 Broadway</v>
      </c>
      <c r="F5214" s="25" t="s">
        <v>53</v>
      </c>
      <c r="G5214" s="28">
        <v>5500000.0</v>
      </c>
      <c r="H5214" s="28">
        <v>1442.0</v>
      </c>
      <c r="I5214" s="28">
        <v>5785.0</v>
      </c>
      <c r="J5214" s="29"/>
      <c r="K5214" s="25" t="s">
        <v>25</v>
      </c>
      <c r="L5214" s="26">
        <v>7.0</v>
      </c>
      <c r="M5214" s="26">
        <v>2.0</v>
      </c>
      <c r="N5214" s="26">
        <v>0.0</v>
      </c>
      <c r="O5214" s="26">
        <v>0.0</v>
      </c>
      <c r="P5214" s="34">
        <v>3813.0</v>
      </c>
      <c r="Q5214" s="35">
        <v>540.0</v>
      </c>
      <c r="R5214" s="32">
        <v>44581.0</v>
      </c>
      <c r="S5214" s="32">
        <v>42473.0</v>
      </c>
      <c r="T5214" s="29"/>
      <c r="U5214" s="33"/>
      <c r="V5214" s="1"/>
    </row>
    <row r="5215" ht="24.0" customHeight="1">
      <c r="A5215" s="1"/>
      <c r="B5215" s="24" t="str">
        <f>HYPERLINK("https://www.compass.com/listing/369-bleecker-street-unit-4-manhattan-ny-10014/29368163061771873/view?agent_id=610d3f3370540700019b0833","369 Bleecker Street, Unit 4")</f>
        <v>369 Bleecker Street, Unit 4</v>
      </c>
      <c r="C5215" s="25" t="s">
        <v>364</v>
      </c>
      <c r="D5215" s="26" t="s">
        <v>23</v>
      </c>
      <c r="E5215" s="27" t="str">
        <f>HYPERLINK("https://www.compass.com/building/maison-pierre-manhattan-ny/281933196193480021/","Maison Pierre")</f>
        <v>Maison Pierre</v>
      </c>
      <c r="F5215" s="25" t="s">
        <v>26</v>
      </c>
      <c r="G5215" s="28">
        <v>4300000.0</v>
      </c>
      <c r="H5215" s="28">
        <v>2688.0</v>
      </c>
      <c r="I5215" s="28">
        <v>2863.0</v>
      </c>
      <c r="J5215" s="28">
        <v>19344.0</v>
      </c>
      <c r="K5215" s="25" t="s">
        <v>28</v>
      </c>
      <c r="L5215" s="26">
        <v>5.0</v>
      </c>
      <c r="M5215" s="26">
        <v>2.0</v>
      </c>
      <c r="N5215" s="26">
        <v>0.0</v>
      </c>
      <c r="O5215" s="26">
        <v>0.0</v>
      </c>
      <c r="P5215" s="34">
        <v>1600.0</v>
      </c>
      <c r="Q5215" s="35">
        <v>26.0</v>
      </c>
      <c r="R5215" s="32">
        <v>44581.0</v>
      </c>
      <c r="S5215" s="32">
        <v>41797.0</v>
      </c>
      <c r="T5215" s="29"/>
      <c r="U5215" s="33"/>
      <c r="V5215" s="1"/>
    </row>
    <row r="5216" ht="24.0" customHeight="1">
      <c r="A5216" s="1"/>
      <c r="B5216" s="24" t="str">
        <f>HYPERLINK("https://www.compass.com/listing/305-2nd-avenue-unit-523-manhattan-ny-10003/1653684290820197025/view?agent_id=610d3f3370540700019b0833","305 2nd Avenue, Unit 523")</f>
        <v>305 2nd Avenue, Unit 523</v>
      </c>
      <c r="C5216" s="25" t="s">
        <v>364</v>
      </c>
      <c r="D5216" s="26" t="s">
        <v>23</v>
      </c>
      <c r="E5216" s="27" t="str">
        <f>HYPERLINK("https://www.compass.com/building/rutherford-place-manhattan-ny/281892043922346725/","Rutherford Place")</f>
        <v>Rutherford Place</v>
      </c>
      <c r="F5216" s="25" t="s">
        <v>48</v>
      </c>
      <c r="G5216" s="28">
        <v>1525000.0</v>
      </c>
      <c r="H5216" s="28">
        <v>1589.0</v>
      </c>
      <c r="I5216" s="28">
        <v>2190.0</v>
      </c>
      <c r="J5216" s="28">
        <v>16140.0</v>
      </c>
      <c r="K5216" s="25" t="s">
        <v>453</v>
      </c>
      <c r="L5216" s="26">
        <v>4.0</v>
      </c>
      <c r="M5216" s="26">
        <v>2.0</v>
      </c>
      <c r="N5216" s="26">
        <v>1.0</v>
      </c>
      <c r="O5216" s="26">
        <v>0.0</v>
      </c>
      <c r="P5216" s="26">
        <v>960.0</v>
      </c>
      <c r="Q5216" s="35">
        <v>174.0</v>
      </c>
      <c r="R5216" s="32">
        <v>45736.0</v>
      </c>
      <c r="S5216" s="32">
        <v>45532.0</v>
      </c>
      <c r="T5216" s="29"/>
      <c r="U5216" s="33"/>
      <c r="V5216" s="1"/>
    </row>
    <row r="5217" ht="24.0" customHeight="1">
      <c r="A5217" s="1"/>
      <c r="B5217" s="24" t="str">
        <f>HYPERLINK("https://www.compass.com/listing/34-plaza-street-east-unit-1202-brooklyn-ny-11238/1410285779894460225/view?agent_id=610d3f3370540700019b0833","34 Plaza Street East, Unit 1202")</f>
        <v>34 Plaza Street East, Unit 1202</v>
      </c>
      <c r="C5217" s="25" t="s">
        <v>370</v>
      </c>
      <c r="D5217" s="26" t="s">
        <v>23</v>
      </c>
      <c r="E5217" s="27" t="str">
        <f>HYPERLINK("https://www.compass.com/building/34-plaza-st-e-brooklyn-ny-11238/293526112192005989/","34 Plaza St E")</f>
        <v>34 Plaza St E</v>
      </c>
      <c r="F5217" s="25" t="s">
        <v>39</v>
      </c>
      <c r="G5217" s="28">
        <v>996000.0</v>
      </c>
      <c r="H5217" s="29"/>
      <c r="I5217" s="28">
        <v>1633.0</v>
      </c>
      <c r="J5217" s="28">
        <v>0.0</v>
      </c>
      <c r="K5217" s="25" t="s">
        <v>25</v>
      </c>
      <c r="L5217" s="26">
        <v>5.0</v>
      </c>
      <c r="M5217" s="26">
        <v>2.0</v>
      </c>
      <c r="N5217" s="26">
        <v>1.0</v>
      </c>
      <c r="O5217" s="26">
        <v>0.0</v>
      </c>
      <c r="P5217" s="30"/>
      <c r="Q5217" s="35">
        <v>160.0</v>
      </c>
      <c r="R5217" s="32">
        <v>45636.0</v>
      </c>
      <c r="S5217" s="32">
        <v>45197.0</v>
      </c>
      <c r="T5217" s="29"/>
      <c r="U5217" s="33"/>
      <c r="V5217" s="1"/>
    </row>
    <row r="5218" ht="24.0" customHeight="1">
      <c r="A5218" s="1"/>
      <c r="B5218" s="24" t="str">
        <f>HYPERLINK("https://www.compass.com/listing/1-west-72nd-street-unit-92-manhattan-ny-10023/313662544933622113/view?agent_id=610d3f3370540700019b0833","1 West 72nd Street, Unit 92")</f>
        <v>1 West 72nd Street, Unit 92</v>
      </c>
      <c r="C5218" s="25" t="s">
        <v>364</v>
      </c>
      <c r="D5218" s="26" t="s">
        <v>23</v>
      </c>
      <c r="E5218" s="27" t="str">
        <f>HYPERLINK("https://www.compass.com/building/the-dakota-manhattan-ny/294840575056487557/","The Dakota")</f>
        <v>The Dakota</v>
      </c>
      <c r="F5218" s="25" t="s">
        <v>29</v>
      </c>
      <c r="G5218" s="28">
        <v>3880000.0</v>
      </c>
      <c r="H5218" s="29"/>
      <c r="I5218" s="28">
        <v>4959.0</v>
      </c>
      <c r="J5218" s="28">
        <v>0.0</v>
      </c>
      <c r="K5218" s="25" t="s">
        <v>25</v>
      </c>
      <c r="L5218" s="26">
        <v>4.0</v>
      </c>
      <c r="M5218" s="26">
        <v>2.0</v>
      </c>
      <c r="N5218" s="30"/>
      <c r="O5218" s="30"/>
      <c r="P5218" s="30"/>
      <c r="Q5218" s="35">
        <v>529.0</v>
      </c>
      <c r="R5218" s="32">
        <v>43693.0</v>
      </c>
      <c r="S5218" s="32">
        <v>42844.0</v>
      </c>
      <c r="T5218" s="29"/>
      <c r="U5218" s="33"/>
      <c r="V5218" s="1"/>
    </row>
    <row r="5219" ht="24.0" customHeight="1">
      <c r="A5219" s="1"/>
      <c r="B5219" s="24" t="str">
        <f>HYPERLINK("https://www.compass.com/listing/45-east-22nd-street-unit-50b-manhattan-ny-10010/920461220146132129/view?agent_id=610d3f3370540700019b0833","45 East 22nd Street, Unit 50B")</f>
        <v>45 East 22nd Street, Unit 50B</v>
      </c>
      <c r="C5219" s="25" t="s">
        <v>364</v>
      </c>
      <c r="D5219" s="26" t="s">
        <v>23</v>
      </c>
      <c r="E5219" s="27" t="str">
        <f>HYPERLINK("https://www.compass.com/building/madison-square-park-tower-manhattan-ny/281903584482705973/","Madison Square Park Tower")</f>
        <v>Madison Square Park Tower</v>
      </c>
      <c r="F5219" s="25" t="s">
        <v>115</v>
      </c>
      <c r="G5219" s="28">
        <v>8405000.0</v>
      </c>
      <c r="H5219" s="28">
        <v>3868.0</v>
      </c>
      <c r="I5219" s="28">
        <v>6891.0</v>
      </c>
      <c r="J5219" s="28">
        <v>49884.0</v>
      </c>
      <c r="K5219" s="25" t="s">
        <v>28</v>
      </c>
      <c r="L5219" s="26">
        <v>4.0</v>
      </c>
      <c r="M5219" s="26">
        <v>2.0</v>
      </c>
      <c r="N5219" s="26">
        <v>0.0</v>
      </c>
      <c r="O5219" s="26">
        <v>0.0</v>
      </c>
      <c r="P5219" s="34">
        <v>2173.0</v>
      </c>
      <c r="Q5219" s="35">
        <v>104.0</v>
      </c>
      <c r="R5219" s="32">
        <v>44581.0</v>
      </c>
      <c r="S5219" s="32">
        <v>42781.0</v>
      </c>
      <c r="T5219" s="29"/>
      <c r="U5219" s="33"/>
      <c r="V5219" s="1"/>
    </row>
    <row r="5220" ht="24.0" customHeight="1">
      <c r="A5220" s="1"/>
      <c r="B5220" s="24" t="str">
        <f>HYPERLINK("https://www.compass.com/listing/60-west-13th-street-unit-2b-manhattan-ny-10011/29366102467325937/view?agent_id=610d3f3370540700019b0833","60 W 13th St, Unit 2B")</f>
        <v>60 W 13th St, Unit 2B</v>
      </c>
      <c r="C5220" s="25" t="s">
        <v>364</v>
      </c>
      <c r="D5220" s="26" t="s">
        <v>23</v>
      </c>
      <c r="E5220" s="27" t="str">
        <f>HYPERLINK("https://www.compass.com/building/village-house-condominium-manhattan-ny/281911923413378437/","Village House Condominium")</f>
        <v>Village House Condominium</v>
      </c>
      <c r="F5220" s="25" t="s">
        <v>43</v>
      </c>
      <c r="G5220" s="28">
        <v>895000.0</v>
      </c>
      <c r="H5220" s="28">
        <v>994.0</v>
      </c>
      <c r="I5220" s="29"/>
      <c r="J5220" s="29"/>
      <c r="K5220" s="25" t="s">
        <v>28</v>
      </c>
      <c r="L5220" s="26">
        <v>4.0</v>
      </c>
      <c r="M5220" s="26">
        <v>2.0</v>
      </c>
      <c r="N5220" s="30"/>
      <c r="O5220" s="30"/>
      <c r="P5220" s="26">
        <v>900.0</v>
      </c>
      <c r="Q5220" s="35">
        <v>137.0</v>
      </c>
      <c r="R5220" s="32">
        <v>42476.0</v>
      </c>
      <c r="S5220" s="32">
        <v>38610.0</v>
      </c>
      <c r="T5220" s="29"/>
      <c r="U5220" s="33"/>
      <c r="V5220" s="1"/>
    </row>
    <row r="5221" ht="24.0" customHeight="1">
      <c r="A5221" s="1"/>
      <c r="B5221" s="24" t="str">
        <f>HYPERLINK("https://www.compass.com/listing/420-west-23rd-street-unit-4c-manhattan-ny-10011/29370262931723777/view?agent_id=610d3f3370540700019b0833","420 W 23rd St, Unit 4C")</f>
        <v>420 W 23rd St, Unit 4C</v>
      </c>
      <c r="C5221" s="25" t="s">
        <v>364</v>
      </c>
      <c r="D5221" s="26" t="s">
        <v>23</v>
      </c>
      <c r="E5221" s="27" t="str">
        <f>HYPERLINK("https://www.compass.com/building/420-w-23rd-st-manhattan-ny-10011/281910194470935845/","420 W 23rd St")</f>
        <v>420 W 23rd St</v>
      </c>
      <c r="F5221" s="25" t="s">
        <v>27</v>
      </c>
      <c r="G5221" s="28">
        <v>789000.0</v>
      </c>
      <c r="H5221" s="28">
        <v>987.0</v>
      </c>
      <c r="I5221" s="28">
        <v>1433.0</v>
      </c>
      <c r="J5221" s="28">
        <v>6996.0</v>
      </c>
      <c r="K5221" s="25" t="s">
        <v>28</v>
      </c>
      <c r="L5221" s="26">
        <v>4.0</v>
      </c>
      <c r="M5221" s="26">
        <v>2.0</v>
      </c>
      <c r="N5221" s="30"/>
      <c r="O5221" s="30"/>
      <c r="P5221" s="26">
        <v>799.0</v>
      </c>
      <c r="Q5221" s="35">
        <v>97.0</v>
      </c>
      <c r="R5221" s="32">
        <v>42476.0</v>
      </c>
      <c r="S5221" s="32">
        <v>40599.0</v>
      </c>
      <c r="T5221" s="29"/>
      <c r="U5221" s="33"/>
      <c r="V5221" s="1"/>
    </row>
    <row r="5222" ht="24.0" customHeight="1">
      <c r="A5222" s="1"/>
      <c r="B5222" s="24" t="str">
        <f>HYPERLINK("https://www.compass.com/listing/160-chambers-street-unit-2-manhattan-ny-10007/4852323502142786465/view?agent_id=610d3f3370540700019b0833","160 Chambers St, Unit 2")</f>
        <v>160 Chambers St, Unit 2</v>
      </c>
      <c r="C5222" s="25" t="s">
        <v>370</v>
      </c>
      <c r="D5222" s="26" t="s">
        <v>23</v>
      </c>
      <c r="E5222" s="27" t="str">
        <f>HYPERLINK("https://www.compass.com/building/160-chambers-st-manhattan-ny-10007/281896723800925269/","160 Chambers St")</f>
        <v>160 Chambers St</v>
      </c>
      <c r="F5222" s="25" t="s">
        <v>60</v>
      </c>
      <c r="G5222" s="28">
        <v>1895000.0</v>
      </c>
      <c r="H5222" s="28">
        <v>1263.0</v>
      </c>
      <c r="I5222" s="28">
        <v>2500.0</v>
      </c>
      <c r="J5222" s="29"/>
      <c r="K5222" s="25" t="s">
        <v>25</v>
      </c>
      <c r="L5222" s="26">
        <v>4.0</v>
      </c>
      <c r="M5222" s="26">
        <v>2.0</v>
      </c>
      <c r="N5222" s="26">
        <v>1.0</v>
      </c>
      <c r="O5222" s="26">
        <v>0.0</v>
      </c>
      <c r="P5222" s="34">
        <v>1500.0</v>
      </c>
      <c r="Q5222" s="35">
        <v>35.0</v>
      </c>
      <c r="R5222" s="32">
        <v>45636.0</v>
      </c>
      <c r="S5222" s="32">
        <v>42162.0</v>
      </c>
      <c r="T5222" s="29"/>
      <c r="U5222" s="33"/>
      <c r="V5222" s="1"/>
    </row>
    <row r="5223" ht="24.0" customHeight="1">
      <c r="A5223" s="1"/>
      <c r="B5223" s="24" t="str">
        <f>HYPERLINK("https://www.compass.com/listing/52-west-9th-street-unit-3-manhattan-ny-10011/1831309872623096337/view?agent_id=610d3f3370540700019b0833","52 W 9th St, Unit 3")</f>
        <v>52 W 9th St, Unit 3</v>
      </c>
      <c r="C5223" s="25" t="s">
        <v>364</v>
      </c>
      <c r="D5223" s="26" t="s">
        <v>23</v>
      </c>
      <c r="E5223" s="27" t="str">
        <f t="shared" ref="E5223:E5224" si="242">HYPERLINK("https://www.compass.com/building/52-w-9th-st-manhattan-ny-10011/281911483774820853/","52 W 9th St")</f>
        <v>52 W 9th St</v>
      </c>
      <c r="F5223" s="25" t="s">
        <v>43</v>
      </c>
      <c r="G5223" s="28">
        <v>990000.0</v>
      </c>
      <c r="H5223" s="29"/>
      <c r="I5223" s="28">
        <v>1377.0</v>
      </c>
      <c r="J5223" s="28">
        <v>0.0</v>
      </c>
      <c r="K5223" s="25" t="s">
        <v>25</v>
      </c>
      <c r="L5223" s="26">
        <v>4.0</v>
      </c>
      <c r="M5223" s="26">
        <v>2.0</v>
      </c>
      <c r="N5223" s="30"/>
      <c r="O5223" s="30"/>
      <c r="P5223" s="30"/>
      <c r="Q5223" s="31"/>
      <c r="R5223" s="32">
        <v>41537.0</v>
      </c>
      <c r="S5223" s="33"/>
      <c r="T5223" s="29"/>
      <c r="U5223" s="33"/>
      <c r="V5223" s="1"/>
    </row>
    <row r="5224" ht="24.0" customHeight="1">
      <c r="A5224" s="1"/>
      <c r="B5224" s="24" t="str">
        <f>HYPERLINK("https://www.compass.com/listing/52-west-9th-street-unit-3-manhattan-ny-10011/29365686795051297/view?agent_id=610d3f3370540700019b0833","52 W 9th St, Unit 3")</f>
        <v>52 W 9th St, Unit 3</v>
      </c>
      <c r="C5224" s="25" t="s">
        <v>364</v>
      </c>
      <c r="D5224" s="26" t="s">
        <v>23</v>
      </c>
      <c r="E5224" s="27" t="str">
        <f t="shared" si="242"/>
        <v>52 W 9th St</v>
      </c>
      <c r="F5224" s="25" t="s">
        <v>43</v>
      </c>
      <c r="G5224" s="28">
        <v>990000.0</v>
      </c>
      <c r="H5224" s="29"/>
      <c r="I5224" s="28">
        <v>1377.0</v>
      </c>
      <c r="J5224" s="29"/>
      <c r="K5224" s="25" t="s">
        <v>25</v>
      </c>
      <c r="L5224" s="26">
        <v>4.0</v>
      </c>
      <c r="M5224" s="26">
        <v>2.0</v>
      </c>
      <c r="N5224" s="26">
        <v>0.0</v>
      </c>
      <c r="O5224" s="26">
        <v>0.0</v>
      </c>
      <c r="P5224" s="30"/>
      <c r="Q5224" s="35">
        <v>0.0</v>
      </c>
      <c r="R5224" s="32">
        <v>44581.0</v>
      </c>
      <c r="S5224" s="32">
        <v>41537.0</v>
      </c>
      <c r="T5224" s="29"/>
      <c r="U5224" s="33"/>
      <c r="V5224" s="1"/>
    </row>
    <row r="5225" ht="24.0" customHeight="1">
      <c r="A5225" s="1"/>
      <c r="B5225" s="24" t="str">
        <f>HYPERLINK("https://www.compass.com/listing/60-east-8th-street-unit-22j-manhattan-ny-10003/603381941930432473/view?agent_id=610d3f3370540700019b0833","60 E 8th St, Unit 22J")</f>
        <v>60 E 8th St, Unit 22J</v>
      </c>
      <c r="C5225" s="25" t="s">
        <v>365</v>
      </c>
      <c r="D5225" s="26" t="s">
        <v>23</v>
      </c>
      <c r="E5225" s="27" t="str">
        <f>HYPERLINK("https://www.compass.com/building/georgetown-plaza-manhattan-ny/281894210716574965/","Georgetown Plaza")</f>
        <v>Georgetown Plaza</v>
      </c>
      <c r="F5225" s="25" t="s">
        <v>43</v>
      </c>
      <c r="G5225" s="28">
        <v>1795000.0</v>
      </c>
      <c r="H5225" s="29"/>
      <c r="I5225" s="28">
        <v>2700.0</v>
      </c>
      <c r="J5225" s="28">
        <v>0.0</v>
      </c>
      <c r="K5225" s="25" t="s">
        <v>28</v>
      </c>
      <c r="L5225" s="26">
        <v>5.0</v>
      </c>
      <c r="M5225" s="26">
        <v>2.0</v>
      </c>
      <c r="N5225" s="30"/>
      <c r="O5225" s="30"/>
      <c r="P5225" s="30"/>
      <c r="Q5225" s="35">
        <v>196.0</v>
      </c>
      <c r="R5225" s="32">
        <v>44280.0</v>
      </c>
      <c r="S5225" s="32">
        <v>44083.0</v>
      </c>
      <c r="T5225" s="29"/>
      <c r="U5225" s="33"/>
      <c r="V5225" s="1"/>
    </row>
    <row r="5226" ht="24.0" customHeight="1">
      <c r="A5226" s="1"/>
      <c r="B5226" s="24" t="str">
        <f>HYPERLINK("https://www.compass.com/listing/305-2nd-avenue-unit-530-manhattan-ny-10003/1790864453904265993/view?agent_id=610d3f3370540700019b0833","305 2nd Ave, Unit 530")</f>
        <v>305 2nd Ave, Unit 530</v>
      </c>
      <c r="C5226" s="25" t="s">
        <v>370</v>
      </c>
      <c r="D5226" s="26" t="s">
        <v>23</v>
      </c>
      <c r="E5226" s="27" t="str">
        <f>HYPERLINK("https://www.compass.com/building/rutherford-place-manhattan-ny/281892043922346725/","Rutherford Place")</f>
        <v>Rutherford Place</v>
      </c>
      <c r="F5226" s="25" t="s">
        <v>48</v>
      </c>
      <c r="G5226" s="28">
        <v>1475000.0</v>
      </c>
      <c r="H5226" s="28">
        <v>1364.0</v>
      </c>
      <c r="I5226" s="28">
        <v>2165.0</v>
      </c>
      <c r="J5226" s="28">
        <v>17052.0</v>
      </c>
      <c r="K5226" s="25" t="s">
        <v>118</v>
      </c>
      <c r="L5226" s="26">
        <v>5.0</v>
      </c>
      <c r="M5226" s="26">
        <v>2.0</v>
      </c>
      <c r="N5226" s="26">
        <v>1.0</v>
      </c>
      <c r="O5226" s="26">
        <v>0.0</v>
      </c>
      <c r="P5226" s="34">
        <v>1081.0</v>
      </c>
      <c r="Q5226" s="35">
        <v>112.0</v>
      </c>
      <c r="R5226" s="32">
        <v>45839.0</v>
      </c>
      <c r="S5226" s="32">
        <v>45726.0</v>
      </c>
      <c r="T5226" s="29"/>
      <c r="U5226" s="33"/>
      <c r="V5226" s="1"/>
    </row>
    <row r="5227" ht="24.0" customHeight="1">
      <c r="A5227" s="1"/>
      <c r="B5227" s="24" t="str">
        <f>HYPERLINK("https://www.compass.com/listing/121-prince-street-unit-2-manhattan-ny-10012/886991561219540593/view?agent_id=610d3f3370540700019b0833","121 Prince St, Unit 2")</f>
        <v>121 Prince St, Unit 2</v>
      </c>
      <c r="C5227" s="25" t="s">
        <v>364</v>
      </c>
      <c r="D5227" s="26" t="s">
        <v>23</v>
      </c>
      <c r="E5227" s="27" t="str">
        <f>HYPERLINK("https://www.compass.com/building/121-prince-st-manhattan-ny-10012/989001125529590757/","121 Prince St")</f>
        <v>121 Prince St</v>
      </c>
      <c r="F5227" s="25" t="s">
        <v>53</v>
      </c>
      <c r="G5227" s="28">
        <v>5500000.0</v>
      </c>
      <c r="H5227" s="28">
        <v>2200.0</v>
      </c>
      <c r="I5227" s="28">
        <v>2950.0</v>
      </c>
      <c r="J5227" s="29"/>
      <c r="K5227" s="25" t="s">
        <v>25</v>
      </c>
      <c r="L5227" s="26">
        <v>4.0</v>
      </c>
      <c r="M5227" s="26">
        <v>2.0</v>
      </c>
      <c r="N5227" s="26">
        <v>1.0</v>
      </c>
      <c r="O5227" s="26">
        <v>0.0</v>
      </c>
      <c r="P5227" s="34">
        <v>2500.0</v>
      </c>
      <c r="Q5227" s="35">
        <v>192.0</v>
      </c>
      <c r="R5227" s="32">
        <v>45636.0</v>
      </c>
      <c r="S5227" s="32">
        <v>44475.0</v>
      </c>
      <c r="T5227" s="29"/>
      <c r="U5227" s="33"/>
      <c r="V5227" s="1"/>
    </row>
    <row r="5228" ht="24.0" customHeight="1">
      <c r="A5228" s="1"/>
      <c r="B5228" s="24" t="str">
        <f>HYPERLINK("https://www.compass.com/listing/27-west-19th-street-unit-ph-manhattan-ny-10011/919039013625262729/view?agent_id=610d3f3370540700019b0833","27 W 19th St, Unit PH")</f>
        <v>27 W 19th St, Unit PH</v>
      </c>
      <c r="C5228" s="25" t="s">
        <v>364</v>
      </c>
      <c r="D5228" s="26" t="s">
        <v>23</v>
      </c>
      <c r="E5228" s="27" t="str">
        <f>HYPERLINK("https://www.compass.com/building/the-emory-manhattan-ny/281908208426048949/","The Emory")</f>
        <v>The Emory</v>
      </c>
      <c r="F5228" s="25" t="s">
        <v>115</v>
      </c>
      <c r="G5228" s="28">
        <v>5300000.0</v>
      </c>
      <c r="H5228" s="28">
        <v>1868.0</v>
      </c>
      <c r="I5228" s="28">
        <v>6073.0</v>
      </c>
      <c r="J5228" s="28">
        <v>22512.0</v>
      </c>
      <c r="K5228" s="25" t="s">
        <v>28</v>
      </c>
      <c r="L5228" s="26">
        <v>6.0</v>
      </c>
      <c r="M5228" s="26">
        <v>2.0</v>
      </c>
      <c r="N5228" s="26">
        <v>0.0</v>
      </c>
      <c r="O5228" s="26">
        <v>1.0</v>
      </c>
      <c r="P5228" s="34">
        <v>2838.0</v>
      </c>
      <c r="Q5228" s="31"/>
      <c r="R5228" s="32">
        <v>44581.0</v>
      </c>
      <c r="S5228" s="33"/>
      <c r="T5228" s="29"/>
      <c r="U5228" s="33"/>
      <c r="V5228" s="1"/>
    </row>
    <row r="5229" ht="24.0" customHeight="1">
      <c r="A5229" s="1"/>
      <c r="B5229" s="24" t="str">
        <f>HYPERLINK("https://www.compass.com/listing/201-west-70th-street-unit-31f-manhattan-ny-10023/76493643057237665/view?agent_id=610d3f3370540700019b0833","201 W 70th St, Unit 31F")</f>
        <v>201 W 70th St, Unit 31F</v>
      </c>
      <c r="C5229" s="25" t="s">
        <v>370</v>
      </c>
      <c r="D5229" s="26" t="s">
        <v>23</v>
      </c>
      <c r="E5229" s="27" t="str">
        <f>HYPERLINK("https://www.compass.com/building/one-sherman-square-manhattan-ny/282059551497291477/","One Sherman Square")</f>
        <v>One Sherman Square</v>
      </c>
      <c r="F5229" s="25" t="s">
        <v>29</v>
      </c>
      <c r="G5229" s="28">
        <v>1350000.0</v>
      </c>
      <c r="H5229" s="29"/>
      <c r="I5229" s="28">
        <v>2003.0</v>
      </c>
      <c r="J5229" s="29"/>
      <c r="K5229" s="25" t="s">
        <v>25</v>
      </c>
      <c r="L5229" s="26">
        <v>4.0</v>
      </c>
      <c r="M5229" s="26">
        <v>2.0</v>
      </c>
      <c r="N5229" s="26">
        <v>1.0</v>
      </c>
      <c r="O5229" s="26">
        <v>0.0</v>
      </c>
      <c r="P5229" s="30"/>
      <c r="Q5229" s="35">
        <v>158.0</v>
      </c>
      <c r="R5229" s="32">
        <v>45636.0</v>
      </c>
      <c r="S5229" s="32">
        <v>43357.0</v>
      </c>
      <c r="T5229" s="29"/>
      <c r="U5229" s="33"/>
      <c r="V5229" s="1"/>
    </row>
    <row r="5230" ht="24.0" customHeight="1">
      <c r="A5230" s="1"/>
      <c r="B5230" s="24" t="str">
        <f>HYPERLINK("https://www.compass.com/listing/50-lexington-avenue-unit-26e-manhattan-ny-10010/29378318495153537/view?agent_id=610d3f3370540700019b0833","50 Lexington Ave, Unit 26E")</f>
        <v>50 Lexington Ave, Unit 26E</v>
      </c>
      <c r="C5230" s="25" t="s">
        <v>370</v>
      </c>
      <c r="D5230" s="26" t="s">
        <v>23</v>
      </c>
      <c r="E5230" s="27" t="str">
        <f>HYPERLINK("https://www.compass.com/building/50-lexington-ave-manhattan-ny-10010/281903727927902853/","50 Lexington Ave")</f>
        <v>50 Lexington Ave</v>
      </c>
      <c r="F5230" s="25" t="s">
        <v>115</v>
      </c>
      <c r="G5230" s="28">
        <v>2500000.0</v>
      </c>
      <c r="H5230" s="28">
        <v>1961.0</v>
      </c>
      <c r="I5230" s="28">
        <v>2911.0</v>
      </c>
      <c r="J5230" s="29"/>
      <c r="K5230" s="25" t="s">
        <v>25</v>
      </c>
      <c r="L5230" s="26">
        <v>5.0</v>
      </c>
      <c r="M5230" s="26">
        <v>2.0</v>
      </c>
      <c r="N5230" s="26">
        <v>0.0</v>
      </c>
      <c r="O5230" s="26">
        <v>0.0</v>
      </c>
      <c r="P5230" s="34">
        <v>1275.0</v>
      </c>
      <c r="Q5230" s="35">
        <v>177.0</v>
      </c>
      <c r="R5230" s="32">
        <v>45636.0</v>
      </c>
      <c r="S5230" s="32">
        <v>42907.0</v>
      </c>
      <c r="T5230" s="29"/>
      <c r="U5230" s="33"/>
      <c r="V5230" s="1"/>
    </row>
    <row r="5231" ht="24.0" customHeight="1">
      <c r="A5231" s="1"/>
      <c r="B5231" s="24" t="str">
        <f>HYPERLINK("https://www.compass.com/listing/450-west-17th-street-unit-1020-manhattan-ny-10011/4852329845197124433/view?agent_id=610d3f3370540700019b0833","450 W 17th St, Unit 1020")</f>
        <v>450 W 17th St, Unit 1020</v>
      </c>
      <c r="C5231" s="25" t="s">
        <v>364</v>
      </c>
      <c r="D5231" s="26" t="s">
        <v>23</v>
      </c>
      <c r="E5231" s="27" t="str">
        <f>HYPERLINK("https://www.compass.com/building/the-caledonia-manhattan-ny/281910674349645621/","The Caledonia")</f>
        <v>The Caledonia</v>
      </c>
      <c r="F5231" s="25" t="s">
        <v>27</v>
      </c>
      <c r="G5231" s="28">
        <v>2495000.0</v>
      </c>
      <c r="H5231" s="28">
        <v>2356.0</v>
      </c>
      <c r="I5231" s="28">
        <v>1263.0</v>
      </c>
      <c r="J5231" s="28">
        <v>2664.0</v>
      </c>
      <c r="K5231" s="25" t="s">
        <v>28</v>
      </c>
      <c r="L5231" s="26">
        <v>4.0</v>
      </c>
      <c r="M5231" s="26">
        <v>2.0</v>
      </c>
      <c r="N5231" s="26">
        <v>0.0</v>
      </c>
      <c r="O5231" s="26">
        <v>0.0</v>
      </c>
      <c r="P5231" s="34">
        <v>1059.0</v>
      </c>
      <c r="Q5231" s="31"/>
      <c r="R5231" s="32">
        <v>44581.0</v>
      </c>
      <c r="S5231" s="33"/>
      <c r="T5231" s="29"/>
      <c r="U5231" s="33"/>
      <c r="V5231" s="1"/>
    </row>
    <row r="5232" ht="24.0" customHeight="1">
      <c r="A5232" s="1"/>
      <c r="B5232" s="24" t="str">
        <f>HYPERLINK("https://www.compass.com/listing/101-warren-street-unit-7j-manhattan-ny-10007/70921041429434593/view?agent_id=610d3f3370540700019b0833","101 Warren St, Unit 7J")</f>
        <v>101 Warren St, Unit 7J</v>
      </c>
      <c r="C5232" s="25" t="s">
        <v>364</v>
      </c>
      <c r="D5232" s="26" t="s">
        <v>23</v>
      </c>
      <c r="E5232" s="27" t="str">
        <f>HYPERLINK("https://www.compass.com/building/99-101-warren-manhattan-ny/307460833541810581/","99-101 Warren")</f>
        <v>99-101 Warren</v>
      </c>
      <c r="F5232" s="25" t="s">
        <v>60</v>
      </c>
      <c r="G5232" s="28">
        <v>3475000.0</v>
      </c>
      <c r="H5232" s="28">
        <v>2106.0</v>
      </c>
      <c r="I5232" s="28">
        <v>2358.0</v>
      </c>
      <c r="J5232" s="28">
        <v>7200.0</v>
      </c>
      <c r="K5232" s="25" t="s">
        <v>209</v>
      </c>
      <c r="L5232" s="26">
        <v>5.0</v>
      </c>
      <c r="M5232" s="26">
        <v>2.0</v>
      </c>
      <c r="N5232" s="26">
        <v>0.0</v>
      </c>
      <c r="O5232" s="26">
        <v>0.0</v>
      </c>
      <c r="P5232" s="34">
        <v>1650.0</v>
      </c>
      <c r="Q5232" s="35">
        <v>80.0</v>
      </c>
      <c r="R5232" s="32">
        <v>45636.0</v>
      </c>
      <c r="S5232" s="32">
        <v>41715.0</v>
      </c>
      <c r="T5232" s="29"/>
      <c r="U5232" s="33"/>
      <c r="V5232" s="1"/>
    </row>
    <row r="5233" ht="24.0" customHeight="1">
      <c r="A5233" s="1"/>
      <c r="B5233" s="24" t="str">
        <f>HYPERLINK("https://www.compass.com/listing/122-greenwich-avenue-unit-3b-manhattan-ny-10011/4852268290187207649/view?agent_id=610d3f3370540700019b0833","122 Greenwich Ave, Unit 3B")</f>
        <v>122 Greenwich Ave, Unit 3B</v>
      </c>
      <c r="C5233" s="25" t="s">
        <v>364</v>
      </c>
      <c r="D5233" s="26" t="s">
        <v>23</v>
      </c>
      <c r="E5233" s="27" t="str">
        <f>HYPERLINK("https://www.compass.com/building/one-jackson-square-manhattan-ny/281904773785996853/","One Jackson Square")</f>
        <v>One Jackson Square</v>
      </c>
      <c r="F5233" s="25" t="s">
        <v>26</v>
      </c>
      <c r="G5233" s="28">
        <v>3250000.0</v>
      </c>
      <c r="H5233" s="28">
        <v>2336.0</v>
      </c>
      <c r="I5233" s="28">
        <v>2480.0</v>
      </c>
      <c r="J5233" s="28">
        <v>5436.0</v>
      </c>
      <c r="K5233" s="25" t="s">
        <v>28</v>
      </c>
      <c r="L5233" s="26">
        <v>4.0</v>
      </c>
      <c r="M5233" s="26">
        <v>2.0</v>
      </c>
      <c r="N5233" s="26">
        <v>0.0</v>
      </c>
      <c r="O5233" s="26">
        <v>0.0</v>
      </c>
      <c r="P5233" s="34">
        <v>1391.0</v>
      </c>
      <c r="Q5233" s="35">
        <v>122.0</v>
      </c>
      <c r="R5233" s="32">
        <v>44581.0</v>
      </c>
      <c r="S5233" s="32">
        <v>41677.0</v>
      </c>
      <c r="T5233" s="29"/>
      <c r="U5233" s="33"/>
      <c r="V5233" s="1"/>
    </row>
    <row r="5234" ht="24.0" customHeight="1">
      <c r="A5234" s="1"/>
      <c r="B5234" s="24" t="str">
        <f>HYPERLINK("https://www.compass.com/listing/365-st-johns-place-unit-e2-brooklyn-ny-11238/4852313978128305089/view?agent_id=610d3f3370540700019b0833","365 St Johns Pl, Unit E2")</f>
        <v>365 St Johns Pl, Unit E2</v>
      </c>
      <c r="C5234" s="25" t="s">
        <v>364</v>
      </c>
      <c r="D5234" s="26" t="s">
        <v>23</v>
      </c>
      <c r="E5234" s="27" t="str">
        <f>HYPERLINK("https://www.compass.com/building/365-st-johns-pl-brooklyn-ny-11238/293426269016628933/","365 St Johns Pl")</f>
        <v>365 St Johns Pl</v>
      </c>
      <c r="F5234" s="25" t="s">
        <v>39</v>
      </c>
      <c r="G5234" s="28">
        <v>495000.0</v>
      </c>
      <c r="H5234" s="29"/>
      <c r="I5234" s="28">
        <v>722.0</v>
      </c>
      <c r="J5234" s="29"/>
      <c r="K5234" s="25" t="s">
        <v>25</v>
      </c>
      <c r="L5234" s="26">
        <v>4.0</v>
      </c>
      <c r="M5234" s="26">
        <v>2.0</v>
      </c>
      <c r="N5234" s="26">
        <v>0.0</v>
      </c>
      <c r="O5234" s="26">
        <v>0.0</v>
      </c>
      <c r="P5234" s="30"/>
      <c r="Q5234" s="35">
        <v>73.0</v>
      </c>
      <c r="R5234" s="32">
        <v>45636.0</v>
      </c>
      <c r="S5234" s="32">
        <v>41551.0</v>
      </c>
      <c r="T5234" s="29"/>
      <c r="U5234" s="33"/>
      <c r="V5234" s="1"/>
    </row>
    <row r="5235" ht="24.0" customHeight="1">
      <c r="A5235" s="1"/>
      <c r="B5235" s="24" t="str">
        <f>HYPERLINK("https://www.compass.com/listing/450-west-17th-street-unit-1018-manhattan-ny-10011/324868921827811521/view?agent_id=610d3f3370540700019b0833","450 W 17th St, Unit 1018")</f>
        <v>450 W 17th St, Unit 1018</v>
      </c>
      <c r="C5235" s="25" t="s">
        <v>364</v>
      </c>
      <c r="D5235" s="26" t="s">
        <v>23</v>
      </c>
      <c r="E5235" s="27" t="str">
        <f t="shared" ref="E5235:E5236" si="243">HYPERLINK("https://www.compass.com/building/the-caledonia-manhattan-ny/281910674349645621/","The Caledonia")</f>
        <v>The Caledonia</v>
      </c>
      <c r="F5235" s="25" t="s">
        <v>27</v>
      </c>
      <c r="G5235" s="28">
        <v>2350000.0</v>
      </c>
      <c r="H5235" s="28">
        <v>2497.0</v>
      </c>
      <c r="I5235" s="28">
        <v>1327.0</v>
      </c>
      <c r="J5235" s="28">
        <v>4812.0</v>
      </c>
      <c r="K5235" s="25" t="s">
        <v>28</v>
      </c>
      <c r="L5235" s="26">
        <v>4.0</v>
      </c>
      <c r="M5235" s="26">
        <v>2.0</v>
      </c>
      <c r="N5235" s="26">
        <v>0.0</v>
      </c>
      <c r="O5235" s="26">
        <v>0.0</v>
      </c>
      <c r="P5235" s="26">
        <v>941.0</v>
      </c>
      <c r="Q5235" s="35">
        <v>182.0</v>
      </c>
      <c r="R5235" s="32">
        <v>45636.0</v>
      </c>
      <c r="S5235" s="32">
        <v>41775.0</v>
      </c>
      <c r="T5235" s="29"/>
      <c r="U5235" s="33"/>
      <c r="V5235" s="1"/>
    </row>
    <row r="5236" ht="24.0" customHeight="1">
      <c r="A5236" s="1"/>
      <c r="B5236" s="24" t="str">
        <f>HYPERLINK("https://www.compass.com/listing/450-west-17th-street-unit-1118-manhattan-ny-10011/919040130391293969/view?agent_id=610d3f3370540700019b0833","450 W 17th St, Unit 1118")</f>
        <v>450 W 17th St, Unit 1118</v>
      </c>
      <c r="C5236" s="25" t="s">
        <v>364</v>
      </c>
      <c r="D5236" s="26" t="s">
        <v>23</v>
      </c>
      <c r="E5236" s="27" t="str">
        <f t="shared" si="243"/>
        <v>The Caledonia</v>
      </c>
      <c r="F5236" s="25" t="s">
        <v>27</v>
      </c>
      <c r="G5236" s="28">
        <v>2395000.0</v>
      </c>
      <c r="H5236" s="28">
        <v>2545.0</v>
      </c>
      <c r="I5236" s="28">
        <v>1322.0</v>
      </c>
      <c r="J5236" s="28">
        <v>4644.0</v>
      </c>
      <c r="K5236" s="25" t="s">
        <v>28</v>
      </c>
      <c r="L5236" s="26">
        <v>4.0</v>
      </c>
      <c r="M5236" s="26">
        <v>2.0</v>
      </c>
      <c r="N5236" s="26">
        <v>0.0</v>
      </c>
      <c r="O5236" s="26">
        <v>0.0</v>
      </c>
      <c r="P5236" s="26">
        <v>941.0</v>
      </c>
      <c r="Q5236" s="35">
        <v>36.0</v>
      </c>
      <c r="R5236" s="32">
        <v>45636.0</v>
      </c>
      <c r="S5236" s="32">
        <v>42016.0</v>
      </c>
      <c r="T5236" s="29"/>
      <c r="U5236" s="33"/>
      <c r="V5236" s="1"/>
    </row>
    <row r="5237" ht="24.0" customHeight="1">
      <c r="A5237" s="1"/>
      <c r="B5237" s="24" t="str">
        <f>HYPERLINK("https://www.compass.com/listing/265-east-7th-street-unit-4-manhattan-ny-10009/4848425754041523041/view?agent_id=610d3f3370540700019b0833","265 E 7th St, Unit 4")</f>
        <v>265 E 7th St, Unit 4</v>
      </c>
      <c r="C5237" s="25" t="s">
        <v>364</v>
      </c>
      <c r="D5237" s="26" t="s">
        <v>23</v>
      </c>
      <c r="E5237" s="27" t="str">
        <f t="shared" ref="E5237:E5238" si="244">HYPERLINK("https://www.compass.com/building/265-e-7th-st-manhattan-ny-10009/281899164156047221/","265 E 7th St")</f>
        <v>265 E 7th St</v>
      </c>
      <c r="F5237" s="25" t="s">
        <v>24</v>
      </c>
      <c r="G5237" s="28">
        <v>939000.0</v>
      </c>
      <c r="H5237" s="28">
        <v>751.0</v>
      </c>
      <c r="I5237" s="29"/>
      <c r="J5237" s="29"/>
      <c r="K5237" s="25" t="s">
        <v>25</v>
      </c>
      <c r="L5237" s="26">
        <v>6.0</v>
      </c>
      <c r="M5237" s="26">
        <v>2.0</v>
      </c>
      <c r="N5237" s="30"/>
      <c r="O5237" s="30"/>
      <c r="P5237" s="34">
        <v>1250.0</v>
      </c>
      <c r="Q5237" s="35">
        <v>126.0</v>
      </c>
      <c r="R5237" s="32">
        <v>42476.0</v>
      </c>
      <c r="S5237" s="32">
        <v>38582.0</v>
      </c>
      <c r="T5237" s="29"/>
      <c r="U5237" s="33"/>
      <c r="V5237" s="1"/>
    </row>
    <row r="5238" ht="24.0" customHeight="1">
      <c r="A5238" s="1"/>
      <c r="B5238" s="24" t="str">
        <f>HYPERLINK("https://www.compass.com/listing/265-east-7th-street-unit-3-manhattan-ny-10009/4848425754737773937/view?agent_id=610d3f3370540700019b0833","265 E 7th St, Unit 3")</f>
        <v>265 E 7th St, Unit 3</v>
      </c>
      <c r="C5238" s="25" t="s">
        <v>364</v>
      </c>
      <c r="D5238" s="26" t="s">
        <v>23</v>
      </c>
      <c r="E5238" s="27" t="str">
        <f t="shared" si="244"/>
        <v>265 E 7th St</v>
      </c>
      <c r="F5238" s="25" t="s">
        <v>24</v>
      </c>
      <c r="G5238" s="28">
        <v>925000.0</v>
      </c>
      <c r="H5238" s="28">
        <v>771.0</v>
      </c>
      <c r="I5238" s="29"/>
      <c r="J5238" s="29"/>
      <c r="K5238" s="25" t="s">
        <v>25</v>
      </c>
      <c r="L5238" s="26">
        <v>6.0</v>
      </c>
      <c r="M5238" s="26">
        <v>2.0</v>
      </c>
      <c r="N5238" s="30"/>
      <c r="O5238" s="30"/>
      <c r="P5238" s="34">
        <v>1200.0</v>
      </c>
      <c r="Q5238" s="35">
        <v>91.0</v>
      </c>
      <c r="R5238" s="32">
        <v>42477.0</v>
      </c>
      <c r="S5238" s="32">
        <v>39741.0</v>
      </c>
      <c r="T5238" s="29"/>
      <c r="U5238" s="33"/>
      <c r="V5238" s="1"/>
    </row>
    <row r="5239" ht="24.0" customHeight="1">
      <c r="A5239" s="1"/>
      <c r="B5239" s="24" t="str">
        <f>HYPERLINK("https://www.compass.com/listing/241-east-7th-street-unit-17-manhattan-ny-10009/4852316568069082161/view?agent_id=610d3f3370540700019b0833","241 E 7th St, Unit 17")</f>
        <v>241 E 7th St, Unit 17</v>
      </c>
      <c r="C5239" s="25" t="s">
        <v>364</v>
      </c>
      <c r="D5239" s="26" t="s">
        <v>23</v>
      </c>
      <c r="E5239" s="27" t="str">
        <f>HYPERLINK("https://www.compass.com/building/241-e-7th-st-manhattan-ny-10009/281898986770542213/","241 E 7th St")</f>
        <v>241 E 7th St</v>
      </c>
      <c r="F5239" s="25" t="s">
        <v>24</v>
      </c>
      <c r="G5239" s="28">
        <v>875000.0</v>
      </c>
      <c r="H5239" s="29"/>
      <c r="I5239" s="28">
        <v>0.0</v>
      </c>
      <c r="J5239" s="29"/>
      <c r="K5239" s="25" t="s">
        <v>25</v>
      </c>
      <c r="L5239" s="26">
        <v>4.0</v>
      </c>
      <c r="M5239" s="26">
        <v>2.0</v>
      </c>
      <c r="N5239" s="26">
        <v>0.0</v>
      </c>
      <c r="O5239" s="26">
        <v>0.0</v>
      </c>
      <c r="P5239" s="30"/>
      <c r="Q5239" s="35">
        <v>2694.0</v>
      </c>
      <c r="R5239" s="32">
        <v>44581.0</v>
      </c>
      <c r="S5239" s="32">
        <v>41886.0</v>
      </c>
      <c r="T5239" s="29"/>
      <c r="U5239" s="33"/>
      <c r="V5239" s="1"/>
    </row>
    <row r="5240" ht="24.0" customHeight="1">
      <c r="A5240" s="1"/>
      <c r="B5240" s="24" t="str">
        <f>HYPERLINK("https://www.compass.com/listing/45-east-22nd-street-unit-48b-manhattan-ny-10010/1048171288895397433/view?agent_id=610d3f3370540700019b0833","45 E 22nd St, Unit 48B")</f>
        <v>45 E 22nd St, Unit 48B</v>
      </c>
      <c r="C5240" s="25" t="s">
        <v>364</v>
      </c>
      <c r="D5240" s="26" t="s">
        <v>23</v>
      </c>
      <c r="E5240" s="27" t="str">
        <f>HYPERLINK("https://www.compass.com/building/madison-square-park-tower-manhattan-ny/281903584482705973/","Madison Square Park Tower")</f>
        <v>Madison Square Park Tower</v>
      </c>
      <c r="F5240" s="25" t="s">
        <v>115</v>
      </c>
      <c r="G5240" s="28">
        <v>7500000.0</v>
      </c>
      <c r="H5240" s="28">
        <v>3458.0</v>
      </c>
      <c r="I5240" s="28">
        <v>8766.0</v>
      </c>
      <c r="J5240" s="28">
        <v>66792.0</v>
      </c>
      <c r="K5240" s="25" t="s">
        <v>28</v>
      </c>
      <c r="L5240" s="26">
        <v>4.0</v>
      </c>
      <c r="M5240" s="26">
        <v>2.0</v>
      </c>
      <c r="N5240" s="30"/>
      <c r="O5240" s="30"/>
      <c r="P5240" s="34">
        <v>2169.0</v>
      </c>
      <c r="Q5240" s="35">
        <v>57.0</v>
      </c>
      <c r="R5240" s="32">
        <v>44825.0</v>
      </c>
      <c r="S5240" s="32">
        <v>44698.0</v>
      </c>
      <c r="T5240" s="29"/>
      <c r="U5240" s="33"/>
      <c r="V5240" s="1"/>
    </row>
    <row r="5241" ht="24.0" customHeight="1">
      <c r="A5241" s="1"/>
      <c r="B5241" s="24" t="str">
        <f>HYPERLINK("https://www.compass.com/listing/21-east-22nd-street-unit-2b-manhattan-ny-10010/797866151068245425/view?agent_id=610d3f3370540700019b0833","21 E 22nd St, Unit 2B")</f>
        <v>21 E 22nd St, Unit 2B</v>
      </c>
      <c r="C5241" s="25" t="s">
        <v>364</v>
      </c>
      <c r="D5241" s="26" t="s">
        <v>23</v>
      </c>
      <c r="E5241" s="27" t="str">
        <f>HYPERLINK("https://www.compass.com/building/21-e-22nd-st-manhattan-ny-10010/281902113280245685/","21 E 22nd St")</f>
        <v>21 E 22nd St</v>
      </c>
      <c r="F5241" s="25" t="s">
        <v>115</v>
      </c>
      <c r="G5241" s="28">
        <v>2500000.0</v>
      </c>
      <c r="H5241" s="28">
        <v>1786.0</v>
      </c>
      <c r="I5241" s="28">
        <v>1750.0</v>
      </c>
      <c r="J5241" s="29"/>
      <c r="K5241" s="25" t="s">
        <v>25</v>
      </c>
      <c r="L5241" s="26">
        <v>4.0</v>
      </c>
      <c r="M5241" s="26">
        <v>2.0</v>
      </c>
      <c r="N5241" s="26">
        <v>0.0</v>
      </c>
      <c r="O5241" s="26">
        <v>0.0</v>
      </c>
      <c r="P5241" s="34">
        <v>1400.0</v>
      </c>
      <c r="Q5241" s="35">
        <v>1913.0</v>
      </c>
      <c r="R5241" s="32">
        <v>45636.0</v>
      </c>
      <c r="S5241" s="32">
        <v>42667.0</v>
      </c>
      <c r="T5241" s="29"/>
      <c r="U5241" s="33"/>
      <c r="V5241" s="1"/>
    </row>
    <row r="5242" ht="24.0" customHeight="1">
      <c r="A5242" s="1"/>
      <c r="B5242" s="24" t="str">
        <f>HYPERLINK("https://www.compass.com/listing/260-west-end-avenue-unit-4d-manhattan-ny-10023/1809606432685511817/view?agent_id=610d3f3370540700019b0833","260 West End Ave, Unit 4D")</f>
        <v>260 West End Ave, Unit 4D</v>
      </c>
      <c r="C5242" s="25" t="s">
        <v>370</v>
      </c>
      <c r="D5242" s="26" t="s">
        <v>23</v>
      </c>
      <c r="E5242" s="27" t="str">
        <f>HYPERLINK("https://www.compass.com/building/260-west-end-ave-manhattan-ny-10023/281959225071050533/","260 West End Ave")</f>
        <v>260 West End Ave</v>
      </c>
      <c r="F5242" s="25" t="s">
        <v>29</v>
      </c>
      <c r="G5242" s="28">
        <v>1095000.0</v>
      </c>
      <c r="H5242" s="29"/>
      <c r="I5242" s="28">
        <v>2990.0</v>
      </c>
      <c r="J5242" s="29"/>
      <c r="K5242" s="25" t="s">
        <v>25</v>
      </c>
      <c r="L5242" s="26">
        <v>4.0</v>
      </c>
      <c r="M5242" s="26">
        <v>2.0</v>
      </c>
      <c r="N5242" s="26">
        <v>0.0</v>
      </c>
      <c r="O5242" s="26">
        <v>0.0</v>
      </c>
      <c r="P5242" s="30"/>
      <c r="Q5242" s="35">
        <v>101.0</v>
      </c>
      <c r="R5242" s="32">
        <v>45636.0</v>
      </c>
      <c r="S5242" s="32">
        <v>43113.0</v>
      </c>
      <c r="T5242" s="29"/>
      <c r="U5242" s="33"/>
      <c r="V5242" s="1"/>
    </row>
    <row r="5243" ht="24.0" customHeight="1">
      <c r="A5243" s="1"/>
      <c r="B5243" s="24" t="str">
        <f>HYPERLINK("https://www.compass.com/listing/515-broadway-unit-5e-manhattan-ny-10012/204310398273397553/view?agent_id=610d3f3370540700019b0833","515 Broadway, Unit 5E")</f>
        <v>515 Broadway, Unit 5E</v>
      </c>
      <c r="C5243" s="25" t="s">
        <v>364</v>
      </c>
      <c r="D5243" s="26" t="s">
        <v>23</v>
      </c>
      <c r="E5243" s="27" t="str">
        <f>HYPERLINK("https://www.compass.com/building/515-broadway-manhattan-ny-10012/282061182771168341/","515 Broadway")</f>
        <v>515 Broadway</v>
      </c>
      <c r="F5243" s="25" t="s">
        <v>53</v>
      </c>
      <c r="G5243" s="28">
        <v>2950000.0</v>
      </c>
      <c r="H5243" s="29"/>
      <c r="I5243" s="28">
        <v>4734.0</v>
      </c>
      <c r="J5243" s="28">
        <v>0.0</v>
      </c>
      <c r="K5243" s="25" t="s">
        <v>25</v>
      </c>
      <c r="L5243" s="26">
        <v>3.0</v>
      </c>
      <c r="M5243" s="26">
        <v>2.0</v>
      </c>
      <c r="N5243" s="30"/>
      <c r="O5243" s="30"/>
      <c r="P5243" s="30"/>
      <c r="Q5243" s="35">
        <v>51.0</v>
      </c>
      <c r="R5243" s="32">
        <v>43587.0</v>
      </c>
      <c r="S5243" s="32">
        <v>43533.0</v>
      </c>
      <c r="T5243" s="29"/>
      <c r="U5243" s="33"/>
      <c r="V5243" s="1"/>
    </row>
    <row r="5244" ht="24.0" customHeight="1">
      <c r="A5244" s="1"/>
      <c r="B5244" s="24" t="str">
        <f>HYPERLINK("https://www.compass.com/listing/718-broadway-unit-4c-manhattan-ny-10003/50876384003800977/view?agent_id=610d3f3370540700019b0833","718 Broadway, Unit 4C")</f>
        <v>718 Broadway, Unit 4C</v>
      </c>
      <c r="C5244" s="25" t="s">
        <v>364</v>
      </c>
      <c r="D5244" s="26" t="s">
        <v>23</v>
      </c>
      <c r="E5244" s="27" t="str">
        <f>HYPERLINK("https://www.compass.com/building/718-broadway-manhattan-ny-10003/281894678784122533/","718 Broadway")</f>
        <v>718 Broadway</v>
      </c>
      <c r="F5244" s="25" t="s">
        <v>57</v>
      </c>
      <c r="G5244" s="28">
        <v>2200000.0</v>
      </c>
      <c r="H5244" s="28">
        <v>1679.0</v>
      </c>
      <c r="I5244" s="28">
        <v>1981.0</v>
      </c>
      <c r="J5244" s="29"/>
      <c r="K5244" s="25" t="s">
        <v>25</v>
      </c>
      <c r="L5244" s="26">
        <v>6.0</v>
      </c>
      <c r="M5244" s="26">
        <v>2.0</v>
      </c>
      <c r="N5244" s="26">
        <v>0.0</v>
      </c>
      <c r="O5244" s="26">
        <v>0.0</v>
      </c>
      <c r="P5244" s="34">
        <v>1310.0</v>
      </c>
      <c r="Q5244" s="35">
        <v>127.0</v>
      </c>
      <c r="R5244" s="32">
        <v>45636.0</v>
      </c>
      <c r="S5244" s="32">
        <v>42836.0</v>
      </c>
      <c r="T5244" s="29"/>
      <c r="U5244" s="33"/>
      <c r="V5244" s="1"/>
    </row>
    <row r="5245" ht="24.0" customHeight="1">
      <c r="A5245" s="1"/>
      <c r="B5245" s="24" t="str">
        <f>HYPERLINK("https://www.compass.com/listing/126-east-12th-street-unit-12d-manhattan-ny-10003/4703681502431440737/view?agent_id=610d3f3370540700019b0833","126 E 12th St, Unit 12D")</f>
        <v>126 E 12th St, Unit 12D</v>
      </c>
      <c r="C5245" s="25" t="s">
        <v>364</v>
      </c>
      <c r="D5245" s="26" t="s">
        <v>23</v>
      </c>
      <c r="E5245" s="27" t="str">
        <f>HYPERLINK("https://www.compass.com/building/126-e-12th-st-manhattan-ny-10003/281889319461848853/","126 E 12th St")</f>
        <v>126 E 12th St</v>
      </c>
      <c r="F5245" s="25" t="s">
        <v>43</v>
      </c>
      <c r="G5245" s="28">
        <v>899000.0</v>
      </c>
      <c r="H5245" s="29"/>
      <c r="I5245" s="28">
        <v>1614.0</v>
      </c>
      <c r="J5245" s="29"/>
      <c r="K5245" s="25" t="s">
        <v>25</v>
      </c>
      <c r="L5245" s="26">
        <v>5.0</v>
      </c>
      <c r="M5245" s="26">
        <v>2.0</v>
      </c>
      <c r="N5245" s="30"/>
      <c r="O5245" s="30"/>
      <c r="P5245" s="30"/>
      <c r="Q5245" s="35">
        <v>0.0</v>
      </c>
      <c r="R5245" s="32">
        <v>42594.0</v>
      </c>
      <c r="S5245" s="32">
        <v>42592.0</v>
      </c>
      <c r="T5245" s="29"/>
      <c r="U5245" s="33"/>
      <c r="V5245" s="1"/>
    </row>
    <row r="5246" ht="24.0" customHeight="1">
      <c r="A5246" s="1"/>
      <c r="B5246" s="24" t="str">
        <f>HYPERLINK("https://www.compass.com/listing/264-west-77th-street-unit-4-manhattan-ny-10024/1838948835527995033/view?agent_id=610d3f3370540700019b0833","264 W 77th St, Unit 4")</f>
        <v>264 W 77th St, Unit 4</v>
      </c>
      <c r="C5246" s="25" t="s">
        <v>364</v>
      </c>
      <c r="D5246" s="26" t="s">
        <v>23</v>
      </c>
      <c r="E5246" s="27" t="str">
        <f>HYPERLINK("https://www.compass.com/building/264-w-77th-st-manhattan-ny-10024/281964576088601813/","264 W 77th St")</f>
        <v>264 W 77th St</v>
      </c>
      <c r="F5246" s="25" t="s">
        <v>29</v>
      </c>
      <c r="G5246" s="28">
        <v>1150000.0</v>
      </c>
      <c r="H5246" s="28">
        <v>1242.0</v>
      </c>
      <c r="I5246" s="28">
        <v>1526.0</v>
      </c>
      <c r="J5246" s="28">
        <v>8040.0</v>
      </c>
      <c r="K5246" s="25" t="s">
        <v>28</v>
      </c>
      <c r="L5246" s="26">
        <v>4.0</v>
      </c>
      <c r="M5246" s="26">
        <v>2.0</v>
      </c>
      <c r="N5246" s="26">
        <v>1.0</v>
      </c>
      <c r="O5246" s="26">
        <v>0.0</v>
      </c>
      <c r="P5246" s="26">
        <v>926.0</v>
      </c>
      <c r="Q5246" s="31"/>
      <c r="R5246" s="32">
        <v>44581.0</v>
      </c>
      <c r="S5246" s="33"/>
      <c r="T5246" s="29"/>
      <c r="U5246" s="33"/>
      <c r="V5246" s="1"/>
    </row>
    <row r="5247" ht="24.0" customHeight="1">
      <c r="A5247" s="1"/>
      <c r="B5247" s="24" t="str">
        <f>HYPERLINK("https://www.compass.com/listing/440-greene-avenue-unit-1-brooklyn-ny-11216/1840762800933518449/view?agent_id=610d3f3370540700019b0833","440 Greene Ave, Unit 1")</f>
        <v>440 Greene Ave, Unit 1</v>
      </c>
      <c r="C5247" s="25" t="s">
        <v>364</v>
      </c>
      <c r="D5247" s="26" t="s">
        <v>23</v>
      </c>
      <c r="E5247" s="27" t="str">
        <f>HYPERLINK("https://www.compass.com/building/440-greene-ave-brooklyn-ny-11216/293531065212012053/","440 Greene Ave")</f>
        <v>440 Greene Ave</v>
      </c>
      <c r="F5247" s="25" t="s">
        <v>51</v>
      </c>
      <c r="G5247" s="28">
        <v>2900000.0</v>
      </c>
      <c r="H5247" s="28">
        <v>967.0</v>
      </c>
      <c r="I5247" s="28">
        <v>7132.0</v>
      </c>
      <c r="J5247" s="28">
        <v>85584.0</v>
      </c>
      <c r="K5247" s="25" t="s">
        <v>28</v>
      </c>
      <c r="L5247" s="26">
        <v>4.0</v>
      </c>
      <c r="M5247" s="26">
        <v>2.0</v>
      </c>
      <c r="N5247" s="26">
        <v>1.0</v>
      </c>
      <c r="O5247" s="26">
        <v>0.0</v>
      </c>
      <c r="P5247" s="34">
        <v>3000.0</v>
      </c>
      <c r="Q5247" s="35">
        <v>0.0</v>
      </c>
      <c r="R5247" s="32">
        <v>45791.0</v>
      </c>
      <c r="S5247" s="32">
        <v>45791.0</v>
      </c>
      <c r="T5247" s="29"/>
      <c r="U5247" s="33"/>
      <c r="V5247" s="1"/>
    </row>
    <row r="5248" ht="24.0" customHeight="1">
      <c r="A5248" s="1"/>
      <c r="B5248" s="24" t="str">
        <f>HYPERLINK("https://www.compass.com/listing/101-warren-street-unit-1540-manhattan-ny-10007/29358127921092657/view?agent_id=610d3f3370540700019b0833","101 Warren St, Unit 1540")</f>
        <v>101 Warren St, Unit 1540</v>
      </c>
      <c r="C5248" s="25" t="s">
        <v>370</v>
      </c>
      <c r="D5248" s="26" t="s">
        <v>23</v>
      </c>
      <c r="E5248" s="27" t="str">
        <f>HYPERLINK("https://www.compass.com/building/99-101-warren-manhattan-ny/307460833541810581/","99-101 Warren")</f>
        <v>99-101 Warren</v>
      </c>
      <c r="F5248" s="25" t="s">
        <v>60</v>
      </c>
      <c r="G5248" s="28">
        <v>3199000.0</v>
      </c>
      <c r="H5248" s="28">
        <v>2009.0</v>
      </c>
      <c r="I5248" s="28">
        <v>2462.0</v>
      </c>
      <c r="J5248" s="28">
        <v>9912.0</v>
      </c>
      <c r="K5248" s="25" t="s">
        <v>49</v>
      </c>
      <c r="L5248" s="26">
        <v>4.0</v>
      </c>
      <c r="M5248" s="26">
        <v>2.0</v>
      </c>
      <c r="N5248" s="26">
        <v>0.0</v>
      </c>
      <c r="O5248" s="26">
        <v>0.0</v>
      </c>
      <c r="P5248" s="34">
        <v>1592.0</v>
      </c>
      <c r="Q5248" s="35">
        <v>0.0</v>
      </c>
      <c r="R5248" s="32">
        <v>44581.0</v>
      </c>
      <c r="S5248" s="32">
        <v>41511.0</v>
      </c>
      <c r="T5248" s="29"/>
      <c r="U5248" s="33"/>
      <c r="V5248" s="1"/>
    </row>
    <row r="5249" ht="24.0" customHeight="1">
      <c r="A5249" s="1"/>
      <c r="B5249" s="24" t="str">
        <f>HYPERLINK("https://www.compass.com/listing/261-broadway-unit-7f-manhattan-ny-10007/803390503101641969/view?agent_id=610d3f3370540700019b0833","261 Broadway, Unit 7F")</f>
        <v>261 Broadway, Unit 7F</v>
      </c>
      <c r="C5249" s="25" t="s">
        <v>364</v>
      </c>
      <c r="D5249" s="26" t="s">
        <v>23</v>
      </c>
      <c r="E5249" s="27" t="str">
        <f>HYPERLINK("https://www.compass.com/building/261-broadway-manhattan-ny-10007/282058491345009717/","261 Broadway")</f>
        <v>261 Broadway</v>
      </c>
      <c r="F5249" s="25" t="s">
        <v>60</v>
      </c>
      <c r="G5249" s="28">
        <v>1595000.0</v>
      </c>
      <c r="H5249" s="28">
        <v>1246.0</v>
      </c>
      <c r="I5249" s="28">
        <v>2099.0</v>
      </c>
      <c r="J5249" s="29"/>
      <c r="K5249" s="25" t="s">
        <v>25</v>
      </c>
      <c r="L5249" s="26">
        <v>5.0</v>
      </c>
      <c r="M5249" s="26">
        <v>2.0</v>
      </c>
      <c r="N5249" s="26">
        <v>0.0</v>
      </c>
      <c r="O5249" s="26">
        <v>0.0</v>
      </c>
      <c r="P5249" s="34">
        <v>1280.0</v>
      </c>
      <c r="Q5249" s="35">
        <v>290.0</v>
      </c>
      <c r="R5249" s="32">
        <v>45636.0</v>
      </c>
      <c r="S5249" s="32">
        <v>41771.0</v>
      </c>
      <c r="T5249" s="29"/>
      <c r="U5249" s="33"/>
      <c r="V5249" s="1"/>
    </row>
    <row r="5250" ht="24.0" customHeight="1">
      <c r="A5250" s="1"/>
      <c r="B5250" s="24" t="str">
        <f>HYPERLINK("https://www.compass.com/listing/245-west-19th-street-unit-ph1-manhattan-ny-10011/1861867375152142785/view?agent_id=610d3f3370540700019b0833","245 W 19th St, Unit PH1")</f>
        <v>245 W 19th St, Unit PH1</v>
      </c>
      <c r="C5250" s="25" t="s">
        <v>364</v>
      </c>
      <c r="D5250" s="26" t="s">
        <v>23</v>
      </c>
      <c r="E5250" s="27" t="str">
        <f t="shared" ref="E5250:E5251" si="245">HYPERLINK("https://www.compass.com/building/avant-chelsea-manhattan-ny/292802887338192885/","Avant Chelsea")</f>
        <v>Avant Chelsea</v>
      </c>
      <c r="F5250" s="25" t="s">
        <v>27</v>
      </c>
      <c r="G5250" s="28">
        <v>4250000.0</v>
      </c>
      <c r="H5250" s="28">
        <v>2307.0</v>
      </c>
      <c r="I5250" s="28">
        <v>6594.0</v>
      </c>
      <c r="J5250" s="28">
        <v>37404.0</v>
      </c>
      <c r="K5250" s="25" t="s">
        <v>28</v>
      </c>
      <c r="L5250" s="30"/>
      <c r="M5250" s="26">
        <v>2.0</v>
      </c>
      <c r="N5250" s="30"/>
      <c r="O5250" s="30"/>
      <c r="P5250" s="34">
        <v>1842.0</v>
      </c>
      <c r="Q5250" s="35">
        <v>98.0</v>
      </c>
      <c r="R5250" s="32">
        <v>43741.0</v>
      </c>
      <c r="S5250" s="32">
        <v>43643.0</v>
      </c>
      <c r="T5250" s="29"/>
      <c r="U5250" s="33"/>
      <c r="V5250" s="1"/>
    </row>
    <row r="5251" ht="24.0" customHeight="1">
      <c r="A5251" s="1"/>
      <c r="B5251" s="24" t="str">
        <f>HYPERLINK("https://www.compass.com/listing/245-west-19th-street-unit-1-manhattan-ny-10011/851910243290372241/view?agent_id=610d3f3370540700019b0833","245 W 19th St, Unit 1")</f>
        <v>245 W 19th St, Unit 1</v>
      </c>
      <c r="C5251" s="25" t="s">
        <v>364</v>
      </c>
      <c r="D5251" s="26" t="s">
        <v>23</v>
      </c>
      <c r="E5251" s="27" t="str">
        <f t="shared" si="245"/>
        <v>Avant Chelsea</v>
      </c>
      <c r="F5251" s="25" t="s">
        <v>27</v>
      </c>
      <c r="G5251" s="28">
        <v>4249000.0</v>
      </c>
      <c r="H5251" s="28">
        <v>2307.0</v>
      </c>
      <c r="I5251" s="28">
        <v>6593.0</v>
      </c>
      <c r="J5251" s="28">
        <v>37392.0</v>
      </c>
      <c r="K5251" s="25" t="s">
        <v>28</v>
      </c>
      <c r="L5251" s="30"/>
      <c r="M5251" s="26">
        <v>2.0</v>
      </c>
      <c r="N5251" s="30"/>
      <c r="O5251" s="30"/>
      <c r="P5251" s="34">
        <v>1842.0</v>
      </c>
      <c r="Q5251" s="35">
        <v>128.0</v>
      </c>
      <c r="R5251" s="32">
        <v>44556.0</v>
      </c>
      <c r="S5251" s="32">
        <v>44427.0</v>
      </c>
      <c r="T5251" s="29"/>
      <c r="U5251" s="33"/>
      <c r="V5251" s="1"/>
    </row>
    <row r="5252" ht="24.0" customHeight="1">
      <c r="A5252" s="1"/>
      <c r="B5252" s="24" t="str">
        <f>HYPERLINK("https://www.compass.com/listing/300-east-23rd-street-unit-2b-manhattan-ny-10010/192570579226813009/view?agent_id=610d3f3370540700019b0833","300 E 23rd St, Unit 2B")</f>
        <v>300 E 23rd St, Unit 2B</v>
      </c>
      <c r="C5252" s="25" t="s">
        <v>364</v>
      </c>
      <c r="D5252" s="26" t="s">
        <v>23</v>
      </c>
      <c r="E5252" s="27" t="str">
        <f>HYPERLINK("https://www.compass.com/building/tempo-manhattan-ny/281902794510712821/","Tempo")</f>
        <v>Tempo</v>
      </c>
      <c r="F5252" s="25" t="s">
        <v>48</v>
      </c>
      <c r="G5252" s="28">
        <v>1900000.0</v>
      </c>
      <c r="H5252" s="28">
        <v>1761.0</v>
      </c>
      <c r="I5252" s="28">
        <v>1588.0</v>
      </c>
      <c r="J5252" s="28">
        <v>3792.0</v>
      </c>
      <c r="K5252" s="25" t="s">
        <v>28</v>
      </c>
      <c r="L5252" s="26">
        <v>4.0</v>
      </c>
      <c r="M5252" s="26">
        <v>2.0</v>
      </c>
      <c r="N5252" s="26">
        <v>0.0</v>
      </c>
      <c r="O5252" s="26">
        <v>0.0</v>
      </c>
      <c r="P5252" s="34">
        <v>1079.0</v>
      </c>
      <c r="Q5252" s="35">
        <v>128.0</v>
      </c>
      <c r="R5252" s="32">
        <v>44581.0</v>
      </c>
      <c r="S5252" s="32">
        <v>42101.0</v>
      </c>
      <c r="T5252" s="29"/>
      <c r="U5252" s="33"/>
      <c r="V5252" s="1"/>
    </row>
    <row r="5253" ht="24.0" customHeight="1">
      <c r="A5253" s="1"/>
      <c r="B5253" s="24" t="str">
        <f>HYPERLINK("https://www.compass.com/listing/55-avenue-c-unit-23-manhattan-ny-10009/4848425842616841537/view?agent_id=610d3f3370540700019b0833","55 Avenue C, Unit 23")</f>
        <v>55 Avenue C, Unit 23</v>
      </c>
      <c r="C5253" s="25" t="s">
        <v>364</v>
      </c>
      <c r="D5253" s="26" t="s">
        <v>23</v>
      </c>
      <c r="E5253" s="27" t="str">
        <f>HYPERLINK("https://www.compass.com/building/55-avenue-c-manhattan-ny-10009/389270682556089877/","55 Avenue C")</f>
        <v>55 Avenue C</v>
      </c>
      <c r="F5253" s="25" t="s">
        <v>24</v>
      </c>
      <c r="G5253" s="28">
        <v>749000.0</v>
      </c>
      <c r="H5253" s="29"/>
      <c r="I5253" s="29"/>
      <c r="J5253" s="29"/>
      <c r="K5253" s="25" t="s">
        <v>25</v>
      </c>
      <c r="L5253" s="26">
        <v>4.0</v>
      </c>
      <c r="M5253" s="26">
        <v>2.0</v>
      </c>
      <c r="N5253" s="30"/>
      <c r="O5253" s="30"/>
      <c r="P5253" s="30"/>
      <c r="Q5253" s="35">
        <v>100.0</v>
      </c>
      <c r="R5253" s="32">
        <v>42693.0</v>
      </c>
      <c r="S5253" s="32">
        <v>39089.0</v>
      </c>
      <c r="T5253" s="29"/>
      <c r="U5253" s="33"/>
      <c r="V5253" s="1"/>
    </row>
    <row r="5254" ht="24.0" customHeight="1">
      <c r="A5254" s="1"/>
      <c r="B5254" s="24" t="str">
        <f>HYPERLINK("https://www.compass.com/listing/10-west-15th-street-unit-920-manhattan-ny-10011/76552986460975825/view?agent_id=610d3f3370540700019b0833","10 W 15th St, Unit 920")</f>
        <v>10 W 15th St, Unit 920</v>
      </c>
      <c r="C5254" s="25" t="s">
        <v>364</v>
      </c>
      <c r="D5254" s="26" t="s">
        <v>23</v>
      </c>
      <c r="E5254" s="27" t="str">
        <f>HYPERLINK("https://www.compass.com/building/the-parker-gramercy-manhattan-ny/282059400435236053/","The Parker Gramercy")</f>
        <v>The Parker Gramercy</v>
      </c>
      <c r="F5254" s="25" t="s">
        <v>115</v>
      </c>
      <c r="G5254" s="28">
        <v>1275000.0</v>
      </c>
      <c r="H5254" s="28">
        <v>1417.0</v>
      </c>
      <c r="I5254" s="28">
        <v>1531.0</v>
      </c>
      <c r="J5254" s="29"/>
      <c r="K5254" s="25" t="s">
        <v>25</v>
      </c>
      <c r="L5254" s="26">
        <v>4.0</v>
      </c>
      <c r="M5254" s="26">
        <v>2.0</v>
      </c>
      <c r="N5254" s="26">
        <v>1.0</v>
      </c>
      <c r="O5254" s="26">
        <v>0.0</v>
      </c>
      <c r="P5254" s="26">
        <v>900.0</v>
      </c>
      <c r="Q5254" s="35">
        <v>95.0</v>
      </c>
      <c r="R5254" s="32">
        <v>45636.0</v>
      </c>
      <c r="S5254" s="32">
        <v>43357.0</v>
      </c>
      <c r="T5254" s="29"/>
      <c r="U5254" s="33"/>
      <c r="V5254" s="1"/>
    </row>
    <row r="5255" ht="24.0" customHeight="1">
      <c r="A5255" s="1"/>
      <c r="B5255" s="24" t="str">
        <f>HYPERLINK("https://www.compass.com/listing/450-west-17th-street-unit-1603-manhattan-ny-10011/4852282856711397729/view?agent_id=610d3f3370540700019b0833","450 W 17th St, Unit 1603")</f>
        <v>450 W 17th St, Unit 1603</v>
      </c>
      <c r="C5255" s="25" t="s">
        <v>364</v>
      </c>
      <c r="D5255" s="26" t="s">
        <v>23</v>
      </c>
      <c r="E5255" s="27" t="str">
        <f>HYPERLINK("https://www.compass.com/building/the-caledonia-manhattan-ny/281910674349645621/","The Caledonia")</f>
        <v>The Caledonia</v>
      </c>
      <c r="F5255" s="25" t="s">
        <v>27</v>
      </c>
      <c r="G5255" s="28">
        <v>2795000.0</v>
      </c>
      <c r="H5255" s="28">
        <v>2693.0</v>
      </c>
      <c r="I5255" s="28">
        <v>1538.0</v>
      </c>
      <c r="J5255" s="28">
        <v>5544.0</v>
      </c>
      <c r="K5255" s="25" t="s">
        <v>28</v>
      </c>
      <c r="L5255" s="26">
        <v>4.0</v>
      </c>
      <c r="M5255" s="26">
        <v>2.0</v>
      </c>
      <c r="N5255" s="26">
        <v>0.0</v>
      </c>
      <c r="O5255" s="26">
        <v>0.0</v>
      </c>
      <c r="P5255" s="34">
        <v>1038.0</v>
      </c>
      <c r="Q5255" s="35">
        <v>90.0</v>
      </c>
      <c r="R5255" s="32">
        <v>45636.0</v>
      </c>
      <c r="S5255" s="32">
        <v>42248.0</v>
      </c>
      <c r="T5255" s="29"/>
      <c r="U5255" s="33"/>
      <c r="V5255" s="1"/>
    </row>
    <row r="5256" ht="24.0" customHeight="1">
      <c r="A5256" s="1"/>
      <c r="B5256" s="24" t="str">
        <f>HYPERLINK("https://www.compass.com/listing/23-east-22nd-street-unit-28w-manhattan-ny-10010/4852306804199140561/view?agent_id=610d3f3370540700019b0833","23 E 22nd St, Unit 28W")</f>
        <v>23 E 22nd St, Unit 28W</v>
      </c>
      <c r="C5256" s="25" t="s">
        <v>370</v>
      </c>
      <c r="D5256" s="26" t="s">
        <v>23</v>
      </c>
      <c r="E5256" s="27" t="str">
        <f>HYPERLINK("https://www.compass.com/building/one-madison-manhattan-ny/282059009467383221/","One Madison")</f>
        <v>One Madison</v>
      </c>
      <c r="F5256" s="25" t="s">
        <v>115</v>
      </c>
      <c r="G5256" s="28">
        <v>4595000.0</v>
      </c>
      <c r="H5256" s="28">
        <v>3460.0</v>
      </c>
      <c r="I5256" s="28">
        <v>3900.0</v>
      </c>
      <c r="J5256" s="28">
        <v>16548.0</v>
      </c>
      <c r="K5256" s="25" t="s">
        <v>28</v>
      </c>
      <c r="L5256" s="26">
        <v>4.0</v>
      </c>
      <c r="M5256" s="26">
        <v>2.0</v>
      </c>
      <c r="N5256" s="26">
        <v>0.0</v>
      </c>
      <c r="O5256" s="26">
        <v>0.0</v>
      </c>
      <c r="P5256" s="34">
        <v>1328.0</v>
      </c>
      <c r="Q5256" s="35">
        <v>283.0</v>
      </c>
      <c r="R5256" s="32">
        <v>44581.0</v>
      </c>
      <c r="S5256" s="32">
        <v>42355.0</v>
      </c>
      <c r="T5256" s="29"/>
      <c r="U5256" s="33"/>
      <c r="V5256" s="1"/>
    </row>
    <row r="5257" ht="24.0" customHeight="1">
      <c r="A5257" s="1"/>
      <c r="B5257" s="24" t="str">
        <f>HYPERLINK("https://www.compass.com/listing/170-2nd-avenue-unit-5d-manhattan-ny-10003/29507221234754193/view?agent_id=610d3f3370540700019b0833","170 2nd Ave, Unit 5D")</f>
        <v>170 2nd Ave, Unit 5D</v>
      </c>
      <c r="C5257" s="25" t="s">
        <v>364</v>
      </c>
      <c r="D5257" s="26" t="s">
        <v>23</v>
      </c>
      <c r="E5257" s="27" t="str">
        <f>HYPERLINK("https://www.compass.com/building/170-2nd-ave-manhattan-ny-10003/281890110633413797/","170 2nd Ave")</f>
        <v>170 2nd Ave</v>
      </c>
      <c r="F5257" s="25" t="s">
        <v>24</v>
      </c>
      <c r="G5257" s="28">
        <v>1595000.0</v>
      </c>
      <c r="H5257" s="29"/>
      <c r="I5257" s="28">
        <v>2382.0</v>
      </c>
      <c r="J5257" s="29"/>
      <c r="K5257" s="25" t="s">
        <v>25</v>
      </c>
      <c r="L5257" s="26">
        <v>4.0</v>
      </c>
      <c r="M5257" s="26">
        <v>2.0</v>
      </c>
      <c r="N5257" s="26">
        <v>0.0</v>
      </c>
      <c r="O5257" s="26">
        <v>0.0</v>
      </c>
      <c r="P5257" s="30"/>
      <c r="Q5257" s="35">
        <v>177.0</v>
      </c>
      <c r="R5257" s="32">
        <v>45636.0</v>
      </c>
      <c r="S5257" s="32">
        <v>43221.0</v>
      </c>
      <c r="T5257" s="29"/>
      <c r="U5257" s="33"/>
      <c r="V5257" s="1"/>
    </row>
    <row r="5258" ht="24.0" customHeight="1">
      <c r="A5258" s="1"/>
      <c r="B5258" s="24" t="str">
        <f>HYPERLINK("https://www.compass.com/listing/436-west-20th-street-unit-garden-manhattan-ny-10011/4852265319235859073/view?agent_id=610d3f3370540700019b0833","436 W 20th St, Unit GARDEN")</f>
        <v>436 W 20th St, Unit GARDEN</v>
      </c>
      <c r="C5258" s="25" t="s">
        <v>364</v>
      </c>
      <c r="D5258" s="26" t="s">
        <v>23</v>
      </c>
      <c r="E5258" s="27" t="str">
        <f>HYPERLINK("https://www.compass.com/building/house-436-west-20th-street-manhattan-ny/281910403556991029/","House: 436 West 20th Street")</f>
        <v>House: 436 West 20th Street</v>
      </c>
      <c r="F5258" s="25" t="s">
        <v>27</v>
      </c>
      <c r="G5258" s="28">
        <v>3395000.0</v>
      </c>
      <c r="H5258" s="28">
        <v>1787.0</v>
      </c>
      <c r="I5258" s="28">
        <v>983.0</v>
      </c>
      <c r="J5258" s="28">
        <v>7800.0</v>
      </c>
      <c r="K5258" s="25" t="s">
        <v>127</v>
      </c>
      <c r="L5258" s="26">
        <v>4.0</v>
      </c>
      <c r="M5258" s="26">
        <v>2.0</v>
      </c>
      <c r="N5258" s="26">
        <v>0.0</v>
      </c>
      <c r="O5258" s="26">
        <v>0.0</v>
      </c>
      <c r="P5258" s="34">
        <v>1900.0</v>
      </c>
      <c r="Q5258" s="35">
        <v>24.0</v>
      </c>
      <c r="R5258" s="32">
        <v>44581.0</v>
      </c>
      <c r="S5258" s="32">
        <v>42321.0</v>
      </c>
      <c r="T5258" s="29"/>
      <c r="U5258" s="33"/>
      <c r="V5258" s="1"/>
    </row>
    <row r="5259" ht="24.0" customHeight="1">
      <c r="A5259" s="1"/>
      <c r="B5259" s="24" t="str">
        <f>HYPERLINK("https://www.compass.com/listing/40-west-24th-street-unit-5w-manhattan-ny-10010/803349718889355625/view?agent_id=610d3f3370540700019b0833","40 W 24th St, Unit 5W")</f>
        <v>40 W 24th St, Unit 5W</v>
      </c>
      <c r="C5259" s="25" t="s">
        <v>364</v>
      </c>
      <c r="D5259" s="26" t="s">
        <v>23</v>
      </c>
      <c r="E5259" s="27" t="str">
        <f>HYPERLINK("https://www.compass.com/building/40-w-24th-st-manhattan-ny-10010/292797433518251653/","40 W 24th St")</f>
        <v>40 W 24th St</v>
      </c>
      <c r="F5259" s="25" t="s">
        <v>115</v>
      </c>
      <c r="G5259" s="28">
        <v>1750000.0</v>
      </c>
      <c r="H5259" s="28">
        <v>1092.0</v>
      </c>
      <c r="I5259" s="28">
        <v>2898.0</v>
      </c>
      <c r="J5259" s="29"/>
      <c r="K5259" s="25" t="s">
        <v>25</v>
      </c>
      <c r="L5259" s="26">
        <v>6.0</v>
      </c>
      <c r="M5259" s="26">
        <v>2.0</v>
      </c>
      <c r="N5259" s="26">
        <v>1.0</v>
      </c>
      <c r="O5259" s="26">
        <v>0.0</v>
      </c>
      <c r="P5259" s="34">
        <v>1602.0</v>
      </c>
      <c r="Q5259" s="35">
        <v>242.0</v>
      </c>
      <c r="R5259" s="32">
        <v>45636.0</v>
      </c>
      <c r="S5259" s="32">
        <v>43495.0</v>
      </c>
      <c r="T5259" s="29"/>
      <c r="U5259" s="33"/>
      <c r="V5259" s="1"/>
    </row>
    <row r="5260" ht="24.0" customHeight="1">
      <c r="A5260" s="1"/>
      <c r="B5260" s="24" t="str">
        <f>HYPERLINK("https://www.compass.com/listing/365-west-20th-street-unit-5c-manhattan-ny-10011/278886047885065265/view?agent_id=610d3f3370540700019b0833","365 W 20th St, Unit 5C")</f>
        <v>365 W 20th St, Unit 5C</v>
      </c>
      <c r="C5260" s="25" t="s">
        <v>364</v>
      </c>
      <c r="D5260" s="26" t="s">
        <v>23</v>
      </c>
      <c r="E5260" s="27" t="str">
        <f>HYPERLINK("https://www.compass.com/building/365-w-20th-st-manhattan-ny-10011/292805231895410229/","365 W 20th St")</f>
        <v>365 W 20th St</v>
      </c>
      <c r="F5260" s="25" t="s">
        <v>27</v>
      </c>
      <c r="G5260" s="28">
        <v>799000.0</v>
      </c>
      <c r="H5260" s="29"/>
      <c r="I5260" s="28">
        <v>1404.0</v>
      </c>
      <c r="J5260" s="29"/>
      <c r="K5260" s="25" t="s">
        <v>25</v>
      </c>
      <c r="L5260" s="26">
        <v>3.0</v>
      </c>
      <c r="M5260" s="26">
        <v>2.0</v>
      </c>
      <c r="N5260" s="26">
        <v>0.0</v>
      </c>
      <c r="O5260" s="26">
        <v>0.0</v>
      </c>
      <c r="P5260" s="30"/>
      <c r="Q5260" s="35">
        <v>116.0</v>
      </c>
      <c r="R5260" s="32">
        <v>45636.0</v>
      </c>
      <c r="S5260" s="32">
        <v>41673.0</v>
      </c>
      <c r="T5260" s="29"/>
      <c r="U5260" s="33"/>
      <c r="V5260" s="1"/>
    </row>
    <row r="5261" ht="24.0" customHeight="1">
      <c r="A5261" s="1"/>
      <c r="B5261" s="24" t="str">
        <f>HYPERLINK("https://www.compass.com/listing/115-eastern-parkway-unit-4f-brooklyn-ny-11238/192569402581927457/view?agent_id=610d3f3370540700019b0833","115 Eastern Pkwy, Unit 4F")</f>
        <v>115 Eastern Pkwy, Unit 4F</v>
      </c>
      <c r="C5261" s="25" t="s">
        <v>364</v>
      </c>
      <c r="D5261" s="26" t="s">
        <v>23</v>
      </c>
      <c r="E5261" s="27" t="str">
        <f>HYPERLINK("https://www.compass.com/building/museum-court-brooklyn-ny/293416599191399125/","Museum Court")</f>
        <v>Museum Court</v>
      </c>
      <c r="F5261" s="25" t="s">
        <v>39</v>
      </c>
      <c r="G5261" s="28">
        <v>609500.0</v>
      </c>
      <c r="H5261" s="29"/>
      <c r="I5261" s="28">
        <v>952.0</v>
      </c>
      <c r="J5261" s="29"/>
      <c r="K5261" s="25" t="s">
        <v>25</v>
      </c>
      <c r="L5261" s="26">
        <v>4.0</v>
      </c>
      <c r="M5261" s="26">
        <v>2.0</v>
      </c>
      <c r="N5261" s="26">
        <v>0.0</v>
      </c>
      <c r="O5261" s="26">
        <v>0.0</v>
      </c>
      <c r="P5261" s="30"/>
      <c r="Q5261" s="35">
        <v>53.0</v>
      </c>
      <c r="R5261" s="32">
        <v>45636.0</v>
      </c>
      <c r="S5261" s="32">
        <v>41490.0</v>
      </c>
      <c r="T5261" s="29"/>
      <c r="U5261" s="33"/>
      <c r="V5261" s="1"/>
    </row>
    <row r="5262" ht="24.0" customHeight="1">
      <c r="A5262" s="1"/>
      <c r="B5262" s="24" t="str">
        <f>HYPERLINK("https://www.compass.com/listing/113-carroll-street-unit-4-brooklyn-ny-11231/1130545757774888977/view?agent_id=610d3f3370540700019b0833","113 Carroll St, Unit 4")</f>
        <v>113 Carroll St, Unit 4</v>
      </c>
      <c r="C5262" s="25" t="s">
        <v>364</v>
      </c>
      <c r="D5262" s="26" t="s">
        <v>23</v>
      </c>
      <c r="E5262" s="27" t="str">
        <f>HYPERLINK("https://www.compass.com/building/113-carroll-st-brooklyn-ny-11231/282500956871012949/","113 Carroll St")</f>
        <v>113 Carroll St</v>
      </c>
      <c r="F5262" s="25" t="s">
        <v>65</v>
      </c>
      <c r="G5262" s="28">
        <v>1075000.0</v>
      </c>
      <c r="H5262" s="29"/>
      <c r="I5262" s="28">
        <v>525.0</v>
      </c>
      <c r="J5262" s="29"/>
      <c r="K5262" s="25" t="s">
        <v>25</v>
      </c>
      <c r="L5262" s="26">
        <v>5.0</v>
      </c>
      <c r="M5262" s="26">
        <v>2.0</v>
      </c>
      <c r="N5262" s="26">
        <v>1.0</v>
      </c>
      <c r="O5262" s="26">
        <v>0.0</v>
      </c>
      <c r="P5262" s="30"/>
      <c r="Q5262" s="35">
        <v>57.0</v>
      </c>
      <c r="R5262" s="32">
        <v>45636.0</v>
      </c>
      <c r="S5262" s="32">
        <v>44811.0</v>
      </c>
      <c r="T5262" s="29"/>
      <c r="U5262" s="33"/>
      <c r="V5262" s="1"/>
    </row>
    <row r="5263" ht="24.0" customHeight="1">
      <c r="A5263" s="1"/>
      <c r="B5263" s="24" t="str">
        <f>HYPERLINK("https://www.compass.com/listing/432-east-10th-street-unit-2-manhattan-ny-10009/4703726072296924369/view?agent_id=610d3f3370540700019b0833","432 E 10th St, Unit 2")</f>
        <v>432 E 10th St, Unit 2</v>
      </c>
      <c r="C5263" s="25" t="s">
        <v>370</v>
      </c>
      <c r="D5263" s="26" t="s">
        <v>23</v>
      </c>
      <c r="E5263" s="27" t="str">
        <f>HYPERLINK("https://www.compass.com/building/432-e-10th-st-manhattan-ny-10009/292793764315942837/","432 E 10th St")</f>
        <v>432 E 10th St</v>
      </c>
      <c r="F5263" s="25" t="s">
        <v>24</v>
      </c>
      <c r="G5263" s="28">
        <v>999999.0</v>
      </c>
      <c r="H5263" s="28">
        <v>645.0</v>
      </c>
      <c r="I5263" s="29"/>
      <c r="J5263" s="29"/>
      <c r="K5263" s="25" t="s">
        <v>25</v>
      </c>
      <c r="L5263" s="26">
        <v>4.0</v>
      </c>
      <c r="M5263" s="26">
        <v>2.0</v>
      </c>
      <c r="N5263" s="30"/>
      <c r="O5263" s="30"/>
      <c r="P5263" s="34">
        <v>1550.0</v>
      </c>
      <c r="Q5263" s="35">
        <v>355.0</v>
      </c>
      <c r="R5263" s="32">
        <v>42477.0</v>
      </c>
      <c r="S5263" s="32">
        <v>39580.0</v>
      </c>
      <c r="T5263" s="29"/>
      <c r="U5263" s="33"/>
      <c r="V5263" s="1"/>
    </row>
    <row r="5264" ht="24.0" customHeight="1">
      <c r="A5264" s="1"/>
      <c r="B5264" s="24" t="str">
        <f>HYPERLINK("https://www.compass.com/listing/254-park-avenue-south-unit-7me-manhattan-ny-10010/192565443746097681/view?agent_id=610d3f3370540700019b0833","254 Park Ave S, Unit 7ME")</f>
        <v>254 Park Ave S, Unit 7ME</v>
      </c>
      <c r="C5264" s="25" t="s">
        <v>364</v>
      </c>
      <c r="D5264" s="26" t="s">
        <v>23</v>
      </c>
      <c r="E5264" s="27" t="str">
        <f>HYPERLINK("https://www.compass.com/building/254-pas-manhattan-ny/294848119879630069/","254 PAS")</f>
        <v>254 PAS</v>
      </c>
      <c r="F5264" s="25" t="s">
        <v>115</v>
      </c>
      <c r="G5264" s="28">
        <v>950000.0</v>
      </c>
      <c r="H5264" s="29"/>
      <c r="I5264" s="28">
        <v>1627.0</v>
      </c>
      <c r="J5264" s="29"/>
      <c r="K5264" s="25" t="s">
        <v>28</v>
      </c>
      <c r="L5264" s="26">
        <v>4.0</v>
      </c>
      <c r="M5264" s="26">
        <v>2.0</v>
      </c>
      <c r="N5264" s="26">
        <v>0.0</v>
      </c>
      <c r="O5264" s="26">
        <v>0.0</v>
      </c>
      <c r="P5264" s="30"/>
      <c r="Q5264" s="35">
        <v>3396.0</v>
      </c>
      <c r="R5264" s="32">
        <v>44581.0</v>
      </c>
      <c r="S5264" s="32">
        <v>41184.0</v>
      </c>
      <c r="T5264" s="29"/>
      <c r="U5264" s="33"/>
      <c r="V5264" s="1"/>
    </row>
    <row r="5265" ht="24.0" customHeight="1">
      <c r="A5265" s="1"/>
      <c r="B5265" s="24" t="str">
        <f>HYPERLINK("https://www.compass.com/listing/368-west-23rd-street-unit-2f-manhattan-ny-10011/79385377244230721/view?agent_id=610d3f3370540700019b0833","368 W 23rd St, Unit 2F")</f>
        <v>368 W 23rd St, Unit 2F</v>
      </c>
      <c r="C5265" s="25" t="s">
        <v>364</v>
      </c>
      <c r="D5265" s="26" t="s">
        <v>23</v>
      </c>
      <c r="E5265" s="27" t="str">
        <f>HYPERLINK("https://www.compass.com/building/368-w-23rd-st-manhattan-ny-10011/281909835631451013/","368 W 23rd St")</f>
        <v>368 W 23rd St</v>
      </c>
      <c r="F5265" s="25" t="s">
        <v>27</v>
      </c>
      <c r="G5265" s="28">
        <v>725000.0</v>
      </c>
      <c r="H5265" s="28">
        <v>1036.0</v>
      </c>
      <c r="I5265" s="28">
        <v>704.0</v>
      </c>
      <c r="J5265" s="29"/>
      <c r="K5265" s="25" t="s">
        <v>25</v>
      </c>
      <c r="L5265" s="26">
        <v>4.0</v>
      </c>
      <c r="M5265" s="26">
        <v>2.0</v>
      </c>
      <c r="N5265" s="30"/>
      <c r="O5265" s="30"/>
      <c r="P5265" s="26">
        <v>700.0</v>
      </c>
      <c r="Q5265" s="35">
        <v>183.0</v>
      </c>
      <c r="R5265" s="32">
        <v>42476.0</v>
      </c>
      <c r="S5265" s="32">
        <v>40464.0</v>
      </c>
      <c r="T5265" s="29"/>
      <c r="U5265" s="33"/>
      <c r="V5265" s="1"/>
    </row>
    <row r="5266" ht="24.0" customHeight="1">
      <c r="A5266" s="1"/>
      <c r="B5266" s="24" t="str">
        <f>HYPERLINK("https://www.compass.com/listing/120-west-70th-street-unit-1a-manhattan-ny-10023/385197970001256017/view?agent_id=610d3f3370540700019b0833","120 W 70th St, Unit 1A")</f>
        <v>120 W 70th St, Unit 1A</v>
      </c>
      <c r="C5266" s="25" t="s">
        <v>364</v>
      </c>
      <c r="D5266" s="26" t="s">
        <v>23</v>
      </c>
      <c r="E5266" s="27" t="str">
        <f>HYPERLINK("https://www.compass.com/building/120-w-70th-st-manhattan-ny-10023/281924186593597205/","120 W 70th St")</f>
        <v>120 W 70th St</v>
      </c>
      <c r="F5266" s="25" t="s">
        <v>29</v>
      </c>
      <c r="G5266" s="28">
        <v>799000.0</v>
      </c>
      <c r="H5266" s="29"/>
      <c r="I5266" s="28">
        <v>1952.0</v>
      </c>
      <c r="J5266" s="29"/>
      <c r="K5266" s="25" t="s">
        <v>25</v>
      </c>
      <c r="L5266" s="26">
        <v>4.0</v>
      </c>
      <c r="M5266" s="26">
        <v>2.0</v>
      </c>
      <c r="N5266" s="26">
        <v>1.0</v>
      </c>
      <c r="O5266" s="26">
        <v>0.0</v>
      </c>
      <c r="P5266" s="30"/>
      <c r="Q5266" s="35">
        <v>443.0</v>
      </c>
      <c r="R5266" s="32">
        <v>45636.0</v>
      </c>
      <c r="S5266" s="32">
        <v>43782.0</v>
      </c>
      <c r="T5266" s="29"/>
      <c r="U5266" s="33"/>
      <c r="V5266" s="1"/>
    </row>
    <row r="5267" ht="24.0" customHeight="1">
      <c r="A5267" s="1"/>
      <c r="B5267" s="24" t="str">
        <f>HYPERLINK("https://www.compass.com/listing/340-east-23rd-street-unit-2d-manhattan-ny-10010/921800862673805169/view?agent_id=610d3f3370540700019b0833","340 E 23rd St, Unit 2D")</f>
        <v>340 E 23rd St, Unit 2D</v>
      </c>
      <c r="C5267" s="25" t="s">
        <v>370</v>
      </c>
      <c r="D5267" s="26" t="s">
        <v>23</v>
      </c>
      <c r="E5267" s="27" t="str">
        <f>HYPERLINK("https://www.compass.com/building/gramercy-starck-manhattan-ny/281903026875156789/","Gramercy Starck")</f>
        <v>Gramercy Starck</v>
      </c>
      <c r="F5267" s="25" t="s">
        <v>48</v>
      </c>
      <c r="G5267" s="28">
        <v>2050000.0</v>
      </c>
      <c r="H5267" s="28">
        <v>1895.0</v>
      </c>
      <c r="I5267" s="28">
        <v>2280.0</v>
      </c>
      <c r="J5267" s="28">
        <v>11784.0</v>
      </c>
      <c r="K5267" s="25" t="s">
        <v>28</v>
      </c>
      <c r="L5267" s="26">
        <v>4.0</v>
      </c>
      <c r="M5267" s="26">
        <v>2.0</v>
      </c>
      <c r="N5267" s="26">
        <v>0.0</v>
      </c>
      <c r="O5267" s="26">
        <v>0.0</v>
      </c>
      <c r="P5267" s="34">
        <v>1082.0</v>
      </c>
      <c r="Q5267" s="35">
        <v>182.0</v>
      </c>
      <c r="R5267" s="32">
        <v>45636.0</v>
      </c>
      <c r="S5267" s="32">
        <v>42444.0</v>
      </c>
      <c r="T5267" s="29"/>
      <c r="U5267" s="33"/>
      <c r="V5267" s="1"/>
    </row>
    <row r="5268" ht="24.0" customHeight="1">
      <c r="A5268" s="1"/>
      <c r="B5268" s="24" t="str">
        <f>HYPERLINK("https://www.compass.com/listing/754-east-6th-street-unit-3b-manhattan-ny-10009/70911224669373905/view?agent_id=610d3f3370540700019b0833","754 E 6th St, Unit 3B")</f>
        <v>754 E 6th St, Unit 3B</v>
      </c>
      <c r="C5268" s="25" t="s">
        <v>370</v>
      </c>
      <c r="D5268" s="26" t="s">
        <v>23</v>
      </c>
      <c r="E5268" s="27" t="str">
        <f>HYPERLINK("https://www.compass.com/building/754-e-6th-st-manhattan-ny-10009/281901472206043893/","754 E 6th St")</f>
        <v>754 E 6th St</v>
      </c>
      <c r="F5268" s="25" t="s">
        <v>24</v>
      </c>
      <c r="G5268" s="28">
        <v>755000.0</v>
      </c>
      <c r="H5268" s="28">
        <v>999.0</v>
      </c>
      <c r="I5268" s="28">
        <v>621.0</v>
      </c>
      <c r="J5268" s="28">
        <v>4080.0</v>
      </c>
      <c r="K5268" s="25" t="s">
        <v>28</v>
      </c>
      <c r="L5268" s="26">
        <v>4.0</v>
      </c>
      <c r="M5268" s="26">
        <v>2.0</v>
      </c>
      <c r="N5268" s="26">
        <v>0.0</v>
      </c>
      <c r="O5268" s="26">
        <v>0.0</v>
      </c>
      <c r="P5268" s="26">
        <v>756.0</v>
      </c>
      <c r="Q5268" s="35">
        <v>0.0</v>
      </c>
      <c r="R5268" s="32">
        <v>44581.0</v>
      </c>
      <c r="S5268" s="32">
        <v>41538.0</v>
      </c>
      <c r="T5268" s="29"/>
      <c r="U5268" s="33"/>
      <c r="V5268" s="1"/>
    </row>
    <row r="5269" ht="24.0" customHeight="1">
      <c r="A5269" s="1"/>
      <c r="B5269" s="24" t="str">
        <f>HYPERLINK("https://www.compass.com/listing/99-avenue-b-unit-2a-manhattan-ny-10009/990001615037231801/view?agent_id=610d3f3370540700019b0833","99 Avenue B, Unit 2A")</f>
        <v>99 Avenue B, Unit 2A</v>
      </c>
      <c r="C5269" s="25" t="s">
        <v>364</v>
      </c>
      <c r="D5269" s="26" t="s">
        <v>23</v>
      </c>
      <c r="E5269" s="27" t="str">
        <f>HYPERLINK("https://www.compass.com/building/99-avenue-b-manhattan-ny-10009/389274647565502133/","99 Avenue B")</f>
        <v>99 Avenue B</v>
      </c>
      <c r="F5269" s="25" t="s">
        <v>24</v>
      </c>
      <c r="G5269" s="28">
        <v>725000.0</v>
      </c>
      <c r="H5269" s="28">
        <v>1208.0</v>
      </c>
      <c r="I5269" s="28">
        <v>1128.0</v>
      </c>
      <c r="J5269" s="29"/>
      <c r="K5269" s="25" t="s">
        <v>25</v>
      </c>
      <c r="L5269" s="26">
        <v>3.0</v>
      </c>
      <c r="M5269" s="26">
        <v>2.0</v>
      </c>
      <c r="N5269" s="26">
        <v>1.0</v>
      </c>
      <c r="O5269" s="26">
        <v>0.0</v>
      </c>
      <c r="P5269" s="26">
        <v>600.0</v>
      </c>
      <c r="Q5269" s="35">
        <v>0.0</v>
      </c>
      <c r="R5269" s="32">
        <v>44617.0</v>
      </c>
      <c r="S5269" s="32">
        <v>44617.0</v>
      </c>
      <c r="T5269" s="29"/>
      <c r="U5269" s="33"/>
      <c r="V5269" s="1"/>
    </row>
    <row r="5270" ht="24.0" customHeight="1">
      <c r="A5270" s="1"/>
      <c r="B5270" s="24" t="str">
        <f>HYPERLINK("https://www.compass.com/listing/100-barclay-street-unit-13c-manhattan-ny-10007/803320908919444401/view?agent_id=610d3f3370540700019b0833","100 Barclay Street, Unit 13C")</f>
        <v>100 Barclay Street, Unit 13C</v>
      </c>
      <c r="C5270" s="25" t="s">
        <v>364</v>
      </c>
      <c r="D5270" s="26" t="s">
        <v>23</v>
      </c>
      <c r="E5270" s="27" t="str">
        <f>HYPERLINK("https://www.compass.com/building/100-barclay-manhattan-ny/281896670466155525/","100 Barclay")</f>
        <v>100 Barclay</v>
      </c>
      <c r="F5270" s="25" t="s">
        <v>60</v>
      </c>
      <c r="G5270" s="28">
        <v>3338500.0</v>
      </c>
      <c r="H5270" s="28">
        <v>2314.0</v>
      </c>
      <c r="I5270" s="28">
        <v>3570.0</v>
      </c>
      <c r="J5270" s="28">
        <v>21216.0</v>
      </c>
      <c r="K5270" s="25" t="s">
        <v>209</v>
      </c>
      <c r="L5270" s="26">
        <v>4.0</v>
      </c>
      <c r="M5270" s="26">
        <v>2.0</v>
      </c>
      <c r="N5270" s="26">
        <v>0.0</v>
      </c>
      <c r="O5270" s="26">
        <v>0.0</v>
      </c>
      <c r="P5270" s="34">
        <v>1443.0</v>
      </c>
      <c r="Q5270" s="35">
        <v>586.0</v>
      </c>
      <c r="R5270" s="32">
        <v>44581.0</v>
      </c>
      <c r="S5270" s="32">
        <v>42258.0</v>
      </c>
      <c r="T5270" s="29"/>
      <c r="U5270" s="33"/>
      <c r="V5270" s="1"/>
    </row>
    <row r="5271" ht="24.0" customHeight="1">
      <c r="A5271" s="1"/>
      <c r="B5271" s="24" t="str">
        <f>HYPERLINK("https://www.compass.com/listing/533-east-6th-street-manhattan-ny-10009/611188657443408553/view?agent_id=610d3f3370540700019b0833","533 East 6th Street")</f>
        <v>533 East 6th Street</v>
      </c>
      <c r="C5271" s="25" t="s">
        <v>364</v>
      </c>
      <c r="D5271" s="26" t="s">
        <v>23</v>
      </c>
      <c r="E5271" s="27" t="str">
        <f>HYPERLINK("https://www.compass.com/building/533-e-6th-st-manhattan-ny-10009/281900898140045365/","533 E 6th St")</f>
        <v>533 E 6th St</v>
      </c>
      <c r="F5271" s="25" t="s">
        <v>24</v>
      </c>
      <c r="G5271" s="28">
        <v>1225000.0</v>
      </c>
      <c r="H5271" s="28">
        <v>141.0</v>
      </c>
      <c r="I5271" s="28">
        <v>1736.0</v>
      </c>
      <c r="J5271" s="28">
        <v>10776.0</v>
      </c>
      <c r="K5271" s="25" t="s">
        <v>36</v>
      </c>
      <c r="L5271" s="30"/>
      <c r="M5271" s="26">
        <v>2.0</v>
      </c>
      <c r="N5271" s="30"/>
      <c r="O5271" s="30"/>
      <c r="P5271" s="34">
        <v>8682.0</v>
      </c>
      <c r="Q5271" s="35">
        <v>101.0</v>
      </c>
      <c r="R5271" s="32">
        <v>44127.0</v>
      </c>
      <c r="S5271" s="32">
        <v>44026.0</v>
      </c>
      <c r="T5271" s="29"/>
      <c r="U5271" s="33"/>
      <c r="V5271" s="1"/>
    </row>
    <row r="5272" ht="24.0" customHeight="1">
      <c r="A5272" s="1"/>
      <c r="B5272" s="24" t="str">
        <f>HYPERLINK("https://www.compass.com/listing/718-broadway-unit-6b-manhattan-ny-10003/784133149784135737/view?agent_id=610d3f3370540700019b0833","718 Broadway, Unit 6B")</f>
        <v>718 Broadway, Unit 6B</v>
      </c>
      <c r="C5272" s="25" t="s">
        <v>364</v>
      </c>
      <c r="D5272" s="26" t="s">
        <v>23</v>
      </c>
      <c r="E5272" s="27" t="str">
        <f>HYPERLINK("https://www.compass.com/building/718-broadway-manhattan-ny-10003/281894678784122533/","718 Broadway")</f>
        <v>718 Broadway</v>
      </c>
      <c r="F5272" s="25" t="s">
        <v>57</v>
      </c>
      <c r="G5272" s="28">
        <v>1795000.0</v>
      </c>
      <c r="H5272" s="28">
        <v>1355.0</v>
      </c>
      <c r="I5272" s="28">
        <v>2312.0</v>
      </c>
      <c r="J5272" s="29"/>
      <c r="K5272" s="25" t="s">
        <v>25</v>
      </c>
      <c r="L5272" s="26">
        <v>4.0</v>
      </c>
      <c r="M5272" s="26">
        <v>2.0</v>
      </c>
      <c r="N5272" s="30"/>
      <c r="O5272" s="30"/>
      <c r="P5272" s="34">
        <v>1325.0</v>
      </c>
      <c r="Q5272" s="35">
        <v>91.0</v>
      </c>
      <c r="R5272" s="32">
        <v>41640.0</v>
      </c>
      <c r="S5272" s="32">
        <v>42305.0</v>
      </c>
      <c r="T5272" s="29"/>
      <c r="U5272" s="33"/>
      <c r="V5272" s="1"/>
    </row>
    <row r="5273" ht="24.0" customHeight="1">
      <c r="A5273" s="1"/>
      <c r="B5273" s="24" t="str">
        <f>HYPERLINK("https://www.compass.com/listing/200-east-16th-street-unit-11l-manhattan-ny-10003/70916331611945617/view?agent_id=610d3f3370540700019b0833","200 E 16th St, Unit 11L")</f>
        <v>200 E 16th St, Unit 11L</v>
      </c>
      <c r="C5273" s="25" t="s">
        <v>364</v>
      </c>
      <c r="D5273" s="26" t="s">
        <v>23</v>
      </c>
      <c r="E5273" s="27" t="str">
        <f>HYPERLINK("https://www.compass.com/building/200-east-owners-corp-manhattan-ny/292781037329589989/","200 East Owners Corp.")</f>
        <v>200 East Owners Corp.</v>
      </c>
      <c r="F5273" s="25" t="s">
        <v>48</v>
      </c>
      <c r="G5273" s="28">
        <v>1113000.0</v>
      </c>
      <c r="H5273" s="29"/>
      <c r="I5273" s="28">
        <v>1539.0</v>
      </c>
      <c r="J5273" s="29"/>
      <c r="K5273" s="25" t="s">
        <v>25</v>
      </c>
      <c r="L5273" s="26">
        <v>4.0</v>
      </c>
      <c r="M5273" s="26">
        <v>2.0</v>
      </c>
      <c r="N5273" s="30"/>
      <c r="O5273" s="30"/>
      <c r="P5273" s="30"/>
      <c r="Q5273" s="35">
        <v>36.0</v>
      </c>
      <c r="R5273" s="32">
        <v>42829.0</v>
      </c>
      <c r="S5273" s="32">
        <v>38263.0</v>
      </c>
      <c r="T5273" s="29"/>
      <c r="U5273" s="33"/>
      <c r="V5273" s="1"/>
    </row>
    <row r="5274" ht="24.0" customHeight="1">
      <c r="A5274" s="1"/>
      <c r="B5274" s="24" t="str">
        <f>HYPERLINK("https://www.compass.com/listing/650-west-end-avenue-unit-1bc-manhattan-ny-10025/769940573688414401/view?agent_id=610d3f3370540700019b0833","650 West End Avenue, Unit 1BC")</f>
        <v>650 West End Avenue, Unit 1BC</v>
      </c>
      <c r="C5274" s="25" t="s">
        <v>364</v>
      </c>
      <c r="D5274" s="26" t="s">
        <v>23</v>
      </c>
      <c r="E5274" s="27" t="str">
        <f>HYPERLINK("https://www.compass.com/building/650-west-end-ave-manhattan-ny-10025/281972833591057493/","650 West End Ave")</f>
        <v>650 West End Ave</v>
      </c>
      <c r="F5274" s="25" t="s">
        <v>29</v>
      </c>
      <c r="G5274" s="28">
        <v>2150000.0</v>
      </c>
      <c r="H5274" s="29"/>
      <c r="I5274" s="28">
        <v>2813.0</v>
      </c>
      <c r="J5274" s="28">
        <v>14832.0</v>
      </c>
      <c r="K5274" s="25" t="s">
        <v>28</v>
      </c>
      <c r="L5274" s="26">
        <v>5.0</v>
      </c>
      <c r="M5274" s="26">
        <v>2.0</v>
      </c>
      <c r="N5274" s="30"/>
      <c r="O5274" s="30"/>
      <c r="P5274" s="30"/>
      <c r="Q5274" s="35">
        <v>1.0</v>
      </c>
      <c r="R5274" s="32">
        <v>44342.0</v>
      </c>
      <c r="S5274" s="32">
        <v>44313.0</v>
      </c>
      <c r="T5274" s="29"/>
      <c r="U5274" s="33"/>
      <c r="V5274" s="1"/>
    </row>
    <row r="5275" ht="24.0" customHeight="1">
      <c r="A5275" s="1"/>
      <c r="B5275" s="24" t="str">
        <f>HYPERLINK("https://www.compass.com/listing/2-5th-avenue-unit-4k-manhattan-ny-10011/4848429123644687393/view?agent_id=610d3f3370540700019b0833","2 5th Ave, Unit 4K")</f>
        <v>2 5th Ave, Unit 4K</v>
      </c>
      <c r="C5275" s="25" t="s">
        <v>364</v>
      </c>
      <c r="D5275" s="26" t="s">
        <v>23</v>
      </c>
      <c r="E5275" s="27" t="str">
        <f>HYPERLINK("https://www.compass.com/building/2-5th-ave-manhattan-ny-10011/281906423137324709/","2 5th Ave")</f>
        <v>2 5th Ave</v>
      </c>
      <c r="F5275" s="25" t="s">
        <v>43</v>
      </c>
      <c r="G5275" s="28">
        <v>1375000.0</v>
      </c>
      <c r="H5275" s="29"/>
      <c r="I5275" s="29"/>
      <c r="J5275" s="29"/>
      <c r="K5275" s="25" t="s">
        <v>25</v>
      </c>
      <c r="L5275" s="26">
        <v>4.0</v>
      </c>
      <c r="M5275" s="26">
        <v>2.0</v>
      </c>
      <c r="N5275" s="30"/>
      <c r="O5275" s="30"/>
      <c r="P5275" s="30"/>
      <c r="Q5275" s="35">
        <v>58.0</v>
      </c>
      <c r="R5275" s="32">
        <v>42693.0</v>
      </c>
      <c r="S5275" s="32">
        <v>39610.0</v>
      </c>
      <c r="T5275" s="29"/>
      <c r="U5275" s="33"/>
      <c r="V5275" s="1"/>
    </row>
    <row r="5276" ht="24.0" customHeight="1">
      <c r="A5276" s="1"/>
      <c r="B5276" s="24" t="str">
        <f>HYPERLINK("https://www.compass.com/listing/99-east-4th-street-unit-2e-manhattan-ny-10003/1708745250089160857/view?agent_id=610d3f3370540700019b0833","99 East 4th Street, Unit 2E")</f>
        <v>99 East 4th Street, Unit 2E</v>
      </c>
      <c r="C5276" s="25" t="s">
        <v>365</v>
      </c>
      <c r="D5276" s="26" t="s">
        <v>23</v>
      </c>
      <c r="E5276" s="27" t="str">
        <f>HYPERLINK("https://www.compass.com/building/99-e-4th-st-manhattan-ny-10003/281895284777165253/","99 E 4th St")</f>
        <v>99 E 4th St</v>
      </c>
      <c r="F5276" s="25" t="s">
        <v>24</v>
      </c>
      <c r="G5276" s="28">
        <v>1295000.0</v>
      </c>
      <c r="H5276" s="28">
        <v>1295.0</v>
      </c>
      <c r="I5276" s="28">
        <v>2222.0</v>
      </c>
      <c r="J5276" s="28">
        <v>0.0</v>
      </c>
      <c r="K5276" s="25" t="s">
        <v>110</v>
      </c>
      <c r="L5276" s="26">
        <v>5.0</v>
      </c>
      <c r="M5276" s="26">
        <v>2.0</v>
      </c>
      <c r="N5276" s="26">
        <v>1.0</v>
      </c>
      <c r="O5276" s="26">
        <v>0.0</v>
      </c>
      <c r="P5276" s="34">
        <v>1000.0</v>
      </c>
      <c r="Q5276" s="35">
        <v>237.0</v>
      </c>
      <c r="R5276" s="32">
        <v>45847.0</v>
      </c>
      <c r="S5276" s="32">
        <v>45609.0</v>
      </c>
      <c r="T5276" s="29"/>
      <c r="U5276" s="33"/>
      <c r="V5276" s="1"/>
    </row>
    <row r="5277" ht="24.0" customHeight="1">
      <c r="A5277" s="1"/>
      <c r="B5277" s="24" t="str">
        <f>HYPERLINK("https://www.compass.com/listing/470-west-24th-street-unit-8fg-manhattan-ny-10011/70922507036765345/view?agent_id=610d3f3370540700019b0833","470 West 24th Street, Unit 8FG")</f>
        <v>470 West 24th Street, Unit 8FG</v>
      </c>
      <c r="C5277" s="25" t="s">
        <v>364</v>
      </c>
      <c r="D5277" s="26" t="s">
        <v>23</v>
      </c>
      <c r="E5277" s="27" t="str">
        <f>HYPERLINK("https://www.compass.com/building/london-terrace-towers-manhattan-ny/282059925427880069/","London Terrace Towers")</f>
        <v>London Terrace Towers</v>
      </c>
      <c r="F5277" s="25" t="s">
        <v>27</v>
      </c>
      <c r="G5277" s="28">
        <v>2095000.0</v>
      </c>
      <c r="H5277" s="29"/>
      <c r="I5277" s="28">
        <v>3358.0</v>
      </c>
      <c r="J5277" s="29"/>
      <c r="K5277" s="25" t="s">
        <v>25</v>
      </c>
      <c r="L5277" s="26">
        <v>5.0</v>
      </c>
      <c r="M5277" s="26">
        <v>2.0</v>
      </c>
      <c r="N5277" s="26">
        <v>0.0</v>
      </c>
      <c r="O5277" s="26">
        <v>0.0</v>
      </c>
      <c r="P5277" s="30"/>
      <c r="Q5277" s="35">
        <v>481.0</v>
      </c>
      <c r="R5277" s="32">
        <v>45636.0</v>
      </c>
      <c r="S5277" s="32">
        <v>42397.0</v>
      </c>
      <c r="T5277" s="29"/>
      <c r="U5277" s="33"/>
      <c r="V5277" s="1"/>
    </row>
    <row r="5278" ht="24.0" customHeight="1">
      <c r="A5278" s="1"/>
      <c r="B5278" s="24" t="str">
        <f>HYPERLINK("https://www.compass.com/listing/561-broadway-unit-5c-manhattan-ny-10012/1838892537507790337/view?agent_id=610d3f3370540700019b0833","561 Broadway, Unit 5C")</f>
        <v>561 Broadway, Unit 5C</v>
      </c>
      <c r="C5278" s="25" t="s">
        <v>364</v>
      </c>
      <c r="D5278" s="26" t="s">
        <v>23</v>
      </c>
      <c r="E5278" s="27" t="str">
        <f>HYPERLINK("https://www.compass.com/building/561-broadway-88-prince-st-manhattan-ny/293533306362869413/","561 Broadway-88 Prince St")</f>
        <v>561 Broadway-88 Prince St</v>
      </c>
      <c r="F5278" s="25" t="s">
        <v>53</v>
      </c>
      <c r="G5278" s="28">
        <v>2300000.0</v>
      </c>
      <c r="H5278" s="28">
        <v>920.0</v>
      </c>
      <c r="I5278" s="28">
        <v>5750.0</v>
      </c>
      <c r="J5278" s="28">
        <v>0.0</v>
      </c>
      <c r="K5278" s="25" t="s">
        <v>25</v>
      </c>
      <c r="L5278" s="26">
        <v>4.0</v>
      </c>
      <c r="M5278" s="26">
        <v>2.0</v>
      </c>
      <c r="N5278" s="30"/>
      <c r="O5278" s="30"/>
      <c r="P5278" s="34">
        <v>2500.0</v>
      </c>
      <c r="Q5278" s="35">
        <v>2.0</v>
      </c>
      <c r="R5278" s="32">
        <v>44293.0</v>
      </c>
      <c r="S5278" s="32">
        <v>44291.0</v>
      </c>
      <c r="T5278" s="29"/>
      <c r="U5278" s="33"/>
      <c r="V5278" s="1"/>
    </row>
    <row r="5279" ht="24.0" customHeight="1">
      <c r="A5279" s="1"/>
      <c r="B5279" s="24" t="str">
        <f>HYPERLINK("https://www.compass.com/listing/100-west-93rd-street-unit-15h-manhattan-ny-10025/520299413393146209/view?agent_id=610d3f3370540700019b0833","100 West 93rd Street, Unit 15H")</f>
        <v>100 West 93rd Street, Unit 15H</v>
      </c>
      <c r="C5279" s="25" t="s">
        <v>364</v>
      </c>
      <c r="D5279" s="26" t="s">
        <v>23</v>
      </c>
      <c r="E5279" s="27" t="str">
        <f>HYPERLINK("https://www.compass.com/building/100-west-manhattan-ny/281968202811000645/","100 West")</f>
        <v>100 West</v>
      </c>
      <c r="F5279" s="25" t="s">
        <v>29</v>
      </c>
      <c r="G5279" s="28">
        <v>1295000.0</v>
      </c>
      <c r="H5279" s="28">
        <v>1330.0</v>
      </c>
      <c r="I5279" s="28">
        <v>1329.0</v>
      </c>
      <c r="J5279" s="28">
        <v>6336.0</v>
      </c>
      <c r="K5279" s="25" t="s">
        <v>28</v>
      </c>
      <c r="L5279" s="26">
        <v>4.0</v>
      </c>
      <c r="M5279" s="26">
        <v>2.0</v>
      </c>
      <c r="N5279" s="26">
        <v>1.0</v>
      </c>
      <c r="O5279" s="26">
        <v>0.0</v>
      </c>
      <c r="P5279" s="26">
        <v>974.0</v>
      </c>
      <c r="Q5279" s="35">
        <v>74.0</v>
      </c>
      <c r="R5279" s="32">
        <v>44995.0</v>
      </c>
      <c r="S5279" s="32">
        <v>44221.0</v>
      </c>
      <c r="T5279" s="29"/>
      <c r="U5279" s="33"/>
      <c r="V5279" s="1"/>
    </row>
    <row r="5280" ht="24.0" customHeight="1">
      <c r="A5280" s="1"/>
      <c r="B5280" s="24" t="str">
        <f>HYPERLINK("https://www.compass.com/listing/223-west-21st-street-unit-2b-manhattan-ny-10011/4703682141995687361/view?agent_id=610d3f3370540700019b0833","223 W 21st St, Unit 2B")</f>
        <v>223 W 21st St, Unit 2B</v>
      </c>
      <c r="C5280" s="25" t="s">
        <v>364</v>
      </c>
      <c r="D5280" s="26" t="s">
        <v>23</v>
      </c>
      <c r="E5280" s="27" t="str">
        <f>HYPERLINK("https://www.compass.com/building/223-w-21st-st-manhattan-ny-10011/281907120062877637/","223 W 21st St")</f>
        <v>223 W 21st St</v>
      </c>
      <c r="F5280" s="25" t="s">
        <v>27</v>
      </c>
      <c r="G5280" s="28">
        <v>799000.0</v>
      </c>
      <c r="H5280" s="28">
        <v>999.0</v>
      </c>
      <c r="I5280" s="28">
        <v>915.0</v>
      </c>
      <c r="J5280" s="29"/>
      <c r="K5280" s="25" t="s">
        <v>25</v>
      </c>
      <c r="L5280" s="26">
        <v>4.0</v>
      </c>
      <c r="M5280" s="26">
        <v>2.0</v>
      </c>
      <c r="N5280" s="30"/>
      <c r="O5280" s="30"/>
      <c r="P5280" s="26">
        <v>800.0</v>
      </c>
      <c r="Q5280" s="35">
        <v>918.0</v>
      </c>
      <c r="R5280" s="32">
        <v>42477.0</v>
      </c>
      <c r="S5280" s="32">
        <v>39239.0</v>
      </c>
      <c r="T5280" s="29"/>
      <c r="U5280" s="33"/>
      <c r="V5280" s="1"/>
    </row>
    <row r="5281" ht="24.0" customHeight="1">
      <c r="A5281" s="1"/>
      <c r="B5281" s="24" t="str">
        <f>HYPERLINK("https://www.compass.com/listing/115-central-park-west-unit-12cw-manhattan-ny-10023/1838910918901967929/view?agent_id=610d3f3370540700019b0833","115 Central Park West, Unit 12CW")</f>
        <v>115 Central Park West, Unit 12CW</v>
      </c>
      <c r="C5281" s="25" t="s">
        <v>364</v>
      </c>
      <c r="D5281" s="26" t="s">
        <v>23</v>
      </c>
      <c r="E5281" s="27" t="str">
        <f>HYPERLINK("https://www.compass.com/building/the-majestic-manhattan-ny/281956456897516277/","The Majestic")</f>
        <v>The Majestic</v>
      </c>
      <c r="F5281" s="25" t="s">
        <v>29</v>
      </c>
      <c r="G5281" s="28">
        <v>1950000.0</v>
      </c>
      <c r="H5281" s="29"/>
      <c r="I5281" s="28">
        <v>2755.0</v>
      </c>
      <c r="J5281" s="29"/>
      <c r="K5281" s="25" t="s">
        <v>25</v>
      </c>
      <c r="L5281" s="26">
        <v>4.0</v>
      </c>
      <c r="M5281" s="26">
        <v>2.0</v>
      </c>
      <c r="N5281" s="26">
        <v>0.0</v>
      </c>
      <c r="O5281" s="26">
        <v>0.0</v>
      </c>
      <c r="P5281" s="30"/>
      <c r="Q5281" s="35">
        <v>1277.0</v>
      </c>
      <c r="R5281" s="32">
        <v>44234.0</v>
      </c>
      <c r="S5281" s="32">
        <v>41601.0</v>
      </c>
      <c r="T5281" s="29"/>
      <c r="U5281" s="33"/>
      <c r="V5281" s="1"/>
    </row>
    <row r="5282" ht="24.0" customHeight="1">
      <c r="A5282" s="1"/>
      <c r="B5282" s="24" t="str">
        <f>HYPERLINK("https://www.compass.com/listing/321-east-12th-street-unit-32-manhattan-ny-10003/1861835014511595817/view?agent_id=610d3f3370540700019b0833","321 East 12th Street, Unit 32")</f>
        <v>321 East 12th Street, Unit 32</v>
      </c>
      <c r="C5282" s="25" t="s">
        <v>370</v>
      </c>
      <c r="D5282" s="26" t="s">
        <v>23</v>
      </c>
      <c r="E5282" s="27" t="str">
        <f>HYPERLINK("https://www.compass.com/building/321-e-12th-st-manhattan-ny-10003/281892460735502037/","321 E 12th St")</f>
        <v>321 E 12th St</v>
      </c>
      <c r="F5282" s="25" t="s">
        <v>24</v>
      </c>
      <c r="G5282" s="28">
        <v>995000.0</v>
      </c>
      <c r="H5282" s="28">
        <v>1171.0</v>
      </c>
      <c r="I5282" s="28">
        <v>1244.0</v>
      </c>
      <c r="J5282" s="29"/>
      <c r="K5282" s="25" t="s">
        <v>25</v>
      </c>
      <c r="L5282" s="26">
        <v>4.0</v>
      </c>
      <c r="M5282" s="26">
        <v>2.0</v>
      </c>
      <c r="N5282" s="26">
        <v>1.0</v>
      </c>
      <c r="O5282" s="30"/>
      <c r="P5282" s="26">
        <v>850.0</v>
      </c>
      <c r="Q5282" s="35">
        <v>87.0</v>
      </c>
      <c r="R5282" s="32">
        <v>45612.0</v>
      </c>
      <c r="S5282" s="32">
        <v>44083.0</v>
      </c>
      <c r="T5282" s="29"/>
      <c r="U5282" s="33"/>
      <c r="V5282" s="1"/>
    </row>
    <row r="5283" ht="24.0" customHeight="1">
      <c r="A5283" s="1"/>
      <c r="B5283" s="24" t="str">
        <f>HYPERLINK("https://www.compass.com/listing/100-west-93rd-street-unit-j21-manhattan-ny-10025/71562493108945073/view?agent_id=610d3f3370540700019b0833","100 West 93rd Street, Unit J21")</f>
        <v>100 West 93rd Street, Unit J21</v>
      </c>
      <c r="C5283" s="25" t="s">
        <v>364</v>
      </c>
      <c r="D5283" s="26" t="s">
        <v>23</v>
      </c>
      <c r="E5283" s="27" t="str">
        <f>HYPERLINK("https://www.compass.com/building/100-west-manhattan-ny/281968202811000645/","100 West")</f>
        <v>100 West</v>
      </c>
      <c r="F5283" s="25" t="s">
        <v>29</v>
      </c>
      <c r="G5283" s="28">
        <v>1500000.0</v>
      </c>
      <c r="H5283" s="29"/>
      <c r="I5283" s="28">
        <v>1331.0</v>
      </c>
      <c r="J5283" s="28">
        <v>6180.0</v>
      </c>
      <c r="K5283" s="25" t="s">
        <v>28</v>
      </c>
      <c r="L5283" s="26">
        <v>5.0</v>
      </c>
      <c r="M5283" s="26">
        <v>2.0</v>
      </c>
      <c r="N5283" s="26">
        <v>0.0</v>
      </c>
      <c r="O5283" s="26">
        <v>0.0</v>
      </c>
      <c r="P5283" s="30"/>
      <c r="Q5283" s="35">
        <v>14.0</v>
      </c>
      <c r="R5283" s="32">
        <v>45636.0</v>
      </c>
      <c r="S5283" s="32">
        <v>43350.0</v>
      </c>
      <c r="T5283" s="29"/>
      <c r="U5283" s="33"/>
      <c r="V5283" s="1"/>
    </row>
    <row r="5284" ht="24.0" customHeight="1">
      <c r="A5284" s="1"/>
      <c r="B5284" s="24" t="str">
        <f>HYPERLINK("https://www.compass.com/listing/450-west-17th-street-unit-2306-manhattan-ny-10011/29369970832038897/view?agent_id=610d3f3370540700019b0833","450 West 17th Street, Unit 2306")</f>
        <v>450 West 17th Street, Unit 2306</v>
      </c>
      <c r="C5284" s="25" t="s">
        <v>364</v>
      </c>
      <c r="D5284" s="26" t="s">
        <v>23</v>
      </c>
      <c r="E5284" s="27" t="str">
        <f>HYPERLINK("https://www.compass.com/building/the-caledonia-manhattan-ny/281910674349645621/","The Caledonia")</f>
        <v>The Caledonia</v>
      </c>
      <c r="F5284" s="25" t="s">
        <v>27</v>
      </c>
      <c r="G5284" s="28">
        <v>3250000.0</v>
      </c>
      <c r="H5284" s="28">
        <v>2792.0</v>
      </c>
      <c r="I5284" s="28">
        <v>1827.0</v>
      </c>
      <c r="J5284" s="28">
        <v>6516.0</v>
      </c>
      <c r="K5284" s="25" t="s">
        <v>28</v>
      </c>
      <c r="L5284" s="26">
        <v>4.0</v>
      </c>
      <c r="M5284" s="26">
        <v>2.0</v>
      </c>
      <c r="N5284" s="26">
        <v>0.0</v>
      </c>
      <c r="O5284" s="26">
        <v>0.0</v>
      </c>
      <c r="P5284" s="34">
        <v>1164.0</v>
      </c>
      <c r="Q5284" s="35">
        <v>236.0</v>
      </c>
      <c r="R5284" s="32">
        <v>45636.0</v>
      </c>
      <c r="S5284" s="32">
        <v>42114.0</v>
      </c>
      <c r="T5284" s="29"/>
      <c r="U5284" s="33"/>
      <c r="V5284" s="1"/>
    </row>
    <row r="5285" ht="24.0" customHeight="1">
      <c r="A5285" s="1"/>
      <c r="B5285" s="24" t="str">
        <f>HYPERLINK("https://www.compass.com/listing/215-east-22nd-street-unit-n-manhattan-ny-10010/4852316849448165441/view?agent_id=610d3f3370540700019b0833","215 East 22nd Street, Unit N")</f>
        <v>215 East 22nd Street, Unit N</v>
      </c>
      <c r="C5285" s="25" t="s">
        <v>370</v>
      </c>
      <c r="D5285" s="26" t="s">
        <v>23</v>
      </c>
      <c r="E5285" s="27" t="str">
        <f>HYPERLINK("https://www.compass.com/building/215-e-22nd-st-manhattan-ny-10010/307449688504181541/","215 E 22nd St")</f>
        <v>215 E 22nd St</v>
      </c>
      <c r="F5285" s="25" t="s">
        <v>48</v>
      </c>
      <c r="G5285" s="28">
        <v>3600000.0</v>
      </c>
      <c r="H5285" s="28">
        <v>2400.0</v>
      </c>
      <c r="I5285" s="28">
        <v>5721.0</v>
      </c>
      <c r="J5285" s="28">
        <v>30612.0</v>
      </c>
      <c r="K5285" s="25" t="s">
        <v>28</v>
      </c>
      <c r="L5285" s="26">
        <v>4.0</v>
      </c>
      <c r="M5285" s="26">
        <v>2.0</v>
      </c>
      <c r="N5285" s="26">
        <v>0.0</v>
      </c>
      <c r="O5285" s="26">
        <v>0.0</v>
      </c>
      <c r="P5285" s="34">
        <v>1500.0</v>
      </c>
      <c r="Q5285" s="35">
        <v>184.0</v>
      </c>
      <c r="R5285" s="32">
        <v>44581.0</v>
      </c>
      <c r="S5285" s="32">
        <v>41793.0</v>
      </c>
      <c r="T5285" s="29"/>
      <c r="U5285" s="33"/>
      <c r="V5285" s="1"/>
    </row>
    <row r="5286" ht="24.0" customHeight="1">
      <c r="A5286" s="1"/>
      <c r="B5286" s="24" t="str">
        <f>HYPERLINK("https://www.compass.com/listing/40-5th-avenue-unit-14c-manhattan-ny-10011/1838989047200877889/view?agent_id=610d3f3370540700019b0833","40 5th Avenue, Unit 14C")</f>
        <v>40 5th Avenue, Unit 14C</v>
      </c>
      <c r="C5286" s="25" t="s">
        <v>364</v>
      </c>
      <c r="D5286" s="26" t="s">
        <v>23</v>
      </c>
      <c r="E5286" s="27" t="str">
        <f>HYPERLINK("https://www.compass.com/building/40-5th-ave-manhattan-ny-10011/281909939155264645/","40 5th Ave")</f>
        <v>40 5th Ave</v>
      </c>
      <c r="F5286" s="25" t="s">
        <v>43</v>
      </c>
      <c r="G5286" s="28">
        <v>3425000.0</v>
      </c>
      <c r="H5286" s="29"/>
      <c r="I5286" s="28">
        <v>3069.0</v>
      </c>
      <c r="J5286" s="29"/>
      <c r="K5286" s="25" t="s">
        <v>25</v>
      </c>
      <c r="L5286" s="26">
        <v>5.0</v>
      </c>
      <c r="M5286" s="26">
        <v>2.0</v>
      </c>
      <c r="N5286" s="26">
        <v>0.0</v>
      </c>
      <c r="O5286" s="26">
        <v>0.0</v>
      </c>
      <c r="P5286" s="30"/>
      <c r="Q5286" s="35">
        <v>4292.0</v>
      </c>
      <c r="R5286" s="32">
        <v>45534.0</v>
      </c>
      <c r="S5286" s="32">
        <v>41241.0</v>
      </c>
      <c r="T5286" s="29"/>
      <c r="U5286" s="33"/>
      <c r="V5286" s="1"/>
    </row>
    <row r="5287" ht="24.0" customHeight="1">
      <c r="A5287" s="1"/>
      <c r="B5287" s="24" t="str">
        <f>HYPERLINK("https://www.compass.com/listing/315-west-23rd-street-unit-6e-manhattan-ny-10011/29371409025321729/view?agent_id=610d3f3370540700019b0833","315 West 23rd Street, Unit 6E")</f>
        <v>315 West 23rd Street, Unit 6E</v>
      </c>
      <c r="C5287" s="25" t="s">
        <v>364</v>
      </c>
      <c r="D5287" s="26" t="s">
        <v>23</v>
      </c>
      <c r="E5287" s="27" t="str">
        <f>HYPERLINK("https://www.compass.com/building/the-broadmoor-manhattan-ny/281908624064796965/","The Broadmoor")</f>
        <v>The Broadmoor</v>
      </c>
      <c r="F5287" s="25" t="s">
        <v>27</v>
      </c>
      <c r="G5287" s="28">
        <v>1500000.0</v>
      </c>
      <c r="H5287" s="29"/>
      <c r="I5287" s="28">
        <v>1464.0</v>
      </c>
      <c r="J5287" s="29"/>
      <c r="K5287" s="25" t="s">
        <v>25</v>
      </c>
      <c r="L5287" s="26">
        <v>4.0</v>
      </c>
      <c r="M5287" s="26">
        <v>2.0</v>
      </c>
      <c r="N5287" s="26">
        <v>0.0</v>
      </c>
      <c r="O5287" s="26">
        <v>0.0</v>
      </c>
      <c r="P5287" s="30"/>
      <c r="Q5287" s="35">
        <v>137.0</v>
      </c>
      <c r="R5287" s="32">
        <v>44581.0</v>
      </c>
      <c r="S5287" s="32">
        <v>41340.0</v>
      </c>
      <c r="T5287" s="29"/>
      <c r="U5287" s="33"/>
      <c r="V5287" s="1"/>
    </row>
    <row r="5288" ht="24.0" customHeight="1">
      <c r="A5288" s="1"/>
      <c r="B5288" s="24" t="str">
        <f>HYPERLINK("https://www.compass.com/listing/375-lincoln-place-unit-3a-brooklyn-ny-11238/1220949612991061825/view?agent_id=610d3f3370540700019b0833","375 Lincoln Place, Unit 3A")</f>
        <v>375 Lincoln Place, Unit 3A</v>
      </c>
      <c r="C5288" s="25" t="s">
        <v>364</v>
      </c>
      <c r="D5288" s="26" t="s">
        <v>23</v>
      </c>
      <c r="E5288" s="27" t="str">
        <f>HYPERLINK("https://www.compass.com/building/375-lincoln-pl-brooklyn-ny-11238/293422699923965957/","375 Lincoln Pl")</f>
        <v>375 Lincoln Pl</v>
      </c>
      <c r="F5288" s="25" t="s">
        <v>39</v>
      </c>
      <c r="G5288" s="28">
        <v>840000.0</v>
      </c>
      <c r="H5288" s="29"/>
      <c r="I5288" s="28">
        <v>936.0</v>
      </c>
      <c r="J5288" s="29"/>
      <c r="K5288" s="25" t="s">
        <v>25</v>
      </c>
      <c r="L5288" s="26">
        <v>3.0</v>
      </c>
      <c r="M5288" s="26">
        <v>2.0</v>
      </c>
      <c r="N5288" s="26">
        <v>1.0</v>
      </c>
      <c r="O5288" s="26">
        <v>0.0</v>
      </c>
      <c r="P5288" s="30"/>
      <c r="Q5288" s="35">
        <v>151.0</v>
      </c>
      <c r="R5288" s="32">
        <v>45636.0</v>
      </c>
      <c r="S5288" s="32">
        <v>44936.0</v>
      </c>
      <c r="T5288" s="29"/>
      <c r="U5288" s="33"/>
      <c r="V5288" s="1"/>
    </row>
    <row r="5289" ht="24.0" customHeight="1">
      <c r="A5289" s="1"/>
      <c r="B5289" s="24" t="str">
        <f>HYPERLINK("https://www.compass.com/listing/126-east-16th-street-unit-5d-manhattan-ny-10003/4852329970271262689/view?agent_id=610d3f3370540700019b0833","126 East 16th Street, Unit 5D")</f>
        <v>126 East 16th Street, Unit 5D</v>
      </c>
      <c r="C5289" s="25" t="s">
        <v>370</v>
      </c>
      <c r="D5289" s="26" t="s">
        <v>23</v>
      </c>
      <c r="E5289" s="27" t="str">
        <f>HYPERLINK("https://www.compass.com/building/126-e-16th-st-manhattan-ny-10003/292780279494353541/","126 E 16th St")</f>
        <v>126 E 16th St</v>
      </c>
      <c r="F5289" s="25" t="s">
        <v>48</v>
      </c>
      <c r="G5289" s="28">
        <v>1690000.0</v>
      </c>
      <c r="H5289" s="28">
        <v>1300.0</v>
      </c>
      <c r="I5289" s="28">
        <v>2027.0</v>
      </c>
      <c r="J5289" s="29"/>
      <c r="K5289" s="25" t="s">
        <v>25</v>
      </c>
      <c r="L5289" s="26">
        <v>6.0</v>
      </c>
      <c r="M5289" s="26">
        <v>2.0</v>
      </c>
      <c r="N5289" s="26">
        <v>0.0</v>
      </c>
      <c r="O5289" s="26">
        <v>0.0</v>
      </c>
      <c r="P5289" s="34">
        <v>1300.0</v>
      </c>
      <c r="Q5289" s="35">
        <v>0.0</v>
      </c>
      <c r="R5289" s="32">
        <v>44581.0</v>
      </c>
      <c r="S5289" s="32">
        <v>41538.0</v>
      </c>
      <c r="T5289" s="29"/>
      <c r="U5289" s="33"/>
      <c r="V5289" s="1"/>
    </row>
    <row r="5290" ht="24.0" customHeight="1">
      <c r="A5290" s="1"/>
      <c r="B5290" s="24" t="str">
        <f>HYPERLINK("https://www.compass.com/listing/100-barclay-street-unit-16r-manhattan-ny-10007/4852278245409688129/view?agent_id=610d3f3370540700019b0833","100 Barclay Street, Unit 16R")</f>
        <v>100 Barclay Street, Unit 16R</v>
      </c>
      <c r="C5290" s="25" t="s">
        <v>364</v>
      </c>
      <c r="D5290" s="26" t="s">
        <v>23</v>
      </c>
      <c r="E5290" s="27" t="str">
        <f>HYPERLINK("https://www.compass.com/building/100-barclay-manhattan-ny/281896670466155525/","100 Barclay")</f>
        <v>100 Barclay</v>
      </c>
      <c r="F5290" s="25" t="s">
        <v>60</v>
      </c>
      <c r="G5290" s="28">
        <v>4880500.0</v>
      </c>
      <c r="H5290" s="28">
        <v>2311.0</v>
      </c>
      <c r="I5290" s="28">
        <v>5356.0</v>
      </c>
      <c r="J5290" s="28">
        <v>31824.0</v>
      </c>
      <c r="K5290" s="25" t="s">
        <v>209</v>
      </c>
      <c r="L5290" s="26">
        <v>5.0</v>
      </c>
      <c r="M5290" s="26">
        <v>2.0</v>
      </c>
      <c r="N5290" s="26">
        <v>0.0</v>
      </c>
      <c r="O5290" s="26">
        <v>0.0</v>
      </c>
      <c r="P5290" s="34">
        <v>2112.0</v>
      </c>
      <c r="Q5290" s="35">
        <v>126.0</v>
      </c>
      <c r="R5290" s="32">
        <v>44581.0</v>
      </c>
      <c r="S5290" s="32">
        <v>42131.0</v>
      </c>
      <c r="T5290" s="29"/>
      <c r="U5290" s="33"/>
      <c r="V5290" s="1"/>
    </row>
    <row r="5291" ht="24.0" customHeight="1">
      <c r="A5291" s="1"/>
      <c r="B5291" s="24" t="str">
        <f>HYPERLINK("https://www.compass.com/listing/399-east-8th-street-unit-2a-manhattan-ny-10009/923749467039162481/view?agent_id=610d3f3370540700019b0833","399 East 8th Street, Unit 2A")</f>
        <v>399 East 8th Street, Unit 2A</v>
      </c>
      <c r="C5291" s="25" t="s">
        <v>364</v>
      </c>
      <c r="D5291" s="26" t="s">
        <v>23</v>
      </c>
      <c r="E5291" s="27" t="str">
        <f>HYPERLINK("https://www.compass.com/building/three99-on-eighth-manhattan-ny/281899849236886213/","THREE99 On Eighth")</f>
        <v>THREE99 On Eighth</v>
      </c>
      <c r="F5291" s="25" t="s">
        <v>24</v>
      </c>
      <c r="G5291" s="28">
        <v>998000.0</v>
      </c>
      <c r="H5291" s="29"/>
      <c r="I5291" s="28">
        <v>548.0</v>
      </c>
      <c r="J5291" s="28">
        <v>564.0</v>
      </c>
      <c r="K5291" s="25" t="s">
        <v>28</v>
      </c>
      <c r="L5291" s="26">
        <v>4.0</v>
      </c>
      <c r="M5291" s="26">
        <v>2.0</v>
      </c>
      <c r="N5291" s="26">
        <v>1.0</v>
      </c>
      <c r="O5291" s="26">
        <v>0.0</v>
      </c>
      <c r="P5291" s="30"/>
      <c r="Q5291" s="35">
        <v>110.0</v>
      </c>
      <c r="R5291" s="32">
        <v>45636.0</v>
      </c>
      <c r="S5291" s="32">
        <v>43573.0</v>
      </c>
      <c r="T5291" s="29"/>
      <c r="U5291" s="33"/>
      <c r="V5291" s="1"/>
    </row>
    <row r="5292" ht="24.0" customHeight="1">
      <c r="A5292" s="1"/>
      <c r="B5292" s="24" t="str">
        <f>HYPERLINK("https://www.compass.com/listing/58-west-106th-street-unit-5a-manhattan-ny-10025/1715523103554283121/view?agent_id=610d3f3370540700019b0833","58 West 106th Street, Unit 5A")</f>
        <v>58 West 106th Street, Unit 5A</v>
      </c>
      <c r="C5292" s="25" t="s">
        <v>365</v>
      </c>
      <c r="D5292" s="26" t="s">
        <v>23</v>
      </c>
      <c r="E5292" s="27" t="str">
        <f>HYPERLINK("https://www.compass.com/building/58-w-106th-st-manhattan-ny-10025/281972599372734981/","58 W 106th St")</f>
        <v>58 W 106th St</v>
      </c>
      <c r="F5292" s="25" t="s">
        <v>29</v>
      </c>
      <c r="G5292" s="28">
        <v>795000.0</v>
      </c>
      <c r="H5292" s="28">
        <v>1013.0</v>
      </c>
      <c r="I5292" s="28">
        <v>1409.0</v>
      </c>
      <c r="J5292" s="28">
        <v>7956.0</v>
      </c>
      <c r="K5292" s="25" t="s">
        <v>28</v>
      </c>
      <c r="L5292" s="26">
        <v>4.0</v>
      </c>
      <c r="M5292" s="26">
        <v>2.0</v>
      </c>
      <c r="N5292" s="26">
        <v>1.0</v>
      </c>
      <c r="O5292" s="26">
        <v>0.0</v>
      </c>
      <c r="P5292" s="26">
        <v>785.0</v>
      </c>
      <c r="Q5292" s="35">
        <v>56.0</v>
      </c>
      <c r="R5292" s="32">
        <v>45813.0</v>
      </c>
      <c r="S5292" s="32">
        <v>45618.0</v>
      </c>
      <c r="T5292" s="29"/>
      <c r="U5292" s="33"/>
      <c r="V5292" s="1"/>
    </row>
    <row r="5293" ht="24.0" customHeight="1">
      <c r="A5293" s="1"/>
      <c r="B5293" s="24" t="str">
        <f>HYPERLINK("https://www.compass.com/listing/718-broadway-unit-6b-manhattan-ny-10003/1127715201712829097/view?agent_id=610d3f3370540700019b0833","718 Broadway, Unit 6B")</f>
        <v>718 Broadway, Unit 6B</v>
      </c>
      <c r="C5293" s="25" t="s">
        <v>364</v>
      </c>
      <c r="D5293" s="26" t="s">
        <v>23</v>
      </c>
      <c r="E5293" s="27" t="str">
        <f>HYPERLINK("https://www.compass.com/building/718-broadway-manhattan-ny-10003/281894678784122533/","718 Broadway")</f>
        <v>718 Broadway</v>
      </c>
      <c r="F5293" s="25" t="s">
        <v>57</v>
      </c>
      <c r="G5293" s="28">
        <v>1675000.0</v>
      </c>
      <c r="H5293" s="29"/>
      <c r="I5293" s="28">
        <v>3072.0</v>
      </c>
      <c r="J5293" s="28">
        <v>0.0</v>
      </c>
      <c r="K5293" s="25" t="s">
        <v>25</v>
      </c>
      <c r="L5293" s="26">
        <v>4.0</v>
      </c>
      <c r="M5293" s="26">
        <v>2.0</v>
      </c>
      <c r="N5293" s="26">
        <v>1.0</v>
      </c>
      <c r="O5293" s="30"/>
      <c r="P5293" s="30"/>
      <c r="Q5293" s="35">
        <v>121.0</v>
      </c>
      <c r="R5293" s="32">
        <v>45070.0</v>
      </c>
      <c r="S5293" s="32">
        <v>44807.0</v>
      </c>
      <c r="T5293" s="29"/>
      <c r="U5293" s="33"/>
      <c r="V5293" s="1"/>
    </row>
    <row r="5294" ht="24.0" customHeight="1">
      <c r="A5294" s="1"/>
      <c r="B5294" s="24" t="str">
        <f>HYPERLINK("https://www.compass.com/listing/226-230-east-12th-street-unit-4a-manhattan-ny-10003/1572562010895863737/view?agent_id=610d3f3370540700019b0833","226-230 East 12th Street, Unit 4A")</f>
        <v>226-230 East 12th Street, Unit 4A</v>
      </c>
      <c r="C5294" s="25" t="s">
        <v>370</v>
      </c>
      <c r="D5294" s="26" t="s">
        <v>23</v>
      </c>
      <c r="E5294" s="27" t="str">
        <f>HYPERLINK("https://www.compass.com/building/226-230-e-12th-st-manhattan-ny-10003/281891199491512085/","226-230 E 12th St")</f>
        <v>226-230 E 12th St</v>
      </c>
      <c r="F5294" s="25" t="s">
        <v>24</v>
      </c>
      <c r="G5294" s="28">
        <v>1299000.0</v>
      </c>
      <c r="H5294" s="29"/>
      <c r="I5294" s="28">
        <v>1993.0</v>
      </c>
      <c r="J5294" s="28">
        <v>0.0</v>
      </c>
      <c r="K5294" s="25" t="s">
        <v>25</v>
      </c>
      <c r="L5294" s="26">
        <v>5.0</v>
      </c>
      <c r="M5294" s="26">
        <v>2.0</v>
      </c>
      <c r="N5294" s="26">
        <v>1.0</v>
      </c>
      <c r="O5294" s="26">
        <v>0.0</v>
      </c>
      <c r="P5294" s="30"/>
      <c r="Q5294" s="35">
        <v>167.0</v>
      </c>
      <c r="R5294" s="32">
        <v>45587.0</v>
      </c>
      <c r="S5294" s="32">
        <v>45421.0</v>
      </c>
      <c r="T5294" s="29"/>
      <c r="U5294" s="33"/>
      <c r="V5294" s="1"/>
    </row>
    <row r="5295" ht="24.0" customHeight="1">
      <c r="A5295" s="1"/>
      <c r="B5295" s="24" t="str">
        <f>HYPERLINK("https://www.compass.com/listing/365-st-johns-place-unit-2e-brooklyn-ny-11238/1248217837454335489/view?agent_id=610d3f3370540700019b0833","365 St Johns Place, Unit 2E")</f>
        <v>365 St Johns Place, Unit 2E</v>
      </c>
      <c r="C5295" s="25" t="s">
        <v>364</v>
      </c>
      <c r="D5295" s="26" t="s">
        <v>23</v>
      </c>
      <c r="E5295" s="27" t="str">
        <f>HYPERLINK("https://www.compass.com/building/365-st-johns-pl-brooklyn-ny-11238/293426269016628933/","365 St Johns Pl")</f>
        <v>365 St Johns Pl</v>
      </c>
      <c r="F5295" s="25" t="s">
        <v>39</v>
      </c>
      <c r="G5295" s="28">
        <v>450000.0</v>
      </c>
      <c r="H5295" s="29"/>
      <c r="I5295" s="28">
        <v>722.0</v>
      </c>
      <c r="J5295" s="29"/>
      <c r="K5295" s="25" t="s">
        <v>25</v>
      </c>
      <c r="L5295" s="26">
        <v>4.0</v>
      </c>
      <c r="M5295" s="26">
        <v>2.0</v>
      </c>
      <c r="N5295" s="30"/>
      <c r="O5295" s="30"/>
      <c r="P5295" s="30"/>
      <c r="Q5295" s="31"/>
      <c r="R5295" s="32">
        <v>41640.0</v>
      </c>
      <c r="S5295" s="33"/>
      <c r="T5295" s="29"/>
      <c r="U5295" s="33"/>
      <c r="V5295" s="1"/>
    </row>
    <row r="5296" ht="24.0" customHeight="1">
      <c r="A5296" s="1"/>
      <c r="B5296" s="24" t="str">
        <f>HYPERLINK("https://www.compass.com/listing/101-west-23rd-street-unit-5k-manhattan-ny-10011/278797290515286993/view?agent_id=610d3f3370540700019b0833","101 West 23rd Street, Unit 5K")</f>
        <v>101 West 23rd Street, Unit 5K</v>
      </c>
      <c r="C5296" s="25" t="s">
        <v>364</v>
      </c>
      <c r="D5296" s="26" t="s">
        <v>23</v>
      </c>
      <c r="E5296" s="27" t="str">
        <f>HYPERLINK("https://www.compass.com/building/101-w-23rd-st-manhattan-ny-10011/294838378147069173/","101 W 23rd St")</f>
        <v>101 W 23rd St</v>
      </c>
      <c r="F5296" s="25" t="s">
        <v>27</v>
      </c>
      <c r="G5296" s="28">
        <v>379000.0</v>
      </c>
      <c r="H5296" s="28">
        <v>353.0</v>
      </c>
      <c r="I5296" s="28">
        <v>2853.0</v>
      </c>
      <c r="J5296" s="29"/>
      <c r="K5296" s="25" t="s">
        <v>25</v>
      </c>
      <c r="L5296" s="26">
        <v>4.0</v>
      </c>
      <c r="M5296" s="26">
        <v>2.0</v>
      </c>
      <c r="N5296" s="30"/>
      <c r="O5296" s="30"/>
      <c r="P5296" s="34">
        <v>1075.0</v>
      </c>
      <c r="Q5296" s="31"/>
      <c r="R5296" s="32">
        <v>41640.0</v>
      </c>
      <c r="S5296" s="33"/>
      <c r="T5296" s="29"/>
      <c r="U5296" s="33"/>
      <c r="V5296" s="1"/>
    </row>
    <row r="5297" ht="24.0" customHeight="1">
      <c r="A5297" s="1"/>
      <c r="B5297" s="24" t="str">
        <f>HYPERLINK("https://www.compass.com/listing/254-park-avenue-south-unit-17ce-manhattan-ny-10010/192565445432290529/view?agent_id=610d3f3370540700019b0833","254 Park Avenue South, Unit 17CE")</f>
        <v>254 Park Avenue South, Unit 17CE</v>
      </c>
      <c r="C5297" s="25" t="s">
        <v>364</v>
      </c>
      <c r="D5297" s="26" t="s">
        <v>23</v>
      </c>
      <c r="E5297" s="27" t="str">
        <f t="shared" ref="E5297:E5298" si="246">HYPERLINK("https://www.compass.com/building/254-pas-manhattan-ny/294848119879630069/","254 PAS")</f>
        <v>254 PAS</v>
      </c>
      <c r="F5297" s="25" t="s">
        <v>115</v>
      </c>
      <c r="G5297" s="28">
        <v>1595000.0</v>
      </c>
      <c r="H5297" s="29"/>
      <c r="I5297" s="28">
        <v>2166.0</v>
      </c>
      <c r="J5297" s="29"/>
      <c r="K5297" s="25" t="s">
        <v>28</v>
      </c>
      <c r="L5297" s="26">
        <v>5.0</v>
      </c>
      <c r="M5297" s="26">
        <v>2.0</v>
      </c>
      <c r="N5297" s="26">
        <v>0.0</v>
      </c>
      <c r="O5297" s="26">
        <v>0.0</v>
      </c>
      <c r="P5297" s="30"/>
      <c r="Q5297" s="35">
        <v>3396.0</v>
      </c>
      <c r="R5297" s="32">
        <v>44581.0</v>
      </c>
      <c r="S5297" s="32">
        <v>41184.0</v>
      </c>
      <c r="T5297" s="29"/>
      <c r="U5297" s="33"/>
      <c r="V5297" s="1"/>
    </row>
    <row r="5298" ht="24.0" customHeight="1">
      <c r="A5298" s="1"/>
      <c r="B5298" s="24" t="str">
        <f>HYPERLINK("https://www.compass.com/listing/254-park-avenue-south-unit-17je-manhattan-ny-10010/192565474138125265/view?agent_id=610d3f3370540700019b0833","254 Park Avenue South, Unit 17JE")</f>
        <v>254 Park Avenue South, Unit 17JE</v>
      </c>
      <c r="C5298" s="25" t="s">
        <v>364</v>
      </c>
      <c r="D5298" s="26" t="s">
        <v>23</v>
      </c>
      <c r="E5298" s="27" t="str">
        <f t="shared" si="246"/>
        <v>254 PAS</v>
      </c>
      <c r="F5298" s="25" t="s">
        <v>115</v>
      </c>
      <c r="G5298" s="28">
        <v>1395000.0</v>
      </c>
      <c r="H5298" s="29"/>
      <c r="I5298" s="28">
        <v>1740.0</v>
      </c>
      <c r="J5298" s="29"/>
      <c r="K5298" s="25" t="s">
        <v>28</v>
      </c>
      <c r="L5298" s="26">
        <v>4.0</v>
      </c>
      <c r="M5298" s="26">
        <v>2.0</v>
      </c>
      <c r="N5298" s="26">
        <v>0.0</v>
      </c>
      <c r="O5298" s="26">
        <v>0.0</v>
      </c>
      <c r="P5298" s="30"/>
      <c r="Q5298" s="35">
        <v>3396.0</v>
      </c>
      <c r="R5298" s="32">
        <v>44581.0</v>
      </c>
      <c r="S5298" s="32">
        <v>41184.0</v>
      </c>
      <c r="T5298" s="29"/>
      <c r="U5298" s="33"/>
      <c r="V5298" s="1"/>
    </row>
    <row r="5299" ht="24.0" customHeight="1">
      <c r="A5299" s="1"/>
      <c r="B5299" s="24" t="str">
        <f>HYPERLINK("https://www.compass.com/listing/40-west-77th-street-unit-3a-manhattan-ny-10024/110112170699734929/view?agent_id=610d3f3370540700019b0833","40 West 77th Street, Unit 3A")</f>
        <v>40 West 77th Street, Unit 3A</v>
      </c>
      <c r="C5299" s="25" t="s">
        <v>364</v>
      </c>
      <c r="D5299" s="26" t="s">
        <v>23</v>
      </c>
      <c r="E5299" s="27" t="str">
        <f>HYPERLINK("https://www.compass.com/building/40-w-77th-st-manhattan-ny-10024/281925283118881285/","40 W 77th St")</f>
        <v>40 W 77th St</v>
      </c>
      <c r="F5299" s="25" t="s">
        <v>29</v>
      </c>
      <c r="G5299" s="28">
        <v>1995000.0</v>
      </c>
      <c r="H5299" s="29"/>
      <c r="I5299" s="28">
        <v>2245.0</v>
      </c>
      <c r="J5299" s="29"/>
      <c r="K5299" s="25" t="s">
        <v>25</v>
      </c>
      <c r="L5299" s="26">
        <v>5.0</v>
      </c>
      <c r="M5299" s="26">
        <v>2.0</v>
      </c>
      <c r="N5299" s="26">
        <v>0.0</v>
      </c>
      <c r="O5299" s="26">
        <v>0.0</v>
      </c>
      <c r="P5299" s="30"/>
      <c r="Q5299" s="35">
        <v>102.0</v>
      </c>
      <c r="R5299" s="32">
        <v>45636.0</v>
      </c>
      <c r="S5299" s="32">
        <v>42846.0</v>
      </c>
      <c r="T5299" s="29"/>
      <c r="U5299" s="33"/>
      <c r="V5299" s="1"/>
    </row>
    <row r="5300" ht="24.0" customHeight="1">
      <c r="A5300" s="1"/>
      <c r="B5300" s="24" t="str">
        <f>HYPERLINK("https://www.compass.com/listing/76-11th-avenue-unit-x12f-manhattan-ny-10011/786141563678723137/view?agent_id=610d3f3370540700019b0833","76 11th Avenue, Unit X12F")</f>
        <v>76 11th Avenue, Unit X12F</v>
      </c>
      <c r="C5300" s="25" t="s">
        <v>364</v>
      </c>
      <c r="D5300" s="26" t="s">
        <v>23</v>
      </c>
      <c r="E5300" s="27" t="str">
        <f>HYPERLINK("https://www.compass.com/building/the-xi-manhattan-ny/292806945394425205/","The XI")</f>
        <v>The XI</v>
      </c>
      <c r="F5300" s="25" t="s">
        <v>27</v>
      </c>
      <c r="G5300" s="28">
        <v>4500000.0</v>
      </c>
      <c r="H5300" s="28">
        <v>2570.0</v>
      </c>
      <c r="I5300" s="28">
        <v>0.0</v>
      </c>
      <c r="J5300" s="28">
        <v>0.0</v>
      </c>
      <c r="K5300" s="25" t="s">
        <v>28</v>
      </c>
      <c r="L5300" s="26">
        <v>5.0</v>
      </c>
      <c r="M5300" s="26">
        <v>2.0</v>
      </c>
      <c r="N5300" s="30"/>
      <c r="O5300" s="30"/>
      <c r="P5300" s="34">
        <v>1751.0</v>
      </c>
      <c r="Q5300" s="35">
        <v>410.0</v>
      </c>
      <c r="R5300" s="32">
        <v>44344.0</v>
      </c>
      <c r="S5300" s="32">
        <v>43697.0</v>
      </c>
      <c r="T5300" s="29"/>
      <c r="U5300" s="33"/>
      <c r="V5300" s="1"/>
    </row>
    <row r="5301" ht="24.0" customHeight="1">
      <c r="A5301" s="1"/>
      <c r="B5301" s="24" t="str">
        <f>HYPERLINK("https://www.compass.com/listing/300-east-23rd-street-unit-2b-manhattan-ny-10010/29382174771779537/view?agent_id=610d3f3370540700019b0833","300 East 23rd Street, Unit 2B")</f>
        <v>300 East 23rd Street, Unit 2B</v>
      </c>
      <c r="C5301" s="25" t="s">
        <v>370</v>
      </c>
      <c r="D5301" s="26" t="s">
        <v>23</v>
      </c>
      <c r="E5301" s="27" t="str">
        <f>HYPERLINK("https://www.compass.com/building/tempo-manhattan-ny/281902794510712821/","Tempo")</f>
        <v>Tempo</v>
      </c>
      <c r="F5301" s="25" t="s">
        <v>48</v>
      </c>
      <c r="G5301" s="28">
        <v>1695000.0</v>
      </c>
      <c r="H5301" s="28">
        <v>1571.0</v>
      </c>
      <c r="I5301" s="28">
        <v>1306.0</v>
      </c>
      <c r="J5301" s="28">
        <v>924.0</v>
      </c>
      <c r="K5301" s="25" t="s">
        <v>28</v>
      </c>
      <c r="L5301" s="26">
        <v>4.0</v>
      </c>
      <c r="M5301" s="26">
        <v>2.0</v>
      </c>
      <c r="N5301" s="26">
        <v>0.0</v>
      </c>
      <c r="O5301" s="26">
        <v>0.0</v>
      </c>
      <c r="P5301" s="34">
        <v>1079.0</v>
      </c>
      <c r="Q5301" s="35">
        <v>19.0</v>
      </c>
      <c r="R5301" s="32">
        <v>45636.0</v>
      </c>
      <c r="S5301" s="32">
        <v>41746.0</v>
      </c>
      <c r="T5301" s="29"/>
      <c r="U5301" s="33"/>
      <c r="V5301" s="1"/>
    </row>
    <row r="5302" ht="24.0" customHeight="1">
      <c r="A5302" s="1"/>
      <c r="B5302" s="24" t="str">
        <f>HYPERLINK("https://www.compass.com/listing/19-park-place-unit-14a-manhattan-ny-10007/4852266324711188321/view?agent_id=610d3f3370540700019b0833","19 Park Place, Unit 14A")</f>
        <v>19 Park Place, Unit 14A</v>
      </c>
      <c r="C5302" s="25" t="s">
        <v>364</v>
      </c>
      <c r="D5302" s="26" t="s">
        <v>23</v>
      </c>
      <c r="E5302" s="27" t="str">
        <f>HYPERLINK("https://www.compass.com/building/19-park-pl-manhattan-ny-10007/281896755719580821/","19 Park Pl")</f>
        <v>19 Park Pl</v>
      </c>
      <c r="F5302" s="25" t="s">
        <v>60</v>
      </c>
      <c r="G5302" s="28">
        <v>2825000.0</v>
      </c>
      <c r="H5302" s="28">
        <v>2115.0</v>
      </c>
      <c r="I5302" s="28">
        <v>1915.0</v>
      </c>
      <c r="J5302" s="28">
        <v>1956.0</v>
      </c>
      <c r="K5302" s="25" t="s">
        <v>28</v>
      </c>
      <c r="L5302" s="26">
        <v>4.0</v>
      </c>
      <c r="M5302" s="26">
        <v>2.0</v>
      </c>
      <c r="N5302" s="26">
        <v>0.0</v>
      </c>
      <c r="O5302" s="26">
        <v>0.0</v>
      </c>
      <c r="P5302" s="34">
        <v>1336.0</v>
      </c>
      <c r="Q5302" s="35">
        <v>8.0</v>
      </c>
      <c r="R5302" s="32">
        <v>44581.0</v>
      </c>
      <c r="S5302" s="32">
        <v>41884.0</v>
      </c>
      <c r="T5302" s="29"/>
      <c r="U5302" s="33"/>
      <c r="V5302" s="1"/>
    </row>
    <row r="5303" ht="24.0" customHeight="1">
      <c r="A5303" s="1"/>
      <c r="B5303" s="24" t="str">
        <f>HYPERLINK("https://www.compass.com/listing/275-west-96th-street-unit-8r-manhattan-ny-10025/4852272791640083905/view?agent_id=610d3f3370540700019b0833","275 West 96th Street, Unit 8R")</f>
        <v>275 West 96th Street, Unit 8R</v>
      </c>
      <c r="C5303" s="25" t="s">
        <v>364</v>
      </c>
      <c r="D5303" s="26" t="s">
        <v>23</v>
      </c>
      <c r="E5303" s="27" t="str">
        <f>HYPERLINK("https://www.compass.com/building/the-columbia-manhattan-ny/281970359413069877/","The Columbia")</f>
        <v>The Columbia</v>
      </c>
      <c r="F5303" s="25" t="s">
        <v>29</v>
      </c>
      <c r="G5303" s="28">
        <v>1250000.0</v>
      </c>
      <c r="H5303" s="28">
        <v>1186.0</v>
      </c>
      <c r="I5303" s="28">
        <v>1972.0</v>
      </c>
      <c r="J5303" s="28">
        <v>10332.0</v>
      </c>
      <c r="K5303" s="25" t="s">
        <v>28</v>
      </c>
      <c r="L5303" s="26">
        <v>4.0</v>
      </c>
      <c r="M5303" s="26">
        <v>2.0</v>
      </c>
      <c r="N5303" s="26">
        <v>1.0</v>
      </c>
      <c r="O5303" s="26">
        <v>0.0</v>
      </c>
      <c r="P5303" s="34">
        <v>1054.0</v>
      </c>
      <c r="Q5303" s="35">
        <v>9408.0</v>
      </c>
      <c r="R5303" s="32">
        <v>45636.0</v>
      </c>
      <c r="S5303" s="32">
        <v>34850.0</v>
      </c>
      <c r="T5303" s="29"/>
      <c r="U5303" s="33"/>
      <c r="V5303" s="1"/>
    </row>
    <row r="5304" ht="24.0" customHeight="1">
      <c r="A5304" s="1"/>
      <c r="B5304" s="24" t="str">
        <f>HYPERLINK("https://www.compass.com/listing/232-east-6th-street-unit-2b-manhattan-ny-10003/96876647277489249/view?agent_id=610d3f3370540700019b0833","232 East 6th Street, Unit 2B")</f>
        <v>232 East 6th Street, Unit 2B</v>
      </c>
      <c r="C5304" s="25" t="s">
        <v>370</v>
      </c>
      <c r="D5304" s="26" t="s">
        <v>23</v>
      </c>
      <c r="E5304" s="27" t="str">
        <f>HYPERLINK("https://www.compass.com/building/232-e-6th-st-manhattan-ny-10003/281891398309909029/","232 E 6th St")</f>
        <v>232 E 6th St</v>
      </c>
      <c r="F5304" s="25" t="s">
        <v>24</v>
      </c>
      <c r="G5304" s="28">
        <v>1495000.0</v>
      </c>
      <c r="H5304" s="29"/>
      <c r="I5304" s="28">
        <v>1984.0</v>
      </c>
      <c r="J5304" s="29"/>
      <c r="K5304" s="25" t="s">
        <v>25</v>
      </c>
      <c r="L5304" s="26">
        <v>5.0</v>
      </c>
      <c r="M5304" s="26">
        <v>2.0</v>
      </c>
      <c r="N5304" s="26">
        <v>1.0</v>
      </c>
      <c r="O5304" s="26">
        <v>0.0</v>
      </c>
      <c r="P5304" s="30"/>
      <c r="Q5304" s="35">
        <v>165.0</v>
      </c>
      <c r="R5304" s="32">
        <v>45636.0</v>
      </c>
      <c r="S5304" s="32">
        <v>43385.0</v>
      </c>
      <c r="T5304" s="29"/>
      <c r="U5304" s="33"/>
      <c r="V5304" s="1"/>
    </row>
    <row r="5305" ht="24.0" customHeight="1">
      <c r="A5305" s="1"/>
      <c r="B5305" s="24" t="str">
        <f>HYPERLINK("https://www.compass.com/listing/32-west-82nd-street-unit-5cc-manhattan-ny-10024/822276708995010569/view?agent_id=610d3f3370540700019b0833","32 West 82nd Street, Unit 5CC")</f>
        <v>32 West 82nd Street, Unit 5CC</v>
      </c>
      <c r="C5305" s="25" t="s">
        <v>364</v>
      </c>
      <c r="D5305" s="26" t="s">
        <v>23</v>
      </c>
      <c r="E5305" s="27" t="str">
        <f>HYPERLINK("https://www.compass.com/building/32-w-82nd-st-manhattan-ny-10024/281924964687321509/","32 W 82nd St")</f>
        <v>32 W 82nd St</v>
      </c>
      <c r="F5305" s="25" t="s">
        <v>29</v>
      </c>
      <c r="G5305" s="28">
        <v>1499000.0</v>
      </c>
      <c r="H5305" s="29"/>
      <c r="I5305" s="28">
        <v>2247.0</v>
      </c>
      <c r="J5305" s="28">
        <v>0.0</v>
      </c>
      <c r="K5305" s="25" t="s">
        <v>25</v>
      </c>
      <c r="L5305" s="26">
        <v>4.0</v>
      </c>
      <c r="M5305" s="26">
        <v>2.0</v>
      </c>
      <c r="N5305" s="30"/>
      <c r="O5305" s="30"/>
      <c r="P5305" s="30"/>
      <c r="Q5305" s="35">
        <v>3.0</v>
      </c>
      <c r="R5305" s="32">
        <v>44390.0</v>
      </c>
      <c r="S5305" s="32">
        <v>44386.0</v>
      </c>
      <c r="T5305" s="29"/>
      <c r="U5305" s="33"/>
      <c r="V5305" s="1"/>
    </row>
    <row r="5306" ht="24.0" customHeight="1">
      <c r="A5306" s="1"/>
      <c r="B5306" s="24" t="str">
        <f>HYPERLINK("https://www.compass.com/listing/241-west-97th-street-unit-3n-manhattan-ny-10025/573626805729620969/view?agent_id=610d3f3370540700019b0833","241 West 97th Street, Unit 3N")</f>
        <v>241 West 97th Street, Unit 3N</v>
      </c>
      <c r="C5306" s="25" t="s">
        <v>364</v>
      </c>
      <c r="D5306" s="26" t="s">
        <v>23</v>
      </c>
      <c r="E5306" s="27" t="str">
        <f>HYPERLINK("https://www.compass.com/building/sabrina-manhattan-ny/282058526048680533/","Sabrina")</f>
        <v>Sabrina</v>
      </c>
      <c r="F5306" s="25" t="s">
        <v>29</v>
      </c>
      <c r="G5306" s="28">
        <v>1550000.0</v>
      </c>
      <c r="H5306" s="28">
        <v>1476.0</v>
      </c>
      <c r="I5306" s="28">
        <v>2024.0</v>
      </c>
      <c r="J5306" s="28">
        <v>11688.0</v>
      </c>
      <c r="K5306" s="25" t="s">
        <v>28</v>
      </c>
      <c r="L5306" s="26">
        <v>4.0</v>
      </c>
      <c r="M5306" s="26">
        <v>2.0</v>
      </c>
      <c r="N5306" s="30"/>
      <c r="O5306" s="30"/>
      <c r="P5306" s="34">
        <v>1050.0</v>
      </c>
      <c r="Q5306" s="35">
        <v>137.0</v>
      </c>
      <c r="R5306" s="32">
        <v>44180.0</v>
      </c>
      <c r="S5306" s="32">
        <v>44042.0</v>
      </c>
      <c r="T5306" s="29"/>
      <c r="U5306" s="33"/>
      <c r="V5306" s="1"/>
    </row>
    <row r="5307" ht="24.0" customHeight="1">
      <c r="A5307" s="1"/>
      <c r="B5307" s="24" t="str">
        <f>HYPERLINK("https://www.compass.com/listing/261-broadway-unit-7d-manhattan-ny-10007/1249701413789562857/view?agent_id=610d3f3370540700019b0833","261 Broadway, Unit 7D")</f>
        <v>261 Broadway, Unit 7D</v>
      </c>
      <c r="C5307" s="25" t="s">
        <v>364</v>
      </c>
      <c r="D5307" s="26" t="s">
        <v>23</v>
      </c>
      <c r="E5307" s="27" t="str">
        <f>HYPERLINK("https://www.compass.com/building/261-broadway-manhattan-ny-10007/282058491345009717/","261 Broadway")</f>
        <v>261 Broadway</v>
      </c>
      <c r="F5307" s="25" t="s">
        <v>60</v>
      </c>
      <c r="G5307" s="28">
        <v>1725000.0</v>
      </c>
      <c r="H5307" s="28">
        <v>1190.0</v>
      </c>
      <c r="I5307" s="28">
        <v>1851.0</v>
      </c>
      <c r="J5307" s="29"/>
      <c r="K5307" s="25" t="s">
        <v>25</v>
      </c>
      <c r="L5307" s="26">
        <v>5.0</v>
      </c>
      <c r="M5307" s="26">
        <v>2.0</v>
      </c>
      <c r="N5307" s="30"/>
      <c r="O5307" s="30"/>
      <c r="P5307" s="34">
        <v>1450.0</v>
      </c>
      <c r="Q5307" s="35">
        <v>28.0</v>
      </c>
      <c r="R5307" s="32">
        <v>41640.0</v>
      </c>
      <c r="S5307" s="32">
        <v>42039.0</v>
      </c>
      <c r="T5307" s="29"/>
      <c r="U5307" s="33"/>
      <c r="V5307" s="1"/>
    </row>
    <row r="5308" ht="24.0" customHeight="1">
      <c r="A5308" s="1"/>
      <c r="B5308" s="24" t="str">
        <f>HYPERLINK("https://www.compass.com/listing/112-east-19th-street-unit-8f-manhattan-ny-10003/1838943891022117345/view?agent_id=610d3f3370540700019b0833","112 East 19th Street, Unit 8F")</f>
        <v>112 East 19th Street, Unit 8F</v>
      </c>
      <c r="C5308" s="25" t="s">
        <v>364</v>
      </c>
      <c r="D5308" s="26" t="s">
        <v>23</v>
      </c>
      <c r="E5308" s="27" t="str">
        <f>HYPERLINK("https://www.compass.com/building/112-e-19th-st-manhattan-ny-10003/281888983825254421/","112 E 19th St")</f>
        <v>112 E 19th St</v>
      </c>
      <c r="F5308" s="25" t="s">
        <v>48</v>
      </c>
      <c r="G5308" s="28">
        <v>3450000.0</v>
      </c>
      <c r="H5308" s="28">
        <v>1971.0</v>
      </c>
      <c r="I5308" s="28">
        <v>3162.0</v>
      </c>
      <c r="J5308" s="29"/>
      <c r="K5308" s="25" t="s">
        <v>25</v>
      </c>
      <c r="L5308" s="26">
        <v>4.0</v>
      </c>
      <c r="M5308" s="26">
        <v>2.0</v>
      </c>
      <c r="N5308" s="26">
        <v>0.0</v>
      </c>
      <c r="O5308" s="26">
        <v>0.0</v>
      </c>
      <c r="P5308" s="34">
        <v>1750.0</v>
      </c>
      <c r="Q5308" s="35">
        <v>84.0</v>
      </c>
      <c r="R5308" s="32">
        <v>45636.0</v>
      </c>
      <c r="S5308" s="32">
        <v>41900.0</v>
      </c>
      <c r="T5308" s="29"/>
      <c r="U5308" s="33"/>
      <c r="V5308" s="1"/>
    </row>
    <row r="5309" ht="24.0" customHeight="1">
      <c r="A5309" s="1"/>
      <c r="B5309" s="24" t="str">
        <f>HYPERLINK("https://www.compass.com/listing/22-west-15th-street-unit-9ab-manhattan-ny-10011/769279967351751609/view?agent_id=610d3f3370540700019b0833","22 West 15th Street, Unit 9AB")</f>
        <v>22 West 15th Street, Unit 9AB</v>
      </c>
      <c r="C5309" s="25" t="s">
        <v>364</v>
      </c>
      <c r="D5309" s="26" t="s">
        <v>23</v>
      </c>
      <c r="E5309" s="27" t="str">
        <f>HYPERLINK("https://www.compass.com/building/grosvenor-house-manhattan-ny/281906990349832565/","Grosvenor House")</f>
        <v>Grosvenor House</v>
      </c>
      <c r="F5309" s="25" t="s">
        <v>115</v>
      </c>
      <c r="G5309" s="28">
        <v>2400000.0</v>
      </c>
      <c r="H5309" s="29"/>
      <c r="I5309" s="28">
        <v>3663.0</v>
      </c>
      <c r="J5309" s="28">
        <v>26400.0</v>
      </c>
      <c r="K5309" s="25" t="s">
        <v>28</v>
      </c>
      <c r="L5309" s="26">
        <v>5.0</v>
      </c>
      <c r="M5309" s="26">
        <v>2.0</v>
      </c>
      <c r="N5309" s="30"/>
      <c r="O5309" s="30"/>
      <c r="P5309" s="30"/>
      <c r="Q5309" s="35">
        <v>72.0</v>
      </c>
      <c r="R5309" s="32">
        <v>44385.0</v>
      </c>
      <c r="S5309" s="32">
        <v>44312.0</v>
      </c>
      <c r="T5309" s="29"/>
      <c r="U5309" s="33"/>
      <c r="V5309" s="1"/>
    </row>
    <row r="5310" ht="24.0" customHeight="1">
      <c r="A5310" s="1"/>
      <c r="B5310" s="24" t="str">
        <f>HYPERLINK("https://www.compass.com/listing/300-east-23rd-street-unit-11a-manhattan-ny-10010/803356160333741241/view?agent_id=610d3f3370540700019b0833","300 East 23rd Street, Unit 11A")</f>
        <v>300 East 23rd Street, Unit 11A</v>
      </c>
      <c r="C5310" s="25" t="s">
        <v>370</v>
      </c>
      <c r="D5310" s="26" t="s">
        <v>23</v>
      </c>
      <c r="E5310" s="27" t="str">
        <f>HYPERLINK("https://www.compass.com/building/tempo-manhattan-ny/281902794510712821/","Tempo")</f>
        <v>Tempo</v>
      </c>
      <c r="F5310" s="25" t="s">
        <v>48</v>
      </c>
      <c r="G5310" s="28">
        <v>2200000.0</v>
      </c>
      <c r="H5310" s="28">
        <v>1728.0</v>
      </c>
      <c r="I5310" s="28">
        <v>2634.0</v>
      </c>
      <c r="J5310" s="28">
        <v>10824.0</v>
      </c>
      <c r="K5310" s="25" t="s">
        <v>28</v>
      </c>
      <c r="L5310" s="26">
        <v>4.0</v>
      </c>
      <c r="M5310" s="26">
        <v>2.0</v>
      </c>
      <c r="N5310" s="26">
        <v>0.0</v>
      </c>
      <c r="O5310" s="26">
        <v>0.0</v>
      </c>
      <c r="P5310" s="34">
        <v>1273.0</v>
      </c>
      <c r="Q5310" s="35">
        <v>178.0</v>
      </c>
      <c r="R5310" s="32">
        <v>45695.0</v>
      </c>
      <c r="S5310" s="32">
        <v>42688.0</v>
      </c>
      <c r="T5310" s="29"/>
      <c r="U5310" s="33"/>
      <c r="V5310" s="1"/>
    </row>
    <row r="5311" ht="24.0" customHeight="1">
      <c r="A5311" s="1"/>
      <c r="B5311" s="24" t="str">
        <f>HYPERLINK("https://www.compass.com/listing/226-east-2nd-street-unit-2c-manhattan-ny-10009/4703726426522668465/view?agent_id=610d3f3370540700019b0833","226 E 2nd St, Unit 2C")</f>
        <v>226 E 2nd St, Unit 2C</v>
      </c>
      <c r="C5311" s="25" t="s">
        <v>370</v>
      </c>
      <c r="D5311" s="26" t="s">
        <v>23</v>
      </c>
      <c r="E5311" s="27" t="str">
        <f>HYPERLINK("https://www.compass.com/building/226-e-2nd-st-manhattan-ny-10009/292791996853013269/","226 E 2nd St")</f>
        <v>226 E 2nd St</v>
      </c>
      <c r="F5311" s="25" t="s">
        <v>24</v>
      </c>
      <c r="G5311" s="28">
        <v>675000.0</v>
      </c>
      <c r="H5311" s="28">
        <v>925.0</v>
      </c>
      <c r="I5311" s="29"/>
      <c r="J5311" s="29"/>
      <c r="K5311" s="25" t="s">
        <v>25</v>
      </c>
      <c r="L5311" s="26">
        <v>4.0</v>
      </c>
      <c r="M5311" s="26">
        <v>2.0</v>
      </c>
      <c r="N5311" s="30"/>
      <c r="O5311" s="30"/>
      <c r="P5311" s="26">
        <v>730.0</v>
      </c>
      <c r="Q5311" s="35">
        <v>318.0</v>
      </c>
      <c r="R5311" s="32">
        <v>42478.0</v>
      </c>
      <c r="S5311" s="32">
        <v>39519.0</v>
      </c>
      <c r="T5311" s="29"/>
      <c r="U5311" s="33"/>
      <c r="V5311" s="1"/>
    </row>
    <row r="5312" ht="24.0" customHeight="1">
      <c r="A5312" s="1"/>
      <c r="B5312" s="24" t="str">
        <f>HYPERLINK("https://www.compass.com/listing/561-broadway-unit-11a-manhattan-ny-10012/50850964390861281/view?agent_id=610d3f3370540700019b0833","561 Broadway, Unit 11A")</f>
        <v>561 Broadway, Unit 11A</v>
      </c>
      <c r="C5312" s="25" t="s">
        <v>364</v>
      </c>
      <c r="D5312" s="26" t="s">
        <v>23</v>
      </c>
      <c r="E5312" s="27" t="str">
        <f>HYPERLINK("https://www.compass.com/building/561-broadway-88-prince-st-manhattan-ny/293533306362869413/","561 Broadway-88 Prince St")</f>
        <v>561 Broadway-88 Prince St</v>
      </c>
      <c r="F5312" s="25" t="s">
        <v>53</v>
      </c>
      <c r="G5312" s="28">
        <v>5390000.0</v>
      </c>
      <c r="H5312" s="28">
        <v>2343.0</v>
      </c>
      <c r="I5312" s="28">
        <v>4101.0</v>
      </c>
      <c r="J5312" s="29"/>
      <c r="K5312" s="25" t="s">
        <v>25</v>
      </c>
      <c r="L5312" s="26">
        <v>6.0</v>
      </c>
      <c r="M5312" s="26">
        <v>2.0</v>
      </c>
      <c r="N5312" s="26">
        <v>0.0</v>
      </c>
      <c r="O5312" s="26">
        <v>0.0</v>
      </c>
      <c r="P5312" s="34">
        <v>2300.0</v>
      </c>
      <c r="Q5312" s="35">
        <v>499.0</v>
      </c>
      <c r="R5312" s="32">
        <v>45636.0</v>
      </c>
      <c r="S5312" s="32">
        <v>41927.0</v>
      </c>
      <c r="T5312" s="29"/>
      <c r="U5312" s="33"/>
      <c r="V5312" s="1"/>
    </row>
    <row r="5313" ht="24.0" customHeight="1">
      <c r="A5313" s="1"/>
      <c r="B5313" s="24" t="str">
        <f>HYPERLINK("https://www.compass.com/listing/169-bond-street-unit-2r-brooklyn-ny-11217/29462794034220305/view?agent_id=610d3f3370540700019b0833","169 Bond Street, Unit 2R")</f>
        <v>169 Bond Street, Unit 2R</v>
      </c>
      <c r="C5313" s="25" t="s">
        <v>364</v>
      </c>
      <c r="D5313" s="26" t="s">
        <v>23</v>
      </c>
      <c r="E5313" s="27" t="str">
        <f t="shared" ref="E5313:E5314" si="247">HYPERLINK("https://www.compass.com/building/169-bond-st-brooklyn-ny-11217/282500927955480597/","169 Bond St")</f>
        <v>169 Bond St</v>
      </c>
      <c r="F5313" s="25" t="s">
        <v>102</v>
      </c>
      <c r="G5313" s="28">
        <v>935000.0</v>
      </c>
      <c r="H5313" s="29"/>
      <c r="I5313" s="28">
        <v>435.0</v>
      </c>
      <c r="J5313" s="29"/>
      <c r="K5313" s="25" t="s">
        <v>25</v>
      </c>
      <c r="L5313" s="26">
        <v>4.0</v>
      </c>
      <c r="M5313" s="26">
        <v>2.0</v>
      </c>
      <c r="N5313" s="26">
        <v>0.0</v>
      </c>
      <c r="O5313" s="26">
        <v>0.0</v>
      </c>
      <c r="P5313" s="30"/>
      <c r="Q5313" s="35">
        <v>120.0</v>
      </c>
      <c r="R5313" s="32">
        <v>44581.0</v>
      </c>
      <c r="S5313" s="32">
        <v>41221.0</v>
      </c>
      <c r="T5313" s="29"/>
      <c r="U5313" s="33"/>
      <c r="V5313" s="1"/>
    </row>
    <row r="5314" ht="24.0" customHeight="1">
      <c r="A5314" s="1"/>
      <c r="B5314" s="24" t="str">
        <f>HYPERLINK("https://www.compass.com/listing/169-bond-street-unit-2r-brooklyn-ny-11217/484089691269154409/view?agent_id=610d3f3370540700019b0833","169 Bond Street, Unit 2R")</f>
        <v>169 Bond Street, Unit 2R</v>
      </c>
      <c r="C5314" s="25" t="s">
        <v>364</v>
      </c>
      <c r="D5314" s="26" t="s">
        <v>23</v>
      </c>
      <c r="E5314" s="27" t="str">
        <f t="shared" si="247"/>
        <v>169 Bond St</v>
      </c>
      <c r="F5314" s="25" t="s">
        <v>102</v>
      </c>
      <c r="G5314" s="28">
        <v>935000.0</v>
      </c>
      <c r="H5314" s="29"/>
      <c r="I5314" s="28">
        <v>435.0</v>
      </c>
      <c r="J5314" s="29"/>
      <c r="K5314" s="25" t="s">
        <v>25</v>
      </c>
      <c r="L5314" s="26">
        <v>4.0</v>
      </c>
      <c r="M5314" s="26">
        <v>2.0</v>
      </c>
      <c r="N5314" s="26">
        <v>0.0</v>
      </c>
      <c r="O5314" s="26">
        <v>0.0</v>
      </c>
      <c r="P5314" s="30"/>
      <c r="Q5314" s="35">
        <v>1744.0</v>
      </c>
      <c r="R5314" s="32">
        <v>44581.0</v>
      </c>
      <c r="S5314" s="32">
        <v>41192.0</v>
      </c>
      <c r="T5314" s="29"/>
      <c r="U5314" s="33"/>
      <c r="V5314" s="1"/>
    </row>
    <row r="5315" ht="24.0" customHeight="1">
      <c r="A5315" s="1"/>
      <c r="B5315" s="24" t="str">
        <f>HYPERLINK("https://www.compass.com/listing/60-east-8th-street-unit-27b-manhattan-ny-10003/4848428987648583521/view?agent_id=610d3f3370540700019b0833","60 E 8th St, Unit 27B")</f>
        <v>60 E 8th St, Unit 27B</v>
      </c>
      <c r="C5315" s="25" t="s">
        <v>364</v>
      </c>
      <c r="D5315" s="26" t="s">
        <v>23</v>
      </c>
      <c r="E5315" s="27" t="str">
        <f t="shared" ref="E5315:E5316" si="248">HYPERLINK("https://www.compass.com/building/georgetown-plaza-manhattan-ny/281894210716574965/","Georgetown Plaza")</f>
        <v>Georgetown Plaza</v>
      </c>
      <c r="F5315" s="25" t="s">
        <v>43</v>
      </c>
      <c r="G5315" s="28">
        <v>1350000.0</v>
      </c>
      <c r="H5315" s="28">
        <v>1227.0</v>
      </c>
      <c r="I5315" s="29"/>
      <c r="J5315" s="29"/>
      <c r="K5315" s="25" t="s">
        <v>49</v>
      </c>
      <c r="L5315" s="26">
        <v>5.0</v>
      </c>
      <c r="M5315" s="26">
        <v>2.0</v>
      </c>
      <c r="N5315" s="30"/>
      <c r="O5315" s="30"/>
      <c r="P5315" s="34">
        <v>1100.0</v>
      </c>
      <c r="Q5315" s="35">
        <v>311.0</v>
      </c>
      <c r="R5315" s="32">
        <v>42693.0</v>
      </c>
      <c r="S5315" s="32">
        <v>38468.0</v>
      </c>
      <c r="T5315" s="29"/>
      <c r="U5315" s="33"/>
      <c r="V5315" s="1"/>
    </row>
    <row r="5316" ht="24.0" customHeight="1">
      <c r="A5316" s="1"/>
      <c r="B5316" s="24" t="str">
        <f>HYPERLINK("https://www.compass.com/listing/60-east-8th-street-unit-27b-manhattan-ny-10003/4848428987648583537/view?agent_id=610d3f3370540700019b0833","60 E 8th St, Unit 27B")</f>
        <v>60 E 8th St, Unit 27B</v>
      </c>
      <c r="C5316" s="25" t="s">
        <v>364</v>
      </c>
      <c r="D5316" s="26" t="s">
        <v>23</v>
      </c>
      <c r="E5316" s="27" t="str">
        <f t="shared" si="248"/>
        <v>Georgetown Plaza</v>
      </c>
      <c r="F5316" s="25" t="s">
        <v>43</v>
      </c>
      <c r="G5316" s="28">
        <v>1375000.0</v>
      </c>
      <c r="H5316" s="28">
        <v>1250.0</v>
      </c>
      <c r="I5316" s="29"/>
      <c r="J5316" s="29"/>
      <c r="K5316" s="25" t="s">
        <v>49</v>
      </c>
      <c r="L5316" s="26">
        <v>5.0</v>
      </c>
      <c r="M5316" s="26">
        <v>2.0</v>
      </c>
      <c r="N5316" s="30"/>
      <c r="O5316" s="30"/>
      <c r="P5316" s="34">
        <v>1100.0</v>
      </c>
      <c r="Q5316" s="35">
        <v>65.0</v>
      </c>
      <c r="R5316" s="32">
        <v>42693.0</v>
      </c>
      <c r="S5316" s="32">
        <v>39723.0</v>
      </c>
      <c r="T5316" s="29"/>
      <c r="U5316" s="33"/>
      <c r="V5316" s="1"/>
    </row>
    <row r="5317" ht="24.0" customHeight="1">
      <c r="A5317" s="1"/>
      <c r="B5317" s="24" t="str">
        <f>HYPERLINK("https://www.compass.com/listing/240-prospect-place-unit-8-brooklyn-ny-11238/192565544736601377/view?agent_id=610d3f3370540700019b0833","240 Prospect Place, Unit 8")</f>
        <v>240 Prospect Place, Unit 8</v>
      </c>
      <c r="C5317" s="25" t="s">
        <v>364</v>
      </c>
      <c r="D5317" s="26" t="s">
        <v>23</v>
      </c>
      <c r="E5317" s="27" t="str">
        <f>HYPERLINK("https://www.compass.com/building/240-prospect-pl-brooklyn-ny-11238/293416937059364165/","240 Prospect Pl")</f>
        <v>240 Prospect Pl</v>
      </c>
      <c r="F5317" s="25" t="s">
        <v>39</v>
      </c>
      <c r="G5317" s="28">
        <v>795000.0</v>
      </c>
      <c r="H5317" s="29"/>
      <c r="I5317" s="28">
        <v>1345.0</v>
      </c>
      <c r="J5317" s="29"/>
      <c r="K5317" s="25" t="s">
        <v>25</v>
      </c>
      <c r="L5317" s="26">
        <v>5.0</v>
      </c>
      <c r="M5317" s="26">
        <v>2.0</v>
      </c>
      <c r="N5317" s="26">
        <v>0.0</v>
      </c>
      <c r="O5317" s="26">
        <v>0.0</v>
      </c>
      <c r="P5317" s="30"/>
      <c r="Q5317" s="35">
        <v>4320.0</v>
      </c>
      <c r="R5317" s="32">
        <v>45534.0</v>
      </c>
      <c r="S5317" s="32">
        <v>41213.0</v>
      </c>
      <c r="T5317" s="29"/>
      <c r="U5317" s="33"/>
      <c r="V5317" s="1"/>
    </row>
    <row r="5318" ht="24.0" customHeight="1">
      <c r="A5318" s="1"/>
      <c r="B5318" s="24" t="str">
        <f>HYPERLINK("https://www.compass.com/listing/136-waverly-place-unit-17b-manhattan-ny-10014/29366605574146033/view?agent_id=610d3f3370540700019b0833","136 Waverly Pl, Unit 17B")</f>
        <v>136 Waverly Pl, Unit 17B</v>
      </c>
      <c r="C5318" s="25" t="s">
        <v>364</v>
      </c>
      <c r="D5318" s="26" t="s">
        <v>23</v>
      </c>
      <c r="E5318" s="27" t="str">
        <f>HYPERLINK("https://www.compass.com/building/the-waverly-manhattan-ny/282060199659863861/","The Waverly")</f>
        <v>The Waverly</v>
      </c>
      <c r="F5318" s="25" t="s">
        <v>26</v>
      </c>
      <c r="G5318" s="28">
        <v>2250000.0</v>
      </c>
      <c r="H5318" s="28">
        <v>2045.0</v>
      </c>
      <c r="I5318" s="28">
        <v>1772.0</v>
      </c>
      <c r="J5318" s="29"/>
      <c r="K5318" s="25" t="s">
        <v>25</v>
      </c>
      <c r="L5318" s="26">
        <v>4.0</v>
      </c>
      <c r="M5318" s="26">
        <v>2.0</v>
      </c>
      <c r="N5318" s="30"/>
      <c r="O5318" s="30"/>
      <c r="P5318" s="34">
        <v>1100.0</v>
      </c>
      <c r="Q5318" s="35">
        <v>260.0</v>
      </c>
      <c r="R5318" s="32">
        <v>42477.0</v>
      </c>
      <c r="S5318" s="32">
        <v>39728.0</v>
      </c>
      <c r="T5318" s="29"/>
      <c r="U5318" s="33"/>
      <c r="V5318" s="1"/>
    </row>
    <row r="5319" ht="24.0" customHeight="1">
      <c r="A5319" s="1"/>
      <c r="B5319" s="24" t="str">
        <f>HYPERLINK("https://www.compass.com/listing/382-prospect-place-unit-15-brooklyn-ny-11238/1793573297588374217/view?agent_id=610d3f3370540700019b0833","382 Prospect Place, Unit 15")</f>
        <v>382 Prospect Place, Unit 15</v>
      </c>
      <c r="C5319" s="25" t="s">
        <v>365</v>
      </c>
      <c r="D5319" s="26" t="s">
        <v>23</v>
      </c>
      <c r="E5319" s="27" t="str">
        <f>HYPERLINK("https://www.compass.com/building/382-prospect-pl-brooklyn-ny-11238/293426423828389813/","382 Prospect Pl")</f>
        <v>382 Prospect Pl</v>
      </c>
      <c r="F5319" s="25" t="s">
        <v>39</v>
      </c>
      <c r="G5319" s="28">
        <v>100.0</v>
      </c>
      <c r="H5319" s="29"/>
      <c r="I5319" s="28">
        <v>1156.0</v>
      </c>
      <c r="J5319" s="28">
        <v>0.0</v>
      </c>
      <c r="K5319" s="25" t="s">
        <v>25</v>
      </c>
      <c r="L5319" s="26">
        <v>4.0</v>
      </c>
      <c r="M5319" s="26">
        <v>2.0</v>
      </c>
      <c r="N5319" s="26">
        <v>1.0</v>
      </c>
      <c r="O5319" s="26">
        <v>0.0</v>
      </c>
      <c r="P5319" s="30"/>
      <c r="Q5319" s="35">
        <v>96.0</v>
      </c>
      <c r="R5319" s="32">
        <v>45831.0</v>
      </c>
      <c r="S5319" s="32">
        <v>45726.0</v>
      </c>
      <c r="T5319" s="29"/>
      <c r="U5319" s="33"/>
      <c r="V5319" s="1"/>
    </row>
    <row r="5320" ht="24.0" customHeight="1">
      <c r="A5320" s="1"/>
      <c r="B5320" s="24" t="str">
        <f>HYPERLINK("https://www.compass.com/listing/450-west-17th-street-unit-2108-manhattan-ny-10011/801656138332098633/view?agent_id=610d3f3370540700019b0833","450 West 17th Street, Unit 2108")</f>
        <v>450 West 17th Street, Unit 2108</v>
      </c>
      <c r="C5320" s="25" t="s">
        <v>370</v>
      </c>
      <c r="D5320" s="26" t="s">
        <v>23</v>
      </c>
      <c r="E5320" s="27" t="str">
        <f>HYPERLINK("https://www.compass.com/building/the-caledonia-manhattan-ny/281910674349645621/","The Caledonia")</f>
        <v>The Caledonia</v>
      </c>
      <c r="F5320" s="25" t="s">
        <v>27</v>
      </c>
      <c r="G5320" s="28">
        <v>3750000.0</v>
      </c>
      <c r="H5320" s="28">
        <v>2663.0</v>
      </c>
      <c r="I5320" s="28">
        <v>2612.0</v>
      </c>
      <c r="J5320" s="28">
        <v>12456.0</v>
      </c>
      <c r="K5320" s="25" t="s">
        <v>28</v>
      </c>
      <c r="L5320" s="26">
        <v>4.0</v>
      </c>
      <c r="M5320" s="26">
        <v>2.0</v>
      </c>
      <c r="N5320" s="26">
        <v>0.0</v>
      </c>
      <c r="O5320" s="26">
        <v>0.0</v>
      </c>
      <c r="P5320" s="34">
        <v>1408.0</v>
      </c>
      <c r="Q5320" s="35">
        <v>184.0</v>
      </c>
      <c r="R5320" s="32">
        <v>45636.0</v>
      </c>
      <c r="S5320" s="32">
        <v>42774.0</v>
      </c>
      <c r="T5320" s="29"/>
      <c r="U5320" s="33"/>
      <c r="V5320" s="1"/>
    </row>
    <row r="5321" ht="24.0" customHeight="1">
      <c r="A5321" s="1"/>
      <c r="B5321" s="24" t="str">
        <f>HYPERLINK("https://www.compass.com/listing/436-sterling-place-unit-16-brooklyn-ny-11238/1248222296963700937/view?agent_id=610d3f3370540700019b0833","436 Sterling Pl, Unit 16")</f>
        <v>436 Sterling Pl, Unit 16</v>
      </c>
      <c r="C5321" s="25" t="s">
        <v>364</v>
      </c>
      <c r="D5321" s="26" t="s">
        <v>23</v>
      </c>
      <c r="E5321" s="27" t="str">
        <f t="shared" ref="E5321:E5322" si="249">HYPERLINK("https://www.compass.com/building/436-sterling-pl-brooklyn-ny-11238/293420113128913013/","436 Sterling Pl")</f>
        <v>436 Sterling Pl</v>
      </c>
      <c r="F5321" s="25" t="s">
        <v>39</v>
      </c>
      <c r="G5321" s="28">
        <v>668000.0</v>
      </c>
      <c r="H5321" s="28">
        <v>759.0</v>
      </c>
      <c r="I5321" s="28">
        <v>716.0</v>
      </c>
      <c r="J5321" s="29"/>
      <c r="K5321" s="25" t="s">
        <v>25</v>
      </c>
      <c r="L5321" s="26">
        <v>4.0</v>
      </c>
      <c r="M5321" s="26">
        <v>2.0</v>
      </c>
      <c r="N5321" s="30"/>
      <c r="O5321" s="30"/>
      <c r="P5321" s="26">
        <v>880.0</v>
      </c>
      <c r="Q5321" s="35">
        <v>180.0</v>
      </c>
      <c r="R5321" s="32">
        <v>42842.0</v>
      </c>
      <c r="S5321" s="32">
        <v>40019.0</v>
      </c>
      <c r="T5321" s="29"/>
      <c r="U5321" s="33"/>
      <c r="V5321" s="1"/>
    </row>
    <row r="5322" ht="24.0" customHeight="1">
      <c r="A5322" s="1"/>
      <c r="B5322" s="24" t="str">
        <f>HYPERLINK("https://www.compass.com/listing/436-sterling-place-unit-16-brooklyn-ny-11238/29470837862094241/view?agent_id=610d3f3370540700019b0833","436 Sterling Place, Unit 16")</f>
        <v>436 Sterling Place, Unit 16</v>
      </c>
      <c r="C5322" s="25" t="s">
        <v>364</v>
      </c>
      <c r="D5322" s="26" t="s">
        <v>23</v>
      </c>
      <c r="E5322" s="27" t="str">
        <f t="shared" si="249"/>
        <v>436 Sterling Pl</v>
      </c>
      <c r="F5322" s="25" t="s">
        <v>39</v>
      </c>
      <c r="G5322" s="28">
        <v>668000.0</v>
      </c>
      <c r="H5322" s="28">
        <v>759.0</v>
      </c>
      <c r="I5322" s="28">
        <v>716.0</v>
      </c>
      <c r="J5322" s="29"/>
      <c r="K5322" s="25" t="s">
        <v>25</v>
      </c>
      <c r="L5322" s="26">
        <v>4.0</v>
      </c>
      <c r="M5322" s="26">
        <v>2.0</v>
      </c>
      <c r="N5322" s="26">
        <v>0.0</v>
      </c>
      <c r="O5322" s="26">
        <v>0.0</v>
      </c>
      <c r="P5322" s="26">
        <v>880.0</v>
      </c>
      <c r="Q5322" s="31"/>
      <c r="R5322" s="32">
        <v>44581.0</v>
      </c>
      <c r="S5322" s="33"/>
      <c r="T5322" s="29"/>
      <c r="U5322" s="33"/>
      <c r="V5322" s="1"/>
    </row>
    <row r="5323" ht="24.0" customHeight="1">
      <c r="A5323" s="1"/>
      <c r="B5323" s="24" t="str">
        <f>HYPERLINK("https://www.compass.com/listing/405-west-23rd-street-unit-10hi-manhattan-ny-10011/919005044812054057/view?agent_id=610d3f3370540700019b0833","405 West 23rd Street, Unit 10HI")</f>
        <v>405 West 23rd Street, Unit 10HI</v>
      </c>
      <c r="C5323" s="25" t="s">
        <v>364</v>
      </c>
      <c r="D5323" s="26" t="s">
        <v>23</v>
      </c>
      <c r="E5323" s="27" t="str">
        <f>HYPERLINK("https://www.compass.com/building/london-terrace-towers-manhattan-ny/282059208856206405/","London Terrace Towers")</f>
        <v>London Terrace Towers</v>
      </c>
      <c r="F5323" s="25" t="s">
        <v>27</v>
      </c>
      <c r="G5323" s="28">
        <v>1250000.0</v>
      </c>
      <c r="H5323" s="29"/>
      <c r="I5323" s="28">
        <v>2351.0</v>
      </c>
      <c r="J5323" s="29"/>
      <c r="K5323" s="25" t="s">
        <v>25</v>
      </c>
      <c r="L5323" s="26">
        <v>4.0</v>
      </c>
      <c r="M5323" s="26">
        <v>2.0</v>
      </c>
      <c r="N5323" s="26">
        <v>0.0</v>
      </c>
      <c r="O5323" s="26">
        <v>0.0</v>
      </c>
      <c r="P5323" s="30"/>
      <c r="Q5323" s="35">
        <v>1.0</v>
      </c>
      <c r="R5323" s="32">
        <v>44581.0</v>
      </c>
      <c r="S5323" s="32">
        <v>41372.0</v>
      </c>
      <c r="T5323" s="29"/>
      <c r="U5323" s="33"/>
      <c r="V5323" s="1"/>
    </row>
    <row r="5324" ht="24.0" customHeight="1">
      <c r="A5324" s="1"/>
      <c r="B5324" s="24" t="str">
        <f>HYPERLINK("https://www.compass.com/listing/252-east-7th-street-unit-1516-manhattan-ny-10009/4703731710892728721/view?agent_id=610d3f3370540700019b0833","252 E 7th St, Unit 1516")</f>
        <v>252 E 7th St, Unit 1516</v>
      </c>
      <c r="C5324" s="25" t="s">
        <v>364</v>
      </c>
      <c r="D5324" s="26" t="s">
        <v>23</v>
      </c>
      <c r="E5324" s="27" t="str">
        <f>HYPERLINK("https://www.compass.com/building/252-e-7th-st-manhattan-ny-10009/294838072189356837/","252 E 7th St")</f>
        <v>252 E 7th St</v>
      </c>
      <c r="F5324" s="25" t="s">
        <v>24</v>
      </c>
      <c r="G5324" s="28">
        <v>510000.0</v>
      </c>
      <c r="H5324" s="28">
        <v>638.0</v>
      </c>
      <c r="I5324" s="28">
        <v>900.0</v>
      </c>
      <c r="J5324" s="29"/>
      <c r="K5324" s="25" t="s">
        <v>25</v>
      </c>
      <c r="L5324" s="26">
        <v>4.0</v>
      </c>
      <c r="M5324" s="26">
        <v>2.0</v>
      </c>
      <c r="N5324" s="30"/>
      <c r="O5324" s="30"/>
      <c r="P5324" s="26">
        <v>800.0</v>
      </c>
      <c r="Q5324" s="35">
        <v>176.0</v>
      </c>
      <c r="R5324" s="32">
        <v>43698.0</v>
      </c>
      <c r="S5324" s="32">
        <v>39770.0</v>
      </c>
      <c r="T5324" s="29"/>
      <c r="U5324" s="33"/>
      <c r="V5324" s="1"/>
    </row>
    <row r="5325" ht="24.0" customHeight="1">
      <c r="A5325" s="1"/>
      <c r="B5325" s="24" t="str">
        <f>HYPERLINK("https://www.compass.com/listing/305-2nd-avenue-unit-530-manhattan-ny-10003/1658487573263270521/view?agent_id=610d3f3370540700019b0833","305 2nd Avenue, Unit 530")</f>
        <v>305 2nd Avenue, Unit 530</v>
      </c>
      <c r="C5325" s="25" t="s">
        <v>370</v>
      </c>
      <c r="D5325" s="26" t="s">
        <v>23</v>
      </c>
      <c r="E5325" s="27" t="str">
        <f>HYPERLINK("https://www.compass.com/building/rutherford-place-manhattan-ny/281892043922346725/","Rutherford Place")</f>
        <v>Rutherford Place</v>
      </c>
      <c r="F5325" s="25" t="s">
        <v>48</v>
      </c>
      <c r="G5325" s="28">
        <v>1675000.0</v>
      </c>
      <c r="H5325" s="28">
        <v>1549.0</v>
      </c>
      <c r="I5325" s="28">
        <v>2129.0</v>
      </c>
      <c r="J5325" s="28">
        <v>17052.0</v>
      </c>
      <c r="K5325" s="25" t="s">
        <v>118</v>
      </c>
      <c r="L5325" s="26">
        <v>4.0</v>
      </c>
      <c r="M5325" s="26">
        <v>2.0</v>
      </c>
      <c r="N5325" s="26">
        <v>1.0</v>
      </c>
      <c r="O5325" s="26">
        <v>0.0</v>
      </c>
      <c r="P5325" s="34">
        <v>1081.0</v>
      </c>
      <c r="Q5325" s="35">
        <v>103.0</v>
      </c>
      <c r="R5325" s="32">
        <v>45720.0</v>
      </c>
      <c r="S5325" s="32">
        <v>45540.0</v>
      </c>
      <c r="T5325" s="29"/>
      <c r="U5325" s="33"/>
      <c r="V5325" s="1"/>
    </row>
    <row r="5326" ht="24.0" customHeight="1">
      <c r="A5326" s="1"/>
      <c r="B5326" s="24" t="str">
        <f>HYPERLINK("https://www.compass.com/listing/456-west-19th-street-unit-phi-manhattan-ny-10011/192575218068234545/view?agent_id=610d3f3370540700019b0833","456 West 19th Street, Unit PHI")</f>
        <v>456 West 19th Street, Unit PHI</v>
      </c>
      <c r="C5326" s="25" t="s">
        <v>364</v>
      </c>
      <c r="D5326" s="26" t="s">
        <v>23</v>
      </c>
      <c r="E5326" s="27" t="str">
        <f>HYPERLINK("https://www.compass.com/building/456-w-19th-st-manhattan-ny-10011/281910858127269813/","456 W 19th St")</f>
        <v>456 W 19th St</v>
      </c>
      <c r="F5326" s="25" t="s">
        <v>27</v>
      </c>
      <c r="G5326" s="28">
        <v>7800000.0</v>
      </c>
      <c r="H5326" s="28">
        <v>3315.0</v>
      </c>
      <c r="I5326" s="28">
        <v>7499.0</v>
      </c>
      <c r="J5326" s="28">
        <v>26904.0</v>
      </c>
      <c r="K5326" s="25" t="s">
        <v>28</v>
      </c>
      <c r="L5326" s="26">
        <v>5.0</v>
      </c>
      <c r="M5326" s="26">
        <v>2.0</v>
      </c>
      <c r="N5326" s="26">
        <v>0.0</v>
      </c>
      <c r="O5326" s="26">
        <v>0.0</v>
      </c>
      <c r="P5326" s="34">
        <v>2353.0</v>
      </c>
      <c r="Q5326" s="35">
        <v>1961.0</v>
      </c>
      <c r="R5326" s="32">
        <v>44581.0</v>
      </c>
      <c r="S5326" s="32">
        <v>42619.0</v>
      </c>
      <c r="T5326" s="29"/>
      <c r="U5326" s="33"/>
      <c r="V5326" s="1"/>
    </row>
    <row r="5327" ht="24.0" customHeight="1">
      <c r="A5327" s="1"/>
      <c r="B5327" s="24" t="str">
        <f>HYPERLINK("https://www.compass.com/listing/46-west-83rd-street-unit-1a-manhattan-ny-10024/436866997088254545/view?agent_id=610d3f3370540700019b0833","46 West 83rd Street, Unit 1A")</f>
        <v>46 West 83rd Street, Unit 1A</v>
      </c>
      <c r="C5327" s="25" t="s">
        <v>364</v>
      </c>
      <c r="D5327" s="26" t="s">
        <v>23</v>
      </c>
      <c r="E5327" s="27" t="str">
        <f t="shared" ref="E5327:E5328" si="250">HYPERLINK("https://www.compass.com/building/the-lathrop-manhattan-ny/281966748964569285/","The Lathrop")</f>
        <v>The Lathrop</v>
      </c>
      <c r="F5327" s="25" t="s">
        <v>29</v>
      </c>
      <c r="G5327" s="28">
        <v>1130000.0</v>
      </c>
      <c r="H5327" s="29"/>
      <c r="I5327" s="28">
        <v>1244.0</v>
      </c>
      <c r="J5327" s="29"/>
      <c r="K5327" s="25" t="s">
        <v>25</v>
      </c>
      <c r="L5327" s="26">
        <v>4.0</v>
      </c>
      <c r="M5327" s="26">
        <v>2.0</v>
      </c>
      <c r="N5327" s="26">
        <v>1.0</v>
      </c>
      <c r="O5327" s="26">
        <v>0.0</v>
      </c>
      <c r="P5327" s="30"/>
      <c r="Q5327" s="35">
        <v>202.0</v>
      </c>
      <c r="R5327" s="32">
        <v>45636.0</v>
      </c>
      <c r="S5327" s="32">
        <v>44243.0</v>
      </c>
      <c r="T5327" s="29"/>
      <c r="U5327" s="33"/>
      <c r="V5327" s="1"/>
    </row>
    <row r="5328" ht="24.0" customHeight="1">
      <c r="A5328" s="1"/>
      <c r="B5328" s="24" t="str">
        <f>HYPERLINK("https://www.compass.com/listing/46-west-83rd-street-unit-1a-manhattan-ny-10024/900688762839873889/view?agent_id=610d3f3370540700019b0833","46 West 83rd Street, Unit 1A")</f>
        <v>46 West 83rd Street, Unit 1A</v>
      </c>
      <c r="C5328" s="25" t="s">
        <v>364</v>
      </c>
      <c r="D5328" s="26" t="s">
        <v>23</v>
      </c>
      <c r="E5328" s="27" t="str">
        <f t="shared" si="250"/>
        <v>The Lathrop</v>
      </c>
      <c r="F5328" s="25" t="s">
        <v>29</v>
      </c>
      <c r="G5328" s="28">
        <v>1149000.0</v>
      </c>
      <c r="H5328" s="29"/>
      <c r="I5328" s="28">
        <v>1244.0</v>
      </c>
      <c r="J5328" s="29"/>
      <c r="K5328" s="25" t="s">
        <v>25</v>
      </c>
      <c r="L5328" s="26">
        <v>4.0</v>
      </c>
      <c r="M5328" s="26">
        <v>2.0</v>
      </c>
      <c r="N5328" s="26">
        <v>1.0</v>
      </c>
      <c r="O5328" s="26">
        <v>0.0</v>
      </c>
      <c r="P5328" s="30"/>
      <c r="Q5328" s="35">
        <v>0.0</v>
      </c>
      <c r="R5328" s="32">
        <v>44581.0</v>
      </c>
      <c r="S5328" s="32">
        <v>44494.0</v>
      </c>
      <c r="T5328" s="29"/>
      <c r="U5328" s="33"/>
      <c r="V5328" s="1"/>
    </row>
    <row r="5329" ht="24.0" customHeight="1">
      <c r="A5329" s="1"/>
      <c r="B5329" s="24" t="str">
        <f>HYPERLINK("https://www.compass.com/listing/69-west-106th-street-unit-5a-manhattan-ny-10025/1029715592603089473/view?agent_id=610d3f3370540700019b0833","69 West 106th Street, Unit 5A")</f>
        <v>69 West 106th Street, Unit 5A</v>
      </c>
      <c r="C5329" s="25" t="s">
        <v>364</v>
      </c>
      <c r="D5329" s="26" t="s">
        <v>23</v>
      </c>
      <c r="E5329" s="27" t="str">
        <f>HYPERLINK("https://www.compass.com/building/69-w-106th-st-manhattan-ny-10025/281972943590873925/","69 W 106th St")</f>
        <v>69 W 106th St</v>
      </c>
      <c r="F5329" s="25" t="s">
        <v>29</v>
      </c>
      <c r="G5329" s="28">
        <v>799000.0</v>
      </c>
      <c r="H5329" s="28">
        <v>1065.0</v>
      </c>
      <c r="I5329" s="28">
        <v>1355.0</v>
      </c>
      <c r="J5329" s="28">
        <v>8820.0</v>
      </c>
      <c r="K5329" s="25" t="s">
        <v>28</v>
      </c>
      <c r="L5329" s="26">
        <v>5.0</v>
      </c>
      <c r="M5329" s="26">
        <v>2.0</v>
      </c>
      <c r="N5329" s="26">
        <v>1.0</v>
      </c>
      <c r="O5329" s="26">
        <v>0.0</v>
      </c>
      <c r="P5329" s="26">
        <v>750.0</v>
      </c>
      <c r="Q5329" s="35">
        <v>56.0</v>
      </c>
      <c r="R5329" s="32">
        <v>45636.0</v>
      </c>
      <c r="S5329" s="32">
        <v>44770.0</v>
      </c>
      <c r="T5329" s="29"/>
      <c r="U5329" s="33"/>
      <c r="V5329" s="1"/>
    </row>
    <row r="5330" ht="24.0" customHeight="1">
      <c r="A5330" s="1"/>
      <c r="B5330" s="24" t="str">
        <f>HYPERLINK("https://www.compass.com/listing/347-west-22nd-street-unit-3-manhattan-ny-10011/4852306153830366273/view?agent_id=610d3f3370540700019b0833","347 West 22nd Street, Unit 3")</f>
        <v>347 West 22nd Street, Unit 3</v>
      </c>
      <c r="C5330" s="25" t="s">
        <v>364</v>
      </c>
      <c r="D5330" s="26" t="s">
        <v>23</v>
      </c>
      <c r="E5330" s="27" t="str">
        <f>HYPERLINK("https://www.compass.com/building/347-w-22nd-st-manhattan-ny-10011/281909421401989717/","347 W 22nd St")</f>
        <v>347 W 22nd St</v>
      </c>
      <c r="F5330" s="25" t="s">
        <v>27</v>
      </c>
      <c r="G5330" s="28">
        <v>1499000.0</v>
      </c>
      <c r="H5330" s="28">
        <v>1034.0</v>
      </c>
      <c r="I5330" s="28">
        <v>1359.0</v>
      </c>
      <c r="J5330" s="29"/>
      <c r="K5330" s="25" t="s">
        <v>25</v>
      </c>
      <c r="L5330" s="26">
        <v>5.0</v>
      </c>
      <c r="M5330" s="26">
        <v>2.0</v>
      </c>
      <c r="N5330" s="26">
        <v>0.0</v>
      </c>
      <c r="O5330" s="26">
        <v>0.0</v>
      </c>
      <c r="P5330" s="34">
        <v>1450.0</v>
      </c>
      <c r="Q5330" s="35">
        <v>935.0</v>
      </c>
      <c r="R5330" s="32">
        <v>44581.0</v>
      </c>
      <c r="S5330" s="32">
        <v>41271.0</v>
      </c>
      <c r="T5330" s="29"/>
      <c r="U5330" s="33"/>
      <c r="V5330" s="1"/>
    </row>
    <row r="5331" ht="24.0" customHeight="1">
      <c r="A5331" s="1"/>
      <c r="B5331" s="24" t="str">
        <f>HYPERLINK("https://www.compass.com/listing/123-prince-street-unit-2-manhattan-ny-10012/919634121525705649/view?agent_id=610d3f3370540700019b0833","123 Prince Street, Unit 2")</f>
        <v>123 Prince Street, Unit 2</v>
      </c>
      <c r="C5331" s="25" t="s">
        <v>364</v>
      </c>
      <c r="D5331" s="26" t="s">
        <v>23</v>
      </c>
      <c r="E5331" s="27" t="str">
        <f t="shared" ref="E5331:E5332" si="251">HYPERLINK("https://www.compass.com/building/123-prince-st-manhattan-ny-10012/281912737083188997/","123 Prince St")</f>
        <v>123 Prince St</v>
      </c>
      <c r="F5331" s="25" t="s">
        <v>53</v>
      </c>
      <c r="G5331" s="28">
        <v>3175000.0</v>
      </c>
      <c r="H5331" s="28">
        <v>1494.0</v>
      </c>
      <c r="I5331" s="28">
        <v>2911.0</v>
      </c>
      <c r="J5331" s="29"/>
      <c r="K5331" s="25" t="s">
        <v>25</v>
      </c>
      <c r="L5331" s="26">
        <v>5.0</v>
      </c>
      <c r="M5331" s="26">
        <v>2.0</v>
      </c>
      <c r="N5331" s="26">
        <v>0.0</v>
      </c>
      <c r="O5331" s="26">
        <v>0.0</v>
      </c>
      <c r="P5331" s="34">
        <v>2125.0</v>
      </c>
      <c r="Q5331" s="35">
        <v>290.0</v>
      </c>
      <c r="R5331" s="32">
        <v>45636.0</v>
      </c>
      <c r="S5331" s="32">
        <v>42068.0</v>
      </c>
      <c r="T5331" s="29"/>
      <c r="U5331" s="33"/>
      <c r="V5331" s="1"/>
    </row>
    <row r="5332" ht="24.0" customHeight="1">
      <c r="A5332" s="1"/>
      <c r="B5332" s="24" t="str">
        <f>HYPERLINK("https://www.compass.com/listing/123-prince-street-unit-2-manhattan-ny-10012/919812748250874025/view?agent_id=610d3f3370540700019b0833","123 Prince Street, Unit 2")</f>
        <v>123 Prince Street, Unit 2</v>
      </c>
      <c r="C5332" s="25" t="s">
        <v>364</v>
      </c>
      <c r="D5332" s="26" t="s">
        <v>23</v>
      </c>
      <c r="E5332" s="27" t="str">
        <f t="shared" si="251"/>
        <v>123 Prince St</v>
      </c>
      <c r="F5332" s="25" t="s">
        <v>53</v>
      </c>
      <c r="G5332" s="28">
        <v>3250000.0</v>
      </c>
      <c r="H5332" s="28">
        <v>1529.0</v>
      </c>
      <c r="I5332" s="28">
        <v>2911.0</v>
      </c>
      <c r="J5332" s="29"/>
      <c r="K5332" s="25" t="s">
        <v>25</v>
      </c>
      <c r="L5332" s="26">
        <v>5.0</v>
      </c>
      <c r="M5332" s="26">
        <v>2.0</v>
      </c>
      <c r="N5332" s="26">
        <v>0.0</v>
      </c>
      <c r="O5332" s="26">
        <v>0.0</v>
      </c>
      <c r="P5332" s="34">
        <v>2125.0</v>
      </c>
      <c r="Q5332" s="35">
        <v>82.0</v>
      </c>
      <c r="R5332" s="32">
        <v>45636.0</v>
      </c>
      <c r="S5332" s="32">
        <v>41906.0</v>
      </c>
      <c r="T5332" s="29"/>
      <c r="U5332" s="33"/>
      <c r="V5332" s="1"/>
    </row>
    <row r="5333" ht="24.0" customHeight="1">
      <c r="A5333" s="1"/>
      <c r="B5333" s="24" t="str">
        <f>HYPERLINK("https://www.compass.com/listing/480-central-park-west-unit-2c-manhattan-ny-10025/41933593731253537/view?agent_id=610d3f3370540700019b0833","480 Central Park West, Unit 2C")</f>
        <v>480 Central Park West, Unit 2C</v>
      </c>
      <c r="C5333" s="25" t="s">
        <v>364</v>
      </c>
      <c r="D5333" s="26" t="s">
        <v>23</v>
      </c>
      <c r="E5333" s="27" t="str">
        <f>HYPERLINK("https://www.compass.com/building/480-central-park-west-manhattan-ny-10025/282066501895229845/","480 Central Park West")</f>
        <v>480 Central Park West</v>
      </c>
      <c r="F5333" s="25" t="s">
        <v>29</v>
      </c>
      <c r="G5333" s="28">
        <v>995000.0</v>
      </c>
      <c r="H5333" s="28">
        <v>1157.0</v>
      </c>
      <c r="I5333" s="28">
        <v>1353.0</v>
      </c>
      <c r="J5333" s="28">
        <v>6996.0</v>
      </c>
      <c r="K5333" s="25" t="s">
        <v>28</v>
      </c>
      <c r="L5333" s="26">
        <v>4.0</v>
      </c>
      <c r="M5333" s="26">
        <v>2.0</v>
      </c>
      <c r="N5333" s="30"/>
      <c r="O5333" s="30"/>
      <c r="P5333" s="26">
        <v>860.0</v>
      </c>
      <c r="Q5333" s="35">
        <v>113.0</v>
      </c>
      <c r="R5333" s="32">
        <v>43431.0</v>
      </c>
      <c r="S5333" s="32">
        <v>43317.0</v>
      </c>
      <c r="T5333" s="29"/>
      <c r="U5333" s="33"/>
      <c r="V5333" s="1"/>
    </row>
    <row r="5334" ht="24.0" customHeight="1">
      <c r="A5334" s="1"/>
      <c r="B5334" s="24" t="str">
        <f>HYPERLINK("https://www.compass.com/listing/65-morton-street-unit-2n-manhattan-ny-10014/1861827139168788161/view?agent_id=610d3f3370540700019b0833","65 Morton Street, Unit 2N")</f>
        <v>65 Morton Street, Unit 2N</v>
      </c>
      <c r="C5334" s="25" t="s">
        <v>364</v>
      </c>
      <c r="D5334" s="26" t="s">
        <v>23</v>
      </c>
      <c r="E5334" s="27" t="str">
        <f>HYPERLINK("https://www.compass.com/building/65-morton-st-manhattan-ny-10014/282065049390978901/","65 Morton St")</f>
        <v>65 Morton St</v>
      </c>
      <c r="F5334" s="25" t="s">
        <v>26</v>
      </c>
      <c r="G5334" s="28">
        <v>1195000.0</v>
      </c>
      <c r="H5334" s="29"/>
      <c r="I5334" s="28">
        <v>1143.0</v>
      </c>
      <c r="J5334" s="29"/>
      <c r="K5334" s="25" t="s">
        <v>25</v>
      </c>
      <c r="L5334" s="26">
        <v>5.0</v>
      </c>
      <c r="M5334" s="26">
        <v>2.0</v>
      </c>
      <c r="N5334" s="30"/>
      <c r="O5334" s="30"/>
      <c r="P5334" s="30"/>
      <c r="Q5334" s="35">
        <v>18.0</v>
      </c>
      <c r="R5334" s="32">
        <v>41640.0</v>
      </c>
      <c r="S5334" s="32">
        <v>42324.0</v>
      </c>
      <c r="T5334" s="29"/>
      <c r="U5334" s="33"/>
      <c r="V5334" s="1"/>
    </row>
    <row r="5335" ht="24.0" customHeight="1">
      <c r="A5335" s="1"/>
      <c r="B5335" s="24" t="str">
        <f>HYPERLINK("https://www.compass.com/listing/165-west-66th-street-unit-3j-manhattan-ny-10023/741211733670405601/view?agent_id=610d3f3370540700019b0833","165 West 66th Street, Unit 3J")</f>
        <v>165 West 66th Street, Unit 3J</v>
      </c>
      <c r="C5335" s="25" t="s">
        <v>364</v>
      </c>
      <c r="D5335" s="26" t="s">
        <v>23</v>
      </c>
      <c r="E5335" s="27" t="str">
        <f>HYPERLINK("https://www.compass.com/building/lincoln-terrace-manhattan-ny/281957165508400581/","Lincoln Terrace")</f>
        <v>Lincoln Terrace</v>
      </c>
      <c r="F5335" s="25" t="s">
        <v>29</v>
      </c>
      <c r="G5335" s="28">
        <v>949000.0</v>
      </c>
      <c r="H5335" s="28">
        <v>973.0</v>
      </c>
      <c r="I5335" s="28">
        <v>1989.0</v>
      </c>
      <c r="J5335" s="29"/>
      <c r="K5335" s="25" t="s">
        <v>25</v>
      </c>
      <c r="L5335" s="26">
        <v>5.0</v>
      </c>
      <c r="M5335" s="26">
        <v>2.0</v>
      </c>
      <c r="N5335" s="26">
        <v>1.0</v>
      </c>
      <c r="O5335" s="26">
        <v>0.0</v>
      </c>
      <c r="P5335" s="26">
        <v>975.0</v>
      </c>
      <c r="Q5335" s="35">
        <v>248.0</v>
      </c>
      <c r="R5335" s="32">
        <v>45636.0</v>
      </c>
      <c r="S5335" s="32">
        <v>44274.0</v>
      </c>
      <c r="T5335" s="29"/>
      <c r="U5335" s="33"/>
      <c r="V5335" s="1"/>
    </row>
    <row r="5336" ht="24.0" customHeight="1">
      <c r="A5336" s="1"/>
      <c r="B5336" s="24" t="str">
        <f>HYPERLINK("https://www.compass.com/listing/21-9th-street-unit-4-brooklyn-ny-11231/4703691544702510929/view?agent_id=610d3f3370540700019b0833","21 9th St, Unit 4")</f>
        <v>21 9th St, Unit 4</v>
      </c>
      <c r="C5336" s="25" t="s">
        <v>364</v>
      </c>
      <c r="D5336" s="26" t="s">
        <v>23</v>
      </c>
      <c r="E5336" s="26" t="s">
        <v>454</v>
      </c>
      <c r="F5336" s="25" t="s">
        <v>65</v>
      </c>
      <c r="G5336" s="28">
        <v>995000.0</v>
      </c>
      <c r="H5336" s="28">
        <v>829.0</v>
      </c>
      <c r="I5336" s="28">
        <v>1000.0</v>
      </c>
      <c r="J5336" s="29"/>
      <c r="K5336" s="25" t="s">
        <v>25</v>
      </c>
      <c r="L5336" s="26">
        <v>5.0</v>
      </c>
      <c r="M5336" s="26">
        <v>2.0</v>
      </c>
      <c r="N5336" s="30"/>
      <c r="O5336" s="30"/>
      <c r="P5336" s="34">
        <v>1200.0</v>
      </c>
      <c r="Q5336" s="31"/>
      <c r="R5336" s="32">
        <v>42476.0</v>
      </c>
      <c r="S5336" s="33"/>
      <c r="T5336" s="29"/>
      <c r="U5336" s="33"/>
      <c r="V5336" s="1"/>
    </row>
    <row r="5337" ht="24.0" customHeight="1">
      <c r="A5337" s="1"/>
      <c r="B5337" s="24" t="str">
        <f>HYPERLINK("https://www.compass.com/listing/421-hudson-street-unit-321-manhattan-ny-10014/18882253929110945/view?agent_id=610d3f3370540700019b0833","421 Hudson Street, Unit 321")</f>
        <v>421 Hudson Street, Unit 321</v>
      </c>
      <c r="C5337" s="25" t="s">
        <v>370</v>
      </c>
      <c r="D5337" s="26" t="s">
        <v>23</v>
      </c>
      <c r="E5337" s="27" t="str">
        <f>HYPERLINK("https://www.compass.com/building/the-printing-house-condominium-manhattan-ny/281933830355470533/","The Printing House Condominium ")</f>
        <v>The Printing House Condominium </v>
      </c>
      <c r="F5337" s="25" t="s">
        <v>26</v>
      </c>
      <c r="G5337" s="28">
        <v>2900000.0</v>
      </c>
      <c r="H5337" s="28">
        <v>1645.0</v>
      </c>
      <c r="I5337" s="28">
        <v>3540.0</v>
      </c>
      <c r="J5337" s="28">
        <v>20268.0</v>
      </c>
      <c r="K5337" s="25" t="s">
        <v>28</v>
      </c>
      <c r="L5337" s="26">
        <v>6.0</v>
      </c>
      <c r="M5337" s="26">
        <v>2.0</v>
      </c>
      <c r="N5337" s="26">
        <v>0.0</v>
      </c>
      <c r="O5337" s="26">
        <v>0.0</v>
      </c>
      <c r="P5337" s="34">
        <v>1763.0</v>
      </c>
      <c r="Q5337" s="35">
        <v>296.0</v>
      </c>
      <c r="R5337" s="32">
        <v>45636.0</v>
      </c>
      <c r="S5337" s="32">
        <v>42897.0</v>
      </c>
      <c r="T5337" s="29"/>
      <c r="U5337" s="33"/>
      <c r="V5337" s="1"/>
    </row>
    <row r="5338" ht="24.0" customHeight="1">
      <c r="A5338" s="1"/>
      <c r="B5338" s="24" t="str">
        <f>HYPERLINK("https://www.compass.com/listing/201-east-17th-street-unit-10b-manhattan-ny-10003/401187300700064545/view?agent_id=610d3f3370540700019b0833","201 East 17th Street, Unit 10B")</f>
        <v>201 East 17th Street, Unit 10B</v>
      </c>
      <c r="C5338" s="25" t="s">
        <v>364</v>
      </c>
      <c r="D5338" s="26" t="s">
        <v>23</v>
      </c>
      <c r="E5338" s="27" t="str">
        <f>HYPERLINK("https://www.compass.com/building/park-towers-manhattan-ny/282066712851943989/","Park Towers")</f>
        <v>Park Towers</v>
      </c>
      <c r="F5338" s="25" t="s">
        <v>48</v>
      </c>
      <c r="G5338" s="28">
        <v>1495000.0</v>
      </c>
      <c r="H5338" s="29"/>
      <c r="I5338" s="28">
        <v>1919.0</v>
      </c>
      <c r="J5338" s="28">
        <v>0.0</v>
      </c>
      <c r="K5338" s="25" t="s">
        <v>25</v>
      </c>
      <c r="L5338" s="26">
        <v>4.0</v>
      </c>
      <c r="M5338" s="26">
        <v>2.0</v>
      </c>
      <c r="N5338" s="30"/>
      <c r="O5338" s="30"/>
      <c r="P5338" s="30"/>
      <c r="Q5338" s="35">
        <v>37.0</v>
      </c>
      <c r="R5338" s="32">
        <v>43844.0</v>
      </c>
      <c r="S5338" s="32">
        <v>43805.0</v>
      </c>
      <c r="T5338" s="29"/>
      <c r="U5338" s="33"/>
      <c r="V5338" s="1"/>
    </row>
    <row r="5339" ht="24.0" customHeight="1">
      <c r="A5339" s="1"/>
      <c r="B5339" s="24" t="str">
        <f>HYPERLINK("https://www.compass.com/listing/450-west-17th-street-unit-2508-manhattan-ny-10011/29369982659931841/view?agent_id=610d3f3370540700019b0833","450 West 17th Street, Unit 2508")</f>
        <v>450 West 17th Street, Unit 2508</v>
      </c>
      <c r="C5339" s="25" t="s">
        <v>364</v>
      </c>
      <c r="D5339" s="26" t="s">
        <v>23</v>
      </c>
      <c r="E5339" s="27" t="str">
        <f>HYPERLINK("https://www.compass.com/building/the-caledonia-manhattan-ny/281910674349645621/","The Caledonia")</f>
        <v>The Caledonia</v>
      </c>
      <c r="F5339" s="25" t="s">
        <v>27</v>
      </c>
      <c r="G5339" s="28">
        <v>4200000.0</v>
      </c>
      <c r="H5339" s="28">
        <v>2983.0</v>
      </c>
      <c r="I5339" s="28">
        <v>2188.0</v>
      </c>
      <c r="J5339" s="28">
        <v>7260.0</v>
      </c>
      <c r="K5339" s="25" t="s">
        <v>28</v>
      </c>
      <c r="L5339" s="26">
        <v>4.0</v>
      </c>
      <c r="M5339" s="26">
        <v>2.0</v>
      </c>
      <c r="N5339" s="26">
        <v>0.0</v>
      </c>
      <c r="O5339" s="26">
        <v>0.0</v>
      </c>
      <c r="P5339" s="34">
        <v>1408.0</v>
      </c>
      <c r="Q5339" s="35">
        <v>29.0</v>
      </c>
      <c r="R5339" s="32">
        <v>45636.0</v>
      </c>
      <c r="S5339" s="32">
        <v>42166.0</v>
      </c>
      <c r="T5339" s="29"/>
      <c r="U5339" s="33"/>
      <c r="V5339" s="1"/>
    </row>
    <row r="5340" ht="24.0" customHeight="1">
      <c r="A5340" s="1"/>
      <c r="B5340" s="24" t="str">
        <f>HYPERLINK("https://www.compass.com/listing/468-west-broadway-unit-4-h-manhattan-ny-10012/4703675916918735601/view?agent_id=610d3f3370540700019b0833","468 W Broadway, Unit 4/H")</f>
        <v>468 W Broadway, Unit 4/H</v>
      </c>
      <c r="C5340" s="25" t="s">
        <v>364</v>
      </c>
      <c r="D5340" s="26" t="s">
        <v>23</v>
      </c>
      <c r="E5340" s="27" t="str">
        <f>HYPERLINK("https://www.compass.com/building/the-west-broadway-arches-manhattan-ny/292809175556195477/","The West Broadway Arches")</f>
        <v>The West Broadway Arches</v>
      </c>
      <c r="F5340" s="25" t="s">
        <v>53</v>
      </c>
      <c r="G5340" s="28">
        <v>1695000.0</v>
      </c>
      <c r="H5340" s="29"/>
      <c r="I5340" s="28">
        <v>1905.0</v>
      </c>
      <c r="J5340" s="29"/>
      <c r="K5340" s="25" t="s">
        <v>25</v>
      </c>
      <c r="L5340" s="26">
        <v>3.0</v>
      </c>
      <c r="M5340" s="26">
        <v>2.0</v>
      </c>
      <c r="N5340" s="30"/>
      <c r="O5340" s="30"/>
      <c r="P5340" s="30"/>
      <c r="Q5340" s="35">
        <v>110.0</v>
      </c>
      <c r="R5340" s="32">
        <v>42478.0</v>
      </c>
      <c r="S5340" s="32">
        <v>40210.0</v>
      </c>
      <c r="T5340" s="29"/>
      <c r="U5340" s="33"/>
      <c r="V5340" s="1"/>
    </row>
    <row r="5341" ht="24.0" customHeight="1">
      <c r="A5341" s="1"/>
      <c r="B5341" s="24" t="str">
        <f>HYPERLINK("https://www.compass.com/listing/456-west-19th-street-unit-4-5a-manhattan-ny-10011/1838894268790700217/view?agent_id=610d3f3370540700019b0833","456 West 19th Street, Unit 4/5A")</f>
        <v>456 West 19th Street, Unit 4/5A</v>
      </c>
      <c r="C5341" s="25" t="s">
        <v>364</v>
      </c>
      <c r="D5341" s="26" t="s">
        <v>23</v>
      </c>
      <c r="E5341" s="27" t="str">
        <f>HYPERLINK("https://www.compass.com/building/456-w-19th-st-manhattan-ny-10011/281910858127269813/","456 W 19th St")</f>
        <v>456 W 19th St</v>
      </c>
      <c r="F5341" s="25" t="s">
        <v>27</v>
      </c>
      <c r="G5341" s="28">
        <v>3695000.0</v>
      </c>
      <c r="H5341" s="28">
        <v>2151.0</v>
      </c>
      <c r="I5341" s="28">
        <v>3067.0</v>
      </c>
      <c r="J5341" s="28">
        <v>10512.0</v>
      </c>
      <c r="K5341" s="25" t="s">
        <v>28</v>
      </c>
      <c r="L5341" s="26">
        <v>5.0</v>
      </c>
      <c r="M5341" s="26">
        <v>2.0</v>
      </c>
      <c r="N5341" s="26">
        <v>0.0</v>
      </c>
      <c r="O5341" s="26">
        <v>0.0</v>
      </c>
      <c r="P5341" s="34">
        <v>1718.0</v>
      </c>
      <c r="Q5341" s="35">
        <v>154.0</v>
      </c>
      <c r="R5341" s="32">
        <v>45636.0</v>
      </c>
      <c r="S5341" s="32">
        <v>42384.0</v>
      </c>
      <c r="T5341" s="29"/>
      <c r="U5341" s="33"/>
      <c r="V5341" s="1"/>
    </row>
    <row r="5342" ht="24.0" customHeight="1">
      <c r="A5342" s="1"/>
      <c r="B5342" s="24" t="str">
        <f>HYPERLINK("https://www.compass.com/listing/152-wooster-street-unit-2a-manhattan-ny-10012/70915655783774273/view?agent_id=610d3f3370540700019b0833","152 Wooster Street, Unit 2A")</f>
        <v>152 Wooster Street, Unit 2A</v>
      </c>
      <c r="C5342" s="25" t="s">
        <v>364</v>
      </c>
      <c r="D5342" s="26" t="s">
        <v>23</v>
      </c>
      <c r="E5342" s="27" t="str">
        <f>HYPERLINK("https://www.compass.com/building/152-wooster-st-manhattan-ny-10012/281913236767402325/","152 Wooster St")</f>
        <v>152 Wooster St</v>
      </c>
      <c r="F5342" s="25" t="s">
        <v>53</v>
      </c>
      <c r="G5342" s="28">
        <v>5000000.0</v>
      </c>
      <c r="H5342" s="28">
        <v>1786.0</v>
      </c>
      <c r="I5342" s="28">
        <v>2300.0</v>
      </c>
      <c r="J5342" s="29"/>
      <c r="K5342" s="25" t="s">
        <v>25</v>
      </c>
      <c r="L5342" s="26">
        <v>6.0</v>
      </c>
      <c r="M5342" s="26">
        <v>2.0</v>
      </c>
      <c r="N5342" s="26">
        <v>0.0</v>
      </c>
      <c r="O5342" s="26">
        <v>0.0</v>
      </c>
      <c r="P5342" s="34">
        <v>2800.0</v>
      </c>
      <c r="Q5342" s="35">
        <v>162.0</v>
      </c>
      <c r="R5342" s="32">
        <v>45636.0</v>
      </c>
      <c r="S5342" s="32">
        <v>41514.0</v>
      </c>
      <c r="T5342" s="29"/>
      <c r="U5342" s="33"/>
      <c r="V5342" s="1"/>
    </row>
    <row r="5343" ht="24.0" customHeight="1">
      <c r="A5343" s="1"/>
      <c r="B5343" s="24" t="str">
        <f>HYPERLINK("https://www.compass.com/listing/340-east-23rd-street-unit-10e-manhattan-ny-10010/923575535023227537/view?agent_id=610d3f3370540700019b0833","340 East 23rd Street, Unit 10E")</f>
        <v>340 East 23rd Street, Unit 10E</v>
      </c>
      <c r="C5343" s="25" t="s">
        <v>370</v>
      </c>
      <c r="D5343" s="26" t="s">
        <v>23</v>
      </c>
      <c r="E5343" s="27" t="str">
        <f>HYPERLINK("https://www.compass.com/building/gramercy-starck-manhattan-ny/281903026875156789/","Gramercy Starck")</f>
        <v>Gramercy Starck</v>
      </c>
      <c r="F5343" s="25" t="s">
        <v>48</v>
      </c>
      <c r="G5343" s="28">
        <v>1679000.0</v>
      </c>
      <c r="H5343" s="28">
        <v>1323.0</v>
      </c>
      <c r="I5343" s="28">
        <v>3245.0</v>
      </c>
      <c r="J5343" s="28">
        <v>23112.0</v>
      </c>
      <c r="K5343" s="25" t="s">
        <v>28</v>
      </c>
      <c r="L5343" s="26">
        <v>4.0</v>
      </c>
      <c r="M5343" s="26">
        <v>2.0</v>
      </c>
      <c r="N5343" s="26">
        <v>0.0</v>
      </c>
      <c r="O5343" s="26">
        <v>0.0</v>
      </c>
      <c r="P5343" s="34">
        <v>1269.0</v>
      </c>
      <c r="Q5343" s="35">
        <v>152.0</v>
      </c>
      <c r="R5343" s="32">
        <v>45636.0</v>
      </c>
      <c r="S5343" s="32">
        <v>43159.0</v>
      </c>
      <c r="T5343" s="29"/>
      <c r="U5343" s="33"/>
      <c r="V5343" s="1"/>
    </row>
    <row r="5344" ht="24.0" customHeight="1">
      <c r="A5344" s="1"/>
      <c r="B5344" s="24" t="str">
        <f>HYPERLINK("https://www.compass.com/listing/325-west-21st-street-unit-12-manhattan-ny-10011/29371190787283121/view?agent_id=610d3f3370540700019b0833","325 W 21st St, Unit 12")</f>
        <v>325 W 21st St, Unit 12</v>
      </c>
      <c r="C5344" s="25" t="s">
        <v>364</v>
      </c>
      <c r="D5344" s="26" t="s">
        <v>23</v>
      </c>
      <c r="E5344" s="27" t="str">
        <f t="shared" ref="E5344:E5346" si="252">HYPERLINK("https://www.compass.com/building/325-w-21st-st-manhattan-ny-10011/281908799680305061/","325 W 21st St")</f>
        <v>325 W 21st St</v>
      </c>
      <c r="F5344" s="25" t="s">
        <v>27</v>
      </c>
      <c r="G5344" s="28">
        <v>985000.0</v>
      </c>
      <c r="H5344" s="28">
        <v>1094.0</v>
      </c>
      <c r="I5344" s="28">
        <v>1364.0</v>
      </c>
      <c r="J5344" s="29"/>
      <c r="K5344" s="25" t="s">
        <v>25</v>
      </c>
      <c r="L5344" s="26">
        <v>4.0</v>
      </c>
      <c r="M5344" s="26">
        <v>2.0</v>
      </c>
      <c r="N5344" s="30"/>
      <c r="O5344" s="30"/>
      <c r="P5344" s="26">
        <v>900.0</v>
      </c>
      <c r="Q5344" s="35">
        <v>46.0</v>
      </c>
      <c r="R5344" s="32">
        <v>42477.0</v>
      </c>
      <c r="S5344" s="32">
        <v>39906.0</v>
      </c>
      <c r="T5344" s="29"/>
      <c r="U5344" s="33"/>
      <c r="V5344" s="1"/>
    </row>
    <row r="5345" ht="24.0" customHeight="1">
      <c r="A5345" s="1"/>
      <c r="B5345" s="24" t="str">
        <f>HYPERLINK("https://www.compass.com/listing/325-west-21st-street-unit-12a-17-manhattan-ny-10011/4703700905147516705/view?agent_id=610d3f3370540700019b0833","325 W 21st St, Unit 12A/17")</f>
        <v>325 W 21st St, Unit 12A/17</v>
      </c>
      <c r="C5345" s="25" t="s">
        <v>364</v>
      </c>
      <c r="D5345" s="26" t="s">
        <v>23</v>
      </c>
      <c r="E5345" s="27" t="str">
        <f t="shared" si="252"/>
        <v>325 W 21st St</v>
      </c>
      <c r="F5345" s="25" t="s">
        <v>27</v>
      </c>
      <c r="G5345" s="28">
        <v>985000.0</v>
      </c>
      <c r="H5345" s="28">
        <v>1094.0</v>
      </c>
      <c r="I5345" s="28">
        <v>1364.0</v>
      </c>
      <c r="J5345" s="29"/>
      <c r="K5345" s="25" t="s">
        <v>25</v>
      </c>
      <c r="L5345" s="26">
        <v>4.0</v>
      </c>
      <c r="M5345" s="26">
        <v>2.0</v>
      </c>
      <c r="N5345" s="30"/>
      <c r="O5345" s="30"/>
      <c r="P5345" s="26">
        <v>900.0</v>
      </c>
      <c r="Q5345" s="35">
        <v>15.0</v>
      </c>
      <c r="R5345" s="32">
        <v>42477.0</v>
      </c>
      <c r="S5345" s="32">
        <v>39951.0</v>
      </c>
      <c r="T5345" s="29"/>
      <c r="U5345" s="33"/>
      <c r="V5345" s="1"/>
    </row>
    <row r="5346" ht="24.0" customHeight="1">
      <c r="A5346" s="1"/>
      <c r="B5346" s="24" t="str">
        <f>HYPERLINK("https://www.compass.com/listing/325-west-21st-street-unit-12-a-17-manhattan-ny-10011/4703700923778615697/view?agent_id=610d3f3370540700019b0833","325 W 21st St, Unit 12 A/17")</f>
        <v>325 W 21st St, Unit 12 A/17</v>
      </c>
      <c r="C5346" s="25" t="s">
        <v>364</v>
      </c>
      <c r="D5346" s="26" t="s">
        <v>23</v>
      </c>
      <c r="E5346" s="27" t="str">
        <f t="shared" si="252"/>
        <v>325 W 21st St</v>
      </c>
      <c r="F5346" s="25" t="s">
        <v>27</v>
      </c>
      <c r="G5346" s="28">
        <v>985000.0</v>
      </c>
      <c r="H5346" s="28">
        <v>1094.0</v>
      </c>
      <c r="I5346" s="28">
        <v>1364.0</v>
      </c>
      <c r="J5346" s="29"/>
      <c r="K5346" s="25" t="s">
        <v>25</v>
      </c>
      <c r="L5346" s="26">
        <v>4.0</v>
      </c>
      <c r="M5346" s="26">
        <v>2.0</v>
      </c>
      <c r="N5346" s="30"/>
      <c r="O5346" s="30"/>
      <c r="P5346" s="26">
        <v>900.0</v>
      </c>
      <c r="Q5346" s="35">
        <v>0.0</v>
      </c>
      <c r="R5346" s="32">
        <v>42478.0</v>
      </c>
      <c r="S5346" s="32">
        <v>40346.0</v>
      </c>
      <c r="T5346" s="29"/>
      <c r="U5346" s="33"/>
      <c r="V5346" s="1"/>
    </row>
    <row r="5347" ht="24.0" customHeight="1">
      <c r="A5347" s="1"/>
      <c r="B5347" s="24" t="str">
        <f>HYPERLINK("https://www.compass.com/listing/315-east-12th-street-unit-apt9-manhattan-ny-10003/348227007540136449/view?agent_id=610d3f3370540700019b0833","315 East 12th Street, Unit APT9")</f>
        <v>315 East 12th Street, Unit APT9</v>
      </c>
      <c r="C5347" s="25" t="s">
        <v>364</v>
      </c>
      <c r="D5347" s="26" t="s">
        <v>23</v>
      </c>
      <c r="E5347" s="27" t="str">
        <f>HYPERLINK("https://www.compass.com/building/315-e-12th-st-manhattan-ny-10003/281892290446758901/","315 E 12th St")</f>
        <v>315 E 12th St</v>
      </c>
      <c r="F5347" s="25" t="s">
        <v>24</v>
      </c>
      <c r="G5347" s="28">
        <v>1075000.0</v>
      </c>
      <c r="H5347" s="28">
        <v>1593.0</v>
      </c>
      <c r="I5347" s="28">
        <v>1196.0</v>
      </c>
      <c r="J5347" s="28">
        <v>0.0</v>
      </c>
      <c r="K5347" s="25" t="s">
        <v>25</v>
      </c>
      <c r="L5347" s="26">
        <v>4.0</v>
      </c>
      <c r="M5347" s="26">
        <v>2.0</v>
      </c>
      <c r="N5347" s="30"/>
      <c r="O5347" s="30"/>
      <c r="P5347" s="26">
        <v>675.0</v>
      </c>
      <c r="Q5347" s="35">
        <v>18.0</v>
      </c>
      <c r="R5347" s="32">
        <v>43752.0</v>
      </c>
      <c r="S5347" s="32">
        <v>43732.0</v>
      </c>
      <c r="T5347" s="29"/>
      <c r="U5347" s="33"/>
      <c r="V5347" s="1"/>
    </row>
    <row r="5348" ht="24.0" customHeight="1">
      <c r="A5348" s="1"/>
      <c r="B5348" s="24" t="str">
        <f>HYPERLINK("https://www.compass.com/listing/103-east-10th-street-unit-2c-manhattan-ny-10003/542021835391901505/view?agent_id=610d3f3370540700019b0833","103 East 10th Street, Unit 2C")</f>
        <v>103 East 10th Street, Unit 2C</v>
      </c>
      <c r="C5348" s="25" t="s">
        <v>370</v>
      </c>
      <c r="D5348" s="26" t="s">
        <v>23</v>
      </c>
      <c r="E5348" s="27" t="str">
        <f>HYPERLINK("https://www.compass.com/building/103-e-10th-st-manhattan-ny-10003/281888699719878421/","103 E 10th St")</f>
        <v>103 E 10th St</v>
      </c>
      <c r="F5348" s="25" t="s">
        <v>24</v>
      </c>
      <c r="G5348" s="28">
        <v>995000.0</v>
      </c>
      <c r="H5348" s="28">
        <v>905.0</v>
      </c>
      <c r="I5348" s="28">
        <v>1687.0</v>
      </c>
      <c r="J5348" s="29"/>
      <c r="K5348" s="25" t="s">
        <v>25</v>
      </c>
      <c r="L5348" s="26">
        <v>4.0</v>
      </c>
      <c r="M5348" s="26">
        <v>2.0</v>
      </c>
      <c r="N5348" s="26">
        <v>1.0</v>
      </c>
      <c r="O5348" s="26">
        <v>0.0</v>
      </c>
      <c r="P5348" s="34">
        <v>1100.0</v>
      </c>
      <c r="Q5348" s="35">
        <v>65.0</v>
      </c>
      <c r="R5348" s="32">
        <v>44581.0</v>
      </c>
      <c r="S5348" s="32">
        <v>43999.0</v>
      </c>
      <c r="T5348" s="29"/>
      <c r="U5348" s="33"/>
      <c r="V5348" s="1"/>
    </row>
    <row r="5349" ht="24.0" customHeight="1">
      <c r="A5349" s="1"/>
      <c r="B5349" s="24" t="str">
        <f>HYPERLINK("https://www.compass.com/listing/242-west-72nd-street-unit-3r-manhattan-ny-10023/634069542842423233/view?agent_id=610d3f3370540700019b0833","242 West 72nd Street, Unit 3R")</f>
        <v>242 West 72nd Street, Unit 3R</v>
      </c>
      <c r="C5349" s="25" t="s">
        <v>364</v>
      </c>
      <c r="D5349" s="26" t="s">
        <v>23</v>
      </c>
      <c r="E5349" s="27" t="str">
        <f>HYPERLINK("https://www.compass.com/building/242-w-72nd-st-manhattan-ny-10023/281958823248338325/","242 W 72nd St")</f>
        <v>242 W 72nd St</v>
      </c>
      <c r="F5349" s="25" t="s">
        <v>29</v>
      </c>
      <c r="G5349" s="28">
        <v>745000.0</v>
      </c>
      <c r="H5349" s="28">
        <v>931.0</v>
      </c>
      <c r="I5349" s="28">
        <v>1435.0</v>
      </c>
      <c r="J5349" s="29"/>
      <c r="K5349" s="25" t="s">
        <v>25</v>
      </c>
      <c r="L5349" s="26">
        <v>4.0</v>
      </c>
      <c r="M5349" s="26">
        <v>2.0</v>
      </c>
      <c r="N5349" s="30"/>
      <c r="O5349" s="30"/>
      <c r="P5349" s="26">
        <v>800.0</v>
      </c>
      <c r="Q5349" s="35">
        <v>170.0</v>
      </c>
      <c r="R5349" s="32">
        <v>45110.0</v>
      </c>
      <c r="S5349" s="32">
        <v>44125.0</v>
      </c>
      <c r="T5349" s="29"/>
      <c r="U5349" s="33"/>
      <c r="V5349" s="1"/>
    </row>
    <row r="5350" ht="24.0" customHeight="1">
      <c r="A5350" s="1"/>
      <c r="B5350" s="24" t="str">
        <f>HYPERLINK("https://www.compass.com/listing/110-west-71st-street-unit-3a-manhattan-ny-10023/1102194282767768857/view?agent_id=610d3f3370540700019b0833","110 West 71st Street, Unit 3A")</f>
        <v>110 West 71st Street, Unit 3A</v>
      </c>
      <c r="C5350" s="25" t="s">
        <v>364</v>
      </c>
      <c r="D5350" s="26" t="s">
        <v>23</v>
      </c>
      <c r="E5350" s="27" t="str">
        <f>HYPERLINK("https://www.compass.com/building/110-w-71st-st-manhattan-ny-10023/281956328459541157/","110 W 71st St")</f>
        <v>110 W 71st St</v>
      </c>
      <c r="F5350" s="25" t="s">
        <v>29</v>
      </c>
      <c r="G5350" s="28">
        <v>630000.0</v>
      </c>
      <c r="H5350" s="29"/>
      <c r="I5350" s="28">
        <v>1175.0</v>
      </c>
      <c r="J5350" s="29"/>
      <c r="K5350" s="25" t="s">
        <v>25</v>
      </c>
      <c r="L5350" s="26">
        <v>3.0</v>
      </c>
      <c r="M5350" s="26">
        <v>2.0</v>
      </c>
      <c r="N5350" s="26">
        <v>1.0</v>
      </c>
      <c r="O5350" s="26">
        <v>0.0</v>
      </c>
      <c r="P5350" s="30"/>
      <c r="Q5350" s="35">
        <v>142.0</v>
      </c>
      <c r="R5350" s="32">
        <v>45636.0</v>
      </c>
      <c r="S5350" s="32">
        <v>44772.0</v>
      </c>
      <c r="T5350" s="29"/>
      <c r="U5350" s="33"/>
      <c r="V5350" s="1"/>
    </row>
    <row r="5351" ht="24.0" customHeight="1">
      <c r="A5351" s="1"/>
      <c r="B5351" s="24" t="str">
        <f>HYPERLINK("https://www.compass.com/listing/2-gramercy-park-west-unit-1-manhattan-ny-10010/4852266029432179969/view?agent_id=610d3f3370540700019b0833","2 Gramercy Park West, Unit 1")</f>
        <v>2 Gramercy Park West, Unit 1</v>
      </c>
      <c r="C5351" s="25" t="s">
        <v>364</v>
      </c>
      <c r="D5351" s="26" t="s">
        <v>23</v>
      </c>
      <c r="E5351" s="27" t="str">
        <f>HYPERLINK("https://www.compass.com/building/townhouse-2-gramercy-park-west-manhattan-ny/281890348962155317/","Townhouse: 2 Gramercy Park West")</f>
        <v>Townhouse: 2 Gramercy Park West</v>
      </c>
      <c r="F5351" s="25" t="s">
        <v>48</v>
      </c>
      <c r="G5351" s="28">
        <v>2850000.0</v>
      </c>
      <c r="H5351" s="28">
        <v>1781.0</v>
      </c>
      <c r="I5351" s="28">
        <v>21560.0</v>
      </c>
      <c r="J5351" s="28">
        <v>232920.0</v>
      </c>
      <c r="K5351" s="25" t="s">
        <v>25</v>
      </c>
      <c r="L5351" s="26">
        <v>5.0</v>
      </c>
      <c r="M5351" s="26">
        <v>2.0</v>
      </c>
      <c r="N5351" s="26">
        <v>0.0</v>
      </c>
      <c r="O5351" s="26">
        <v>0.0</v>
      </c>
      <c r="P5351" s="34">
        <v>1600.0</v>
      </c>
      <c r="Q5351" s="35">
        <v>116.0</v>
      </c>
      <c r="R5351" s="32">
        <v>44581.0</v>
      </c>
      <c r="S5351" s="32">
        <v>41859.0</v>
      </c>
      <c r="T5351" s="29"/>
      <c r="U5351" s="33"/>
      <c r="V5351" s="1"/>
    </row>
    <row r="5352" ht="24.0" customHeight="1">
      <c r="A5352" s="1"/>
      <c r="B5352" s="24" t="str">
        <f>HYPERLINK("https://www.compass.com/listing/76-11th-avenue-unit-x22c-manhattan-ny-10011/786142136956953297/view?agent_id=610d3f3370540700019b0833","76 11th Avenue, Unit X22C")</f>
        <v>76 11th Avenue, Unit X22C</v>
      </c>
      <c r="C5352" s="25" t="s">
        <v>365</v>
      </c>
      <c r="D5352" s="26" t="s">
        <v>23</v>
      </c>
      <c r="E5352" s="27" t="str">
        <f>HYPERLINK("https://www.compass.com/building/the-xi-manhattan-ny/292806945394425205/","The XI")</f>
        <v>The XI</v>
      </c>
      <c r="F5352" s="25" t="s">
        <v>27</v>
      </c>
      <c r="G5352" s="28">
        <v>6950000.0</v>
      </c>
      <c r="H5352" s="28">
        <v>3510.0</v>
      </c>
      <c r="I5352" s="28">
        <v>7373.0</v>
      </c>
      <c r="J5352" s="28">
        <v>49908.0</v>
      </c>
      <c r="K5352" s="25" t="s">
        <v>28</v>
      </c>
      <c r="L5352" s="26">
        <v>5.0</v>
      </c>
      <c r="M5352" s="26">
        <v>2.0</v>
      </c>
      <c r="N5352" s="30"/>
      <c r="O5352" s="30"/>
      <c r="P5352" s="34">
        <v>1980.0</v>
      </c>
      <c r="Q5352" s="35">
        <v>645.0</v>
      </c>
      <c r="R5352" s="32">
        <v>44268.0</v>
      </c>
      <c r="S5352" s="32">
        <v>43528.0</v>
      </c>
      <c r="T5352" s="29"/>
      <c r="U5352" s="33"/>
      <c r="V5352" s="1"/>
    </row>
    <row r="5353" ht="24.0" customHeight="1">
      <c r="A5353" s="1"/>
      <c r="B5353" s="24" t="str">
        <f>HYPERLINK("https://www.compass.com/listing/241-west-97th-street-unit-4k-manhattan-ny-10025/228268955377096097/view?agent_id=610d3f3370540700019b0833","241 West 97th Street, Unit 4K")</f>
        <v>241 West 97th Street, Unit 4K</v>
      </c>
      <c r="C5353" s="25" t="s">
        <v>364</v>
      </c>
      <c r="D5353" s="26" t="s">
        <v>23</v>
      </c>
      <c r="E5353" s="27" t="str">
        <f>HYPERLINK("https://www.compass.com/building/sabrina-manhattan-ny/282058526048680533/","Sabrina")</f>
        <v>Sabrina</v>
      </c>
      <c r="F5353" s="25" t="s">
        <v>29</v>
      </c>
      <c r="G5353" s="28">
        <v>1995000.0</v>
      </c>
      <c r="H5353" s="28">
        <v>1356.0</v>
      </c>
      <c r="I5353" s="28">
        <v>2374.0</v>
      </c>
      <c r="J5353" s="28">
        <v>12636.0</v>
      </c>
      <c r="K5353" s="25" t="s">
        <v>28</v>
      </c>
      <c r="L5353" s="26">
        <v>5.0</v>
      </c>
      <c r="M5353" s="26">
        <v>2.0</v>
      </c>
      <c r="N5353" s="26">
        <v>0.0</v>
      </c>
      <c r="O5353" s="26">
        <v>0.0</v>
      </c>
      <c r="P5353" s="34">
        <v>1471.0</v>
      </c>
      <c r="Q5353" s="35">
        <v>546.0</v>
      </c>
      <c r="R5353" s="32">
        <v>45636.0</v>
      </c>
      <c r="S5353" s="32">
        <v>42389.0</v>
      </c>
      <c r="T5353" s="29"/>
      <c r="U5353" s="33"/>
      <c r="V5353" s="1"/>
    </row>
    <row r="5354" ht="24.0" customHeight="1">
      <c r="A5354" s="1"/>
      <c r="B5354" s="24" t="str">
        <f>HYPERLINK("https://www.compass.com/listing/100-greene-street-unit-3-manhattan-ny-10012/921706610513762913/view?agent_id=610d3f3370540700019b0833","100 Greene Street, Unit 3")</f>
        <v>100 Greene Street, Unit 3</v>
      </c>
      <c r="C5354" s="25" t="s">
        <v>364</v>
      </c>
      <c r="D5354" s="26" t="s">
        <v>23</v>
      </c>
      <c r="E5354" s="27" t="str">
        <f t="shared" ref="E5354:E5356" si="253">HYPERLINK("https://www.compass.com/building/100-greene-st-manhattan-ny-10012/281912285482477365/","100 Greene St")</f>
        <v>100 Greene St</v>
      </c>
      <c r="F5354" s="25" t="s">
        <v>53</v>
      </c>
      <c r="G5354" s="28">
        <v>4500000.0</v>
      </c>
      <c r="H5354" s="28">
        <v>2250.0</v>
      </c>
      <c r="I5354" s="28">
        <v>3209.0</v>
      </c>
      <c r="J5354" s="29"/>
      <c r="K5354" s="25" t="s">
        <v>25</v>
      </c>
      <c r="L5354" s="26">
        <v>4.0</v>
      </c>
      <c r="M5354" s="26">
        <v>2.0</v>
      </c>
      <c r="N5354" s="26">
        <v>0.0</v>
      </c>
      <c r="O5354" s="26">
        <v>0.0</v>
      </c>
      <c r="P5354" s="34">
        <v>2000.0</v>
      </c>
      <c r="Q5354" s="35">
        <v>105.0</v>
      </c>
      <c r="R5354" s="32">
        <v>45636.0</v>
      </c>
      <c r="S5354" s="32">
        <v>42255.0</v>
      </c>
      <c r="T5354" s="29"/>
      <c r="U5354" s="33"/>
      <c r="V5354" s="1"/>
    </row>
    <row r="5355" ht="24.0" customHeight="1">
      <c r="A5355" s="1"/>
      <c r="B5355" s="24" t="str">
        <f>HYPERLINK("https://www.compass.com/listing/100-greene-street-unit-3-manhattan-ny-10012/1838889825168361057/view?agent_id=610d3f3370540700019b0833","100 Greene Street, Unit 3")</f>
        <v>100 Greene Street, Unit 3</v>
      </c>
      <c r="C5355" s="25" t="s">
        <v>364</v>
      </c>
      <c r="D5355" s="26" t="s">
        <v>23</v>
      </c>
      <c r="E5355" s="27" t="str">
        <f t="shared" si="253"/>
        <v>100 Greene St</v>
      </c>
      <c r="F5355" s="25" t="s">
        <v>53</v>
      </c>
      <c r="G5355" s="28">
        <v>3650000.0</v>
      </c>
      <c r="H5355" s="28">
        <v>1825.0</v>
      </c>
      <c r="I5355" s="28">
        <v>3250.0</v>
      </c>
      <c r="J5355" s="29"/>
      <c r="K5355" s="25" t="s">
        <v>25</v>
      </c>
      <c r="L5355" s="26">
        <v>4.0</v>
      </c>
      <c r="M5355" s="26">
        <v>2.0</v>
      </c>
      <c r="N5355" s="26">
        <v>0.0</v>
      </c>
      <c r="O5355" s="26">
        <v>0.0</v>
      </c>
      <c r="P5355" s="34">
        <v>2000.0</v>
      </c>
      <c r="Q5355" s="35">
        <v>1503.0</v>
      </c>
      <c r="R5355" s="32">
        <v>44581.0</v>
      </c>
      <c r="S5355" s="32">
        <v>41433.0</v>
      </c>
      <c r="T5355" s="29"/>
      <c r="U5355" s="33"/>
      <c r="V5355" s="1"/>
    </row>
    <row r="5356" ht="24.0" customHeight="1">
      <c r="A5356" s="1"/>
      <c r="B5356" s="24" t="str">
        <f>HYPERLINK("https://www.compass.com/listing/100-greene-street-unit-3-manhattan-ny-10012/920896043390031937/view?agent_id=610d3f3370540700019b0833","100 Greene Street, Unit 3")</f>
        <v>100 Greene Street, Unit 3</v>
      </c>
      <c r="C5356" s="25" t="s">
        <v>364</v>
      </c>
      <c r="D5356" s="26" t="s">
        <v>23</v>
      </c>
      <c r="E5356" s="27" t="str">
        <f t="shared" si="253"/>
        <v>100 Greene St</v>
      </c>
      <c r="F5356" s="25" t="s">
        <v>53</v>
      </c>
      <c r="G5356" s="28">
        <v>3995000.0</v>
      </c>
      <c r="H5356" s="28">
        <v>1998.0</v>
      </c>
      <c r="I5356" s="28">
        <v>3209.0</v>
      </c>
      <c r="J5356" s="29"/>
      <c r="K5356" s="25" t="s">
        <v>25</v>
      </c>
      <c r="L5356" s="26">
        <v>4.0</v>
      </c>
      <c r="M5356" s="26">
        <v>2.0</v>
      </c>
      <c r="N5356" s="26">
        <v>0.0</v>
      </c>
      <c r="O5356" s="26">
        <v>0.0</v>
      </c>
      <c r="P5356" s="34">
        <v>2000.0</v>
      </c>
      <c r="Q5356" s="35">
        <v>126.0</v>
      </c>
      <c r="R5356" s="32">
        <v>45636.0</v>
      </c>
      <c r="S5356" s="32">
        <v>42404.0</v>
      </c>
      <c r="T5356" s="29"/>
      <c r="U5356" s="33"/>
      <c r="V5356" s="1"/>
    </row>
    <row r="5357" ht="24.0" customHeight="1">
      <c r="A5357" s="1"/>
      <c r="B5357" s="24" t="str">
        <f>HYPERLINK("https://www.compass.com/listing/153-charles-street-manhattan-ny-10014/4852269916604083409/view?agent_id=610d3f3370540700019b0833","153 Charles Street")</f>
        <v>153 Charles Street</v>
      </c>
      <c r="C5357" s="25" t="s">
        <v>370</v>
      </c>
      <c r="D5357" s="26" t="s">
        <v>23</v>
      </c>
      <c r="E5357" s="27" t="str">
        <f>HYPERLINK("https://www.compass.com/building/153-charles-st-manhattan-ny-10014/294836111285187877/","153 Charles St")</f>
        <v>153 Charles St</v>
      </c>
      <c r="F5357" s="25" t="s">
        <v>26</v>
      </c>
      <c r="G5357" s="28">
        <v>2500000.0</v>
      </c>
      <c r="H5357" s="28">
        <v>1786.0</v>
      </c>
      <c r="I5357" s="28">
        <v>0.0</v>
      </c>
      <c r="J5357" s="29"/>
      <c r="K5357" s="25" t="s">
        <v>25</v>
      </c>
      <c r="L5357" s="26">
        <v>5.0</v>
      </c>
      <c r="M5357" s="26">
        <v>2.0</v>
      </c>
      <c r="N5357" s="26">
        <v>0.0</v>
      </c>
      <c r="O5357" s="26">
        <v>0.0</v>
      </c>
      <c r="P5357" s="34">
        <v>1400.0</v>
      </c>
      <c r="Q5357" s="35">
        <v>161.0</v>
      </c>
      <c r="R5357" s="32">
        <v>45636.0</v>
      </c>
      <c r="S5357" s="32">
        <v>42166.0</v>
      </c>
      <c r="T5357" s="29"/>
      <c r="U5357" s="33"/>
      <c r="V5357" s="1"/>
    </row>
    <row r="5358" ht="24.0" customHeight="1">
      <c r="A5358" s="1"/>
      <c r="B5358" s="24" t="str">
        <f>HYPERLINK("https://www.compass.com/listing/300-east-23rd-street-unit-5g-manhattan-ny-10010/192572509202253393/view?agent_id=610d3f3370540700019b0833","300 East 23rd Street, Unit 5G")</f>
        <v>300 East 23rd Street, Unit 5G</v>
      </c>
      <c r="C5358" s="25" t="s">
        <v>370</v>
      </c>
      <c r="D5358" s="26" t="s">
        <v>23</v>
      </c>
      <c r="E5358" s="27" t="str">
        <f>HYPERLINK("https://www.compass.com/building/tempo-manhattan-ny/281902794510712821/","Tempo")</f>
        <v>Tempo</v>
      </c>
      <c r="F5358" s="25" t="s">
        <v>48</v>
      </c>
      <c r="G5358" s="28">
        <v>1695000.0</v>
      </c>
      <c r="H5358" s="28">
        <v>1744.0</v>
      </c>
      <c r="I5358" s="28">
        <v>1651.0</v>
      </c>
      <c r="J5358" s="28">
        <v>4668.0</v>
      </c>
      <c r="K5358" s="25" t="s">
        <v>28</v>
      </c>
      <c r="L5358" s="26">
        <v>4.0</v>
      </c>
      <c r="M5358" s="26">
        <v>2.0</v>
      </c>
      <c r="N5358" s="26">
        <v>0.0</v>
      </c>
      <c r="O5358" s="26">
        <v>0.0</v>
      </c>
      <c r="P5358" s="26">
        <v>972.0</v>
      </c>
      <c r="Q5358" s="35">
        <v>115.0</v>
      </c>
      <c r="R5358" s="32">
        <v>44581.0</v>
      </c>
      <c r="S5358" s="32">
        <v>42191.0</v>
      </c>
      <c r="T5358" s="29"/>
      <c r="U5358" s="33"/>
      <c r="V5358" s="1"/>
    </row>
    <row r="5359" ht="24.0" customHeight="1">
      <c r="A5359" s="1"/>
      <c r="B5359" s="24" t="str">
        <f>HYPERLINK("https://www.compass.com/listing/87-east-2nd-street-unit-3a-manhattan-ny-10003/1151643895766541873/view?agent_id=610d3f3370540700019b0833","87 East 2nd Street, Unit 3A")</f>
        <v>87 East 2nd Street, Unit 3A</v>
      </c>
      <c r="C5359" s="25" t="s">
        <v>364</v>
      </c>
      <c r="D5359" s="26" t="s">
        <v>23</v>
      </c>
      <c r="E5359" s="27" t="str">
        <f t="shared" ref="E5359:E5361" si="254">HYPERLINK("https://www.compass.com/building/87-e-2nd-st-manhattan-ny-10003/292783446655249717/","87 E 2nd St")</f>
        <v>87 E 2nd St</v>
      </c>
      <c r="F5359" s="25" t="s">
        <v>24</v>
      </c>
      <c r="G5359" s="28">
        <v>1395000.0</v>
      </c>
      <c r="H5359" s="29"/>
      <c r="I5359" s="28">
        <v>1758.0</v>
      </c>
      <c r="J5359" s="29"/>
      <c r="K5359" s="25" t="s">
        <v>25</v>
      </c>
      <c r="L5359" s="26">
        <v>5.0</v>
      </c>
      <c r="M5359" s="26">
        <v>2.0</v>
      </c>
      <c r="N5359" s="26">
        <v>1.0</v>
      </c>
      <c r="O5359" s="26">
        <v>0.0</v>
      </c>
      <c r="P5359" s="30"/>
      <c r="Q5359" s="35">
        <v>151.0</v>
      </c>
      <c r="R5359" s="32">
        <v>45636.0</v>
      </c>
      <c r="S5359" s="32">
        <v>44840.0</v>
      </c>
      <c r="T5359" s="29"/>
      <c r="U5359" s="33"/>
      <c r="V5359" s="1"/>
    </row>
    <row r="5360" ht="24.0" customHeight="1">
      <c r="A5360" s="1"/>
      <c r="B5360" s="24" t="str">
        <f>HYPERLINK("https://www.compass.com/listing/87-east-2nd-street-unit-4a-manhattan-ny-10003/50865726797418497/view?agent_id=610d3f3370540700019b0833","87 East 2nd Street, Unit 4A")</f>
        <v>87 East 2nd Street, Unit 4A</v>
      </c>
      <c r="C5360" s="25" t="s">
        <v>370</v>
      </c>
      <c r="D5360" s="26" t="s">
        <v>23</v>
      </c>
      <c r="E5360" s="27" t="str">
        <f t="shared" si="254"/>
        <v>87 E 2nd St</v>
      </c>
      <c r="F5360" s="25" t="s">
        <v>24</v>
      </c>
      <c r="G5360" s="28">
        <v>1350000.0</v>
      </c>
      <c r="H5360" s="28">
        <v>1421.0</v>
      </c>
      <c r="I5360" s="28">
        <v>1448.0</v>
      </c>
      <c r="J5360" s="29"/>
      <c r="K5360" s="25" t="s">
        <v>25</v>
      </c>
      <c r="L5360" s="26">
        <v>4.0</v>
      </c>
      <c r="M5360" s="26">
        <v>2.0</v>
      </c>
      <c r="N5360" s="26">
        <v>0.0</v>
      </c>
      <c r="O5360" s="26">
        <v>0.0</v>
      </c>
      <c r="P5360" s="26">
        <v>950.0</v>
      </c>
      <c r="Q5360" s="35">
        <v>364.0</v>
      </c>
      <c r="R5360" s="32">
        <v>45636.0</v>
      </c>
      <c r="S5360" s="32">
        <v>42450.0</v>
      </c>
      <c r="T5360" s="29"/>
      <c r="U5360" s="33"/>
      <c r="V5360" s="1"/>
    </row>
    <row r="5361" ht="24.0" customHeight="1">
      <c r="A5361" s="1"/>
      <c r="B5361" s="24" t="str">
        <f>HYPERLINK("https://www.compass.com/listing/87-east-2nd-street-unit-3a-manhattan-ny-10003/925247755861084065/view?agent_id=610d3f3370540700019b0833","87 East 2nd Street, Unit 3A")</f>
        <v>87 East 2nd Street, Unit 3A</v>
      </c>
      <c r="C5361" s="25" t="s">
        <v>364</v>
      </c>
      <c r="D5361" s="26" t="s">
        <v>23</v>
      </c>
      <c r="E5361" s="27" t="str">
        <f t="shared" si="254"/>
        <v>87 E 2nd St</v>
      </c>
      <c r="F5361" s="25" t="s">
        <v>24</v>
      </c>
      <c r="G5361" s="28">
        <v>1425000.0</v>
      </c>
      <c r="H5361" s="28">
        <v>1500.0</v>
      </c>
      <c r="I5361" s="28">
        <v>1707.0</v>
      </c>
      <c r="J5361" s="29"/>
      <c r="K5361" s="25" t="s">
        <v>25</v>
      </c>
      <c r="L5361" s="26">
        <v>4.0</v>
      </c>
      <c r="M5361" s="26">
        <v>2.0</v>
      </c>
      <c r="N5361" s="26">
        <v>1.0</v>
      </c>
      <c r="O5361" s="26">
        <v>0.0</v>
      </c>
      <c r="P5361" s="26">
        <v>950.0</v>
      </c>
      <c r="Q5361" s="35">
        <v>105.0</v>
      </c>
      <c r="R5361" s="32">
        <v>45636.0</v>
      </c>
      <c r="S5361" s="32">
        <v>44096.0</v>
      </c>
      <c r="T5361" s="29"/>
      <c r="U5361" s="33"/>
      <c r="V5361" s="1"/>
    </row>
    <row r="5362" ht="24.0" customHeight="1">
      <c r="A5362" s="1"/>
      <c r="B5362" s="24" t="str">
        <f>HYPERLINK("https://www.compass.com/listing/15-west-20th-street-unit-ph-manhattan-ny-10010/803418873885726801/view?agent_id=610d3f3370540700019b0833","15 West 20th Street, Unit PH")</f>
        <v>15 West 20th Street, Unit PH</v>
      </c>
      <c r="C5362" s="25" t="s">
        <v>364</v>
      </c>
      <c r="D5362" s="26" t="s">
        <v>23</v>
      </c>
      <c r="E5362" s="27" t="str">
        <f>HYPERLINK("https://www.compass.com/building/altair-20-manhattan-ny/281905616144847365/","Altair 20")</f>
        <v>Altair 20</v>
      </c>
      <c r="F5362" s="25" t="s">
        <v>115</v>
      </c>
      <c r="G5362" s="28">
        <v>7995000.0</v>
      </c>
      <c r="H5362" s="28">
        <v>2481.0</v>
      </c>
      <c r="I5362" s="28">
        <v>6733.0</v>
      </c>
      <c r="J5362" s="28">
        <v>41184.0</v>
      </c>
      <c r="K5362" s="25" t="s">
        <v>28</v>
      </c>
      <c r="L5362" s="26">
        <v>5.0</v>
      </c>
      <c r="M5362" s="26">
        <v>2.0</v>
      </c>
      <c r="N5362" s="26">
        <v>0.0</v>
      </c>
      <c r="O5362" s="26">
        <v>0.0</v>
      </c>
      <c r="P5362" s="34">
        <v>3223.0</v>
      </c>
      <c r="Q5362" s="35">
        <v>1581.0</v>
      </c>
      <c r="R5362" s="32">
        <v>44581.0</v>
      </c>
      <c r="S5362" s="32">
        <v>41355.0</v>
      </c>
      <c r="T5362" s="29"/>
      <c r="U5362" s="33"/>
      <c r="V5362" s="1"/>
    </row>
    <row r="5363" ht="24.0" customHeight="1">
      <c r="A5363" s="1"/>
      <c r="B5363" s="24" t="str">
        <f>HYPERLINK("https://www.compass.com/listing/311-east-3rd-street-unit-3-manhattan-ny-10009/11358848048818593/view?agent_id=610d3f3370540700019b0833","311 East 3rd Street, Unit 3")</f>
        <v>311 East 3rd Street, Unit 3</v>
      </c>
      <c r="C5363" s="25" t="s">
        <v>370</v>
      </c>
      <c r="D5363" s="26" t="s">
        <v>23</v>
      </c>
      <c r="E5363" s="27" t="str">
        <f t="shared" ref="E5363:E5364" si="255">HYPERLINK("https://www.compass.com/building/311-e-3rd-st-manhattan-ny-10009/281899527953200005/","311 E 3rd St")</f>
        <v>311 E 3rd St</v>
      </c>
      <c r="F5363" s="25" t="s">
        <v>24</v>
      </c>
      <c r="G5363" s="28">
        <v>525000.0</v>
      </c>
      <c r="H5363" s="29"/>
      <c r="I5363" s="28">
        <v>0.0</v>
      </c>
      <c r="J5363" s="28">
        <v>0.0</v>
      </c>
      <c r="K5363" s="25" t="s">
        <v>25</v>
      </c>
      <c r="L5363" s="26">
        <v>5.0</v>
      </c>
      <c r="M5363" s="26">
        <v>2.0</v>
      </c>
      <c r="N5363" s="26">
        <v>1.0</v>
      </c>
      <c r="O5363" s="30"/>
      <c r="P5363" s="30"/>
      <c r="Q5363" s="35">
        <v>172.0</v>
      </c>
      <c r="R5363" s="32">
        <v>45597.0</v>
      </c>
      <c r="S5363" s="32">
        <v>43079.0</v>
      </c>
      <c r="T5363" s="29"/>
      <c r="U5363" s="33"/>
      <c r="V5363" s="1"/>
    </row>
    <row r="5364" ht="24.0" customHeight="1">
      <c r="A5364" s="1"/>
      <c r="B5364" s="24" t="str">
        <f>HYPERLINK("https://www.compass.com/listing/311-east-3rd-street-unit-3-manhattan-ny-10009/500853300829507161/view?agent_id=610d3f3370540700019b0833","311 East 3rd Street, Unit 3")</f>
        <v>311 East 3rd Street, Unit 3</v>
      </c>
      <c r="C5364" s="25" t="s">
        <v>370</v>
      </c>
      <c r="D5364" s="26" t="s">
        <v>23</v>
      </c>
      <c r="E5364" s="27" t="str">
        <f t="shared" si="255"/>
        <v>311 E 3rd St</v>
      </c>
      <c r="F5364" s="25" t="s">
        <v>24</v>
      </c>
      <c r="G5364" s="28">
        <v>525000.0</v>
      </c>
      <c r="H5364" s="29"/>
      <c r="I5364" s="28">
        <v>0.0</v>
      </c>
      <c r="J5364" s="28">
        <v>0.0</v>
      </c>
      <c r="K5364" s="25" t="s">
        <v>25</v>
      </c>
      <c r="L5364" s="26">
        <v>5.0</v>
      </c>
      <c r="M5364" s="26">
        <v>2.0</v>
      </c>
      <c r="N5364" s="26">
        <v>1.0</v>
      </c>
      <c r="O5364" s="30"/>
      <c r="P5364" s="30"/>
      <c r="Q5364" s="35">
        <v>180.0</v>
      </c>
      <c r="R5364" s="32">
        <v>45636.0</v>
      </c>
      <c r="S5364" s="32">
        <v>42872.0</v>
      </c>
      <c r="T5364" s="29"/>
      <c r="U5364" s="33"/>
      <c r="V5364" s="1"/>
    </row>
    <row r="5365" ht="24.0" customHeight="1">
      <c r="A5365" s="1"/>
      <c r="B5365" s="24" t="str">
        <f>HYPERLINK("https://www.compass.com/listing/169-spring-street-unit-2w-manhattan-ny-10012/465090517458809337/view?agent_id=610d3f3370540700019b0833","169 Spring Street, Unit 2W")</f>
        <v>169 Spring Street, Unit 2W</v>
      </c>
      <c r="C5365" s="25" t="s">
        <v>364</v>
      </c>
      <c r="D5365" s="26" t="s">
        <v>23</v>
      </c>
      <c r="E5365" s="27" t="str">
        <f>HYPERLINK("https://www.compass.com/building/169-spring-st-manhattan-ny-10012/292809542582961269/","169 Spring St")</f>
        <v>169 Spring St</v>
      </c>
      <c r="F5365" s="25" t="s">
        <v>53</v>
      </c>
      <c r="G5365" s="28">
        <v>2925000.0</v>
      </c>
      <c r="H5365" s="28">
        <v>1383.0</v>
      </c>
      <c r="I5365" s="28">
        <v>1883.0</v>
      </c>
      <c r="J5365" s="29"/>
      <c r="K5365" s="25" t="s">
        <v>25</v>
      </c>
      <c r="L5365" s="26">
        <v>4.0</v>
      </c>
      <c r="M5365" s="26">
        <v>2.0</v>
      </c>
      <c r="N5365" s="26">
        <v>0.0</v>
      </c>
      <c r="O5365" s="26">
        <v>0.0</v>
      </c>
      <c r="P5365" s="34">
        <v>2115.0</v>
      </c>
      <c r="Q5365" s="35">
        <v>160.0</v>
      </c>
      <c r="R5365" s="32">
        <v>45636.0</v>
      </c>
      <c r="S5365" s="32">
        <v>42989.0</v>
      </c>
      <c r="T5365" s="29"/>
      <c r="U5365" s="33"/>
      <c r="V5365" s="1"/>
    </row>
    <row r="5366" ht="24.0" customHeight="1">
      <c r="A5366" s="1"/>
      <c r="B5366" s="24" t="str">
        <f>HYPERLINK("https://www.compass.com/listing/248-east-7th-street-unit-15-manhattan-ny-10009/4703688017980706257/view?agent_id=610d3f3370540700019b0833","248 E 7th St, Unit 15")</f>
        <v>248 E 7th St, Unit 15</v>
      </c>
      <c r="C5366" s="25" t="s">
        <v>364</v>
      </c>
      <c r="D5366" s="26" t="s">
        <v>23</v>
      </c>
      <c r="E5366" s="27" t="str">
        <f>HYPERLINK("https://www.compass.com/building/248-e-7th-st-manhattan-ny-10009/281899036397547797/","248 E 7th St")</f>
        <v>248 E 7th St</v>
      </c>
      <c r="F5366" s="25" t="s">
        <v>24</v>
      </c>
      <c r="G5366" s="28">
        <v>675000.0</v>
      </c>
      <c r="H5366" s="29"/>
      <c r="I5366" s="28">
        <v>450.0</v>
      </c>
      <c r="J5366" s="29"/>
      <c r="K5366" s="25" t="s">
        <v>25</v>
      </c>
      <c r="L5366" s="26">
        <v>4.0</v>
      </c>
      <c r="M5366" s="26">
        <v>2.0</v>
      </c>
      <c r="N5366" s="30"/>
      <c r="O5366" s="30"/>
      <c r="P5366" s="30"/>
      <c r="Q5366" s="35">
        <v>171.0</v>
      </c>
      <c r="R5366" s="32">
        <v>42476.0</v>
      </c>
      <c r="S5366" s="32">
        <v>38779.0</v>
      </c>
      <c r="T5366" s="29"/>
      <c r="U5366" s="33"/>
      <c r="V5366" s="1"/>
    </row>
    <row r="5367" ht="24.0" customHeight="1">
      <c r="A5367" s="1"/>
      <c r="B5367" s="24" t="str">
        <f>HYPERLINK("https://www.compass.com/listing/438-pacific-street-unit-4-brooklyn-ny-11217/548920539245542993/view?agent_id=610d3f3370540700019b0833","438 Pacific Street, Unit 4")</f>
        <v>438 Pacific Street, Unit 4</v>
      </c>
      <c r="C5367" s="25" t="s">
        <v>364</v>
      </c>
      <c r="D5367" s="26" t="s">
        <v>23</v>
      </c>
      <c r="E5367" s="27" t="str">
        <f>HYPERLINK("https://www.compass.com/building/438-pacific-st-brooklyn-ny-11217/282501852556246661/","438 Pacific St")</f>
        <v>438 Pacific St</v>
      </c>
      <c r="F5367" s="25" t="s">
        <v>102</v>
      </c>
      <c r="G5367" s="28">
        <v>999000.0</v>
      </c>
      <c r="H5367" s="28">
        <v>1249.0</v>
      </c>
      <c r="I5367" s="28">
        <v>0.0</v>
      </c>
      <c r="J5367" s="29"/>
      <c r="K5367" s="25" t="s">
        <v>125</v>
      </c>
      <c r="L5367" s="26">
        <v>4.0</v>
      </c>
      <c r="M5367" s="26">
        <v>2.0</v>
      </c>
      <c r="N5367" s="26">
        <v>1.0</v>
      </c>
      <c r="O5367" s="26">
        <v>0.0</v>
      </c>
      <c r="P5367" s="26">
        <v>800.0</v>
      </c>
      <c r="Q5367" s="35">
        <v>346.0</v>
      </c>
      <c r="R5367" s="32">
        <v>44581.0</v>
      </c>
      <c r="S5367" s="32">
        <v>44232.0</v>
      </c>
      <c r="T5367" s="29"/>
      <c r="U5367" s="33"/>
      <c r="V5367" s="1"/>
    </row>
    <row r="5368" ht="24.0" customHeight="1">
      <c r="A5368" s="1"/>
      <c r="B5368" s="24" t="str">
        <f>HYPERLINK("https://www.compass.com/listing/112-west-18th-street-unit-3c-manhattan-ny-10011/4852276538277636769/view?agent_id=610d3f3370540700019b0833","112 W 18th St, Unit 3C")</f>
        <v>112 W 18th St, Unit 3C</v>
      </c>
      <c r="C5368" s="25" t="s">
        <v>364</v>
      </c>
      <c r="D5368" s="26" t="s">
        <v>23</v>
      </c>
      <c r="E5368" s="27" t="str">
        <f>HYPERLINK("https://www.compass.com/building/the-brooks-van-horne-condominium-manhattan-ny/281904368926606453/","The Brooks Van Horne Condominium")</f>
        <v>The Brooks Van Horne Condominium</v>
      </c>
      <c r="F5368" s="25" t="s">
        <v>27</v>
      </c>
      <c r="G5368" s="28">
        <v>1330000.0</v>
      </c>
      <c r="H5368" s="28">
        <v>1108.0</v>
      </c>
      <c r="I5368" s="28">
        <v>1501.0</v>
      </c>
      <c r="J5368" s="28">
        <v>11256.0</v>
      </c>
      <c r="K5368" s="25" t="s">
        <v>28</v>
      </c>
      <c r="L5368" s="26">
        <v>4.0</v>
      </c>
      <c r="M5368" s="26">
        <v>2.0</v>
      </c>
      <c r="N5368" s="26">
        <v>0.0</v>
      </c>
      <c r="O5368" s="26">
        <v>0.0</v>
      </c>
      <c r="P5368" s="34">
        <v>1200.0</v>
      </c>
      <c r="Q5368" s="35">
        <v>1764.0</v>
      </c>
      <c r="R5368" s="32">
        <v>44581.0</v>
      </c>
      <c r="S5368" s="32">
        <v>41172.0</v>
      </c>
      <c r="T5368" s="29"/>
      <c r="U5368" s="33"/>
      <c r="V5368" s="1"/>
    </row>
    <row r="5369" ht="24.0" customHeight="1">
      <c r="A5369" s="1"/>
      <c r="B5369" s="24" t="str">
        <f>HYPERLINK("https://www.compass.com/listing/315-east-12th-street-unit-b-manhattan-ny-10003/652448158803200633/view?agent_id=610d3f3370540700019b0833","315 E 12th St, Unit B")</f>
        <v>315 E 12th St, Unit B</v>
      </c>
      <c r="C5369" s="25" t="s">
        <v>364</v>
      </c>
      <c r="D5369" s="26" t="s">
        <v>23</v>
      </c>
      <c r="E5369" s="27" t="str">
        <f>HYPERLINK("https://www.compass.com/building/315-e-12th-st-manhattan-ny-10003/281892290446758901/","315 E 12th St")</f>
        <v>315 E 12th St</v>
      </c>
      <c r="F5369" s="25" t="s">
        <v>24</v>
      </c>
      <c r="G5369" s="28">
        <v>1095000.0</v>
      </c>
      <c r="H5369" s="29"/>
      <c r="I5369" s="28">
        <v>1447.0</v>
      </c>
      <c r="J5369" s="29"/>
      <c r="K5369" s="25" t="s">
        <v>25</v>
      </c>
      <c r="L5369" s="26">
        <v>5.0</v>
      </c>
      <c r="M5369" s="26">
        <v>2.0</v>
      </c>
      <c r="N5369" s="26">
        <v>1.0</v>
      </c>
      <c r="O5369" s="26">
        <v>0.0</v>
      </c>
      <c r="P5369" s="30"/>
      <c r="Q5369" s="35">
        <v>48.0</v>
      </c>
      <c r="R5369" s="32">
        <v>44581.0</v>
      </c>
      <c r="S5369" s="32">
        <v>44151.0</v>
      </c>
      <c r="T5369" s="29"/>
      <c r="U5369" s="33"/>
      <c r="V5369" s="1"/>
    </row>
    <row r="5370" ht="24.0" customHeight="1">
      <c r="A5370" s="1"/>
      <c r="B5370" s="24" t="str">
        <f>HYPERLINK("https://www.compass.com/listing/471-west-broadway-unit-ph-manhattan-ny-10012/14532947260488641/view?agent_id=610d3f3370540700019b0833","471 W Broadway, Unit PH")</f>
        <v>471 W Broadway, Unit PH</v>
      </c>
      <c r="C5370" s="25" t="s">
        <v>364</v>
      </c>
      <c r="D5370" s="26" t="s">
        <v>23</v>
      </c>
      <c r="E5370" s="27" t="str">
        <f>HYPERLINK("https://www.compass.com/building/471-w-broadway-manhattan-ny-10012/281915234598286453/","471 W Broadway")</f>
        <v>471 W Broadway</v>
      </c>
      <c r="F5370" s="25" t="s">
        <v>53</v>
      </c>
      <c r="G5370" s="28">
        <v>4500000.0</v>
      </c>
      <c r="H5370" s="28">
        <v>1406.0</v>
      </c>
      <c r="I5370" s="28">
        <v>1600.0</v>
      </c>
      <c r="J5370" s="29"/>
      <c r="K5370" s="25" t="s">
        <v>25</v>
      </c>
      <c r="L5370" s="26">
        <v>5.0</v>
      </c>
      <c r="M5370" s="26">
        <v>2.0</v>
      </c>
      <c r="N5370" s="26">
        <v>0.0</v>
      </c>
      <c r="O5370" s="26">
        <v>0.0</v>
      </c>
      <c r="P5370" s="34">
        <v>3200.0</v>
      </c>
      <c r="Q5370" s="35">
        <v>299.0</v>
      </c>
      <c r="R5370" s="32">
        <v>45636.0</v>
      </c>
      <c r="S5370" s="32">
        <v>42832.0</v>
      </c>
      <c r="T5370" s="29"/>
      <c r="U5370" s="33"/>
      <c r="V5370" s="1"/>
    </row>
    <row r="5371" ht="24.0" customHeight="1">
      <c r="A5371" s="1"/>
      <c r="B5371" s="24" t="str">
        <f>HYPERLINK("https://www.compass.com/listing/99-east-4th-street-unit-4ff-manhattan-ny-10003/4703692841514190321/view?agent_id=610d3f3370540700019b0833","99 E 4th St, Unit 4FF")</f>
        <v>99 E 4th St, Unit 4FF</v>
      </c>
      <c r="C5371" s="25" t="s">
        <v>364</v>
      </c>
      <c r="D5371" s="26" t="s">
        <v>23</v>
      </c>
      <c r="E5371" s="27" t="str">
        <f>HYPERLINK("https://www.compass.com/building/99-e-4th-st-manhattan-ny-10003/281895284777165253/","99 E 4th St")</f>
        <v>99 E 4th St</v>
      </c>
      <c r="F5371" s="25" t="s">
        <v>24</v>
      </c>
      <c r="G5371" s="28">
        <v>1149000.0</v>
      </c>
      <c r="H5371" s="29"/>
      <c r="I5371" s="28">
        <v>1339.0</v>
      </c>
      <c r="J5371" s="29"/>
      <c r="K5371" s="25" t="s">
        <v>25</v>
      </c>
      <c r="L5371" s="26">
        <v>6.0</v>
      </c>
      <c r="M5371" s="26">
        <v>2.0</v>
      </c>
      <c r="N5371" s="30"/>
      <c r="O5371" s="30"/>
      <c r="P5371" s="30"/>
      <c r="Q5371" s="35">
        <v>119.0</v>
      </c>
      <c r="R5371" s="32">
        <v>42477.0</v>
      </c>
      <c r="S5371" s="32">
        <v>39701.0</v>
      </c>
      <c r="T5371" s="29"/>
      <c r="U5371" s="33"/>
      <c r="V5371" s="1"/>
    </row>
    <row r="5372" ht="24.0" customHeight="1">
      <c r="A5372" s="1"/>
      <c r="B5372" s="24" t="str">
        <f>HYPERLINK("https://www.compass.com/listing/372-central-park-west-unit-6p-manhattan-ny-10025/1809609412763716865/view?agent_id=610d3f3370540700019b0833","372 Central Park W, Unit 6P")</f>
        <v>372 Central Park W, Unit 6P</v>
      </c>
      <c r="C5372" s="25" t="s">
        <v>364</v>
      </c>
      <c r="D5372" s="26" t="s">
        <v>23</v>
      </c>
      <c r="E5372" s="27" t="str">
        <f>HYPERLINK("https://www.compass.com/building/the-vaux-manhattan-ny/281971584409886197/","THE VAUX")</f>
        <v>THE VAUX</v>
      </c>
      <c r="F5372" s="25" t="s">
        <v>29</v>
      </c>
      <c r="G5372" s="28">
        <v>1785000.0</v>
      </c>
      <c r="H5372" s="28">
        <v>1564.0</v>
      </c>
      <c r="I5372" s="28">
        <v>1143.0</v>
      </c>
      <c r="J5372" s="28">
        <v>4464.0</v>
      </c>
      <c r="K5372" s="25" t="s">
        <v>28</v>
      </c>
      <c r="L5372" s="26">
        <v>4.0</v>
      </c>
      <c r="M5372" s="26">
        <v>2.0</v>
      </c>
      <c r="N5372" s="26">
        <v>0.0</v>
      </c>
      <c r="O5372" s="26">
        <v>0.0</v>
      </c>
      <c r="P5372" s="34">
        <v>1141.0</v>
      </c>
      <c r="Q5372" s="35">
        <v>18.0</v>
      </c>
      <c r="R5372" s="32">
        <v>44581.0</v>
      </c>
      <c r="S5372" s="32">
        <v>42624.0</v>
      </c>
      <c r="T5372" s="29"/>
      <c r="U5372" s="33"/>
      <c r="V5372" s="1"/>
    </row>
    <row r="5373" ht="24.0" customHeight="1">
      <c r="A5373" s="1"/>
      <c r="B5373" s="24" t="str">
        <f>HYPERLINK("https://www.compass.com/listing/565-broadway-unit-6w-manhattan-ny-10012/1838985546668949169/view?agent_id=610d3f3370540700019b0833","565 Broadway, Unit 6W")</f>
        <v>565 Broadway, Unit 6W</v>
      </c>
      <c r="C5373" s="25" t="s">
        <v>364</v>
      </c>
      <c r="D5373" s="26" t="s">
        <v>23</v>
      </c>
      <c r="E5373" s="27" t="str">
        <f t="shared" ref="E5373:E5374" si="256">HYPERLINK("https://www.compass.com/building/prince-tower-building-manhattan-ny/281915593311941637/","Prince Tower Building")</f>
        <v>Prince Tower Building</v>
      </c>
      <c r="F5373" s="25" t="s">
        <v>53</v>
      </c>
      <c r="G5373" s="28">
        <v>1995000.0</v>
      </c>
      <c r="H5373" s="29"/>
      <c r="I5373" s="28">
        <v>2531.0</v>
      </c>
      <c r="J5373" s="29"/>
      <c r="K5373" s="25" t="s">
        <v>25</v>
      </c>
      <c r="L5373" s="26">
        <v>5.0</v>
      </c>
      <c r="M5373" s="26">
        <v>2.0</v>
      </c>
      <c r="N5373" s="26">
        <v>0.0</v>
      </c>
      <c r="O5373" s="26">
        <v>0.0</v>
      </c>
      <c r="P5373" s="30"/>
      <c r="Q5373" s="35">
        <v>687.0</v>
      </c>
      <c r="R5373" s="32">
        <v>44581.0</v>
      </c>
      <c r="S5373" s="32">
        <v>41240.0</v>
      </c>
      <c r="T5373" s="29"/>
      <c r="U5373" s="33"/>
      <c r="V5373" s="1"/>
    </row>
    <row r="5374" ht="24.0" customHeight="1">
      <c r="A5374" s="1"/>
      <c r="B5374" s="24" t="str">
        <f>HYPERLINK("https://www.compass.com/listing/565-broadway-unit-6w-manhattan-ny-10012/4852276657521695809/view?agent_id=610d3f3370540700019b0833","565 Broadway, Unit 6W")</f>
        <v>565 Broadway, Unit 6W</v>
      </c>
      <c r="C5374" s="25" t="s">
        <v>364</v>
      </c>
      <c r="D5374" s="26" t="s">
        <v>23</v>
      </c>
      <c r="E5374" s="27" t="str">
        <f t="shared" si="256"/>
        <v>Prince Tower Building</v>
      </c>
      <c r="F5374" s="25" t="s">
        <v>53</v>
      </c>
      <c r="G5374" s="28">
        <v>1995000.0</v>
      </c>
      <c r="H5374" s="29"/>
      <c r="I5374" s="28">
        <v>2531.0</v>
      </c>
      <c r="J5374" s="29"/>
      <c r="K5374" s="25" t="s">
        <v>25</v>
      </c>
      <c r="L5374" s="26">
        <v>5.0</v>
      </c>
      <c r="M5374" s="26">
        <v>2.0</v>
      </c>
      <c r="N5374" s="26">
        <v>0.0</v>
      </c>
      <c r="O5374" s="26">
        <v>0.0</v>
      </c>
      <c r="P5374" s="30"/>
      <c r="Q5374" s="35">
        <v>1750.0</v>
      </c>
      <c r="R5374" s="32">
        <v>44581.0</v>
      </c>
      <c r="S5374" s="32">
        <v>41186.0</v>
      </c>
      <c r="T5374" s="29"/>
      <c r="U5374" s="33"/>
      <c r="V5374" s="1"/>
    </row>
    <row r="5375" ht="24.0" customHeight="1">
      <c r="A5375" s="1"/>
      <c r="B5375" s="24" t="str">
        <f>HYPERLINK("https://www.compass.com/listing/280-park-avenue-south-unit-18j-manhattan-ny-10010/1838886234508751521/view?agent_id=610d3f3370540700019b0833","280 Park Ave S, Unit 18J")</f>
        <v>280 Park Ave S, Unit 18J</v>
      </c>
      <c r="C5375" s="25" t="s">
        <v>364</v>
      </c>
      <c r="D5375" s="26" t="s">
        <v>23</v>
      </c>
      <c r="E5375" s="27" t="str">
        <f>HYPERLINK("https://www.compass.com/building/the-gramercy-place-condo-manhattan-ny/294845589128497029/","The Gramercy Place Condo")</f>
        <v>The Gramercy Place Condo</v>
      </c>
      <c r="F5375" s="25" t="s">
        <v>115</v>
      </c>
      <c r="G5375" s="28">
        <v>2249000.0</v>
      </c>
      <c r="H5375" s="28">
        <v>1860.0</v>
      </c>
      <c r="I5375" s="28">
        <v>3142.0</v>
      </c>
      <c r="J5375" s="28">
        <v>22848.0</v>
      </c>
      <c r="K5375" s="25" t="s">
        <v>28</v>
      </c>
      <c r="L5375" s="26">
        <v>4.0</v>
      </c>
      <c r="M5375" s="26">
        <v>2.0</v>
      </c>
      <c r="N5375" s="26">
        <v>0.0</v>
      </c>
      <c r="O5375" s="26">
        <v>0.0</v>
      </c>
      <c r="P5375" s="34">
        <v>1209.0</v>
      </c>
      <c r="Q5375" s="35">
        <v>277.0</v>
      </c>
      <c r="R5375" s="32">
        <v>45636.0</v>
      </c>
      <c r="S5375" s="32">
        <v>42250.0</v>
      </c>
      <c r="T5375" s="29"/>
      <c r="U5375" s="33"/>
      <c r="V5375" s="1"/>
    </row>
    <row r="5376" ht="24.0" customHeight="1">
      <c r="A5376" s="1"/>
      <c r="B5376" s="24" t="str">
        <f>HYPERLINK("https://www.compass.com/listing/140-7th-avenue-unit-4m-manhattan-ny-10011/29372005782402913/view?agent_id=610d3f3370540700019b0833","140 7th Ave, Unit 4M")</f>
        <v>140 7th Ave, Unit 4M</v>
      </c>
      <c r="C5376" s="25" t="s">
        <v>370</v>
      </c>
      <c r="D5376" s="26" t="s">
        <v>23</v>
      </c>
      <c r="E5376" s="27" t="str">
        <f>HYPERLINK("https://www.compass.com/building/chadwin-house-manhattan-ny/281905329866819621/","Chadwin House")</f>
        <v>Chadwin House</v>
      </c>
      <c r="F5376" s="25" t="s">
        <v>27</v>
      </c>
      <c r="G5376" s="28">
        <v>925000.0</v>
      </c>
      <c r="H5376" s="28">
        <v>1175.0</v>
      </c>
      <c r="I5376" s="28">
        <v>480.0</v>
      </c>
      <c r="J5376" s="28">
        <v>5760.0</v>
      </c>
      <c r="K5376" s="25" t="s">
        <v>28</v>
      </c>
      <c r="L5376" s="26">
        <v>4.0</v>
      </c>
      <c r="M5376" s="26">
        <v>2.0</v>
      </c>
      <c r="N5376" s="26">
        <v>1.0</v>
      </c>
      <c r="O5376" s="26">
        <v>0.0</v>
      </c>
      <c r="P5376" s="26">
        <v>787.0</v>
      </c>
      <c r="Q5376" s="35">
        <v>0.0</v>
      </c>
      <c r="R5376" s="32">
        <v>44581.0</v>
      </c>
      <c r="S5376" s="32">
        <v>41538.0</v>
      </c>
      <c r="T5376" s="29"/>
      <c r="U5376" s="33"/>
      <c r="V5376" s="1"/>
    </row>
    <row r="5377" ht="24.0" customHeight="1">
      <c r="A5377" s="1"/>
      <c r="B5377" s="24" t="str">
        <f>HYPERLINK("https://www.compass.com/listing/133-mercer-street-unit-2-manhattan-ny-10012/921604428837828945/view?agent_id=610d3f3370540700019b0833","133 Mercer St, Unit 2")</f>
        <v>133 Mercer St, Unit 2</v>
      </c>
      <c r="C5377" s="25" t="s">
        <v>364</v>
      </c>
      <c r="D5377" s="26" t="s">
        <v>23</v>
      </c>
      <c r="E5377" s="27" t="str">
        <f>HYPERLINK("https://www.compass.com/building/133-mercer-st-manhattan-ny-10012/281912887423821765/","133 Mercer St")</f>
        <v>133 Mercer St</v>
      </c>
      <c r="F5377" s="25" t="s">
        <v>53</v>
      </c>
      <c r="G5377" s="28">
        <v>2495000.0</v>
      </c>
      <c r="H5377" s="28">
        <v>1782.0</v>
      </c>
      <c r="I5377" s="28">
        <v>2025.0</v>
      </c>
      <c r="J5377" s="29"/>
      <c r="K5377" s="25" t="s">
        <v>25</v>
      </c>
      <c r="L5377" s="26">
        <v>4.0</v>
      </c>
      <c r="M5377" s="26">
        <v>2.0</v>
      </c>
      <c r="N5377" s="26">
        <v>1.0</v>
      </c>
      <c r="O5377" s="26">
        <v>0.0</v>
      </c>
      <c r="P5377" s="34">
        <v>1400.0</v>
      </c>
      <c r="Q5377" s="31"/>
      <c r="R5377" s="32">
        <v>45636.0</v>
      </c>
      <c r="S5377" s="33"/>
      <c r="T5377" s="29"/>
      <c r="U5377" s="33"/>
      <c r="V5377" s="1"/>
    </row>
    <row r="5378" ht="24.0" customHeight="1">
      <c r="A5378" s="1"/>
      <c r="B5378" s="24" t="str">
        <f>HYPERLINK("https://www.compass.com/listing/43-great-jones-alley-unit-4-manhattan-ny-10012/803387418358707585/view?agent_id=610d3f3370540700019b0833","43 Great Jones Alley, Unit 4")</f>
        <v>43 Great Jones Alley, Unit 4</v>
      </c>
      <c r="C5378" s="25" t="s">
        <v>364</v>
      </c>
      <c r="D5378" s="26" t="s">
        <v>23</v>
      </c>
      <c r="E5378" s="26" t="s">
        <v>455</v>
      </c>
      <c r="F5378" s="25" t="s">
        <v>57</v>
      </c>
      <c r="G5378" s="28">
        <v>3100000.0</v>
      </c>
      <c r="H5378" s="28">
        <v>1348.0</v>
      </c>
      <c r="I5378" s="28">
        <v>1800.0</v>
      </c>
      <c r="J5378" s="29"/>
      <c r="K5378" s="25" t="s">
        <v>25</v>
      </c>
      <c r="L5378" s="26">
        <v>6.0</v>
      </c>
      <c r="M5378" s="26">
        <v>2.0</v>
      </c>
      <c r="N5378" s="26">
        <v>0.0</v>
      </c>
      <c r="O5378" s="26">
        <v>0.0</v>
      </c>
      <c r="P5378" s="34">
        <v>2300.0</v>
      </c>
      <c r="Q5378" s="35">
        <v>17.0</v>
      </c>
      <c r="R5378" s="32">
        <v>44581.0</v>
      </c>
      <c r="S5378" s="32">
        <v>41348.0</v>
      </c>
      <c r="T5378" s="29"/>
      <c r="U5378" s="33"/>
      <c r="V5378" s="1"/>
    </row>
    <row r="5379" ht="24.0" customHeight="1">
      <c r="A5379" s="1"/>
      <c r="B5379" s="24" t="str">
        <f>HYPERLINK("https://www.compass.com/listing/467-pacific-street-unit-17-brooklyn-ny-11217/74567374023541761/view?agent_id=610d3f3370540700019b0833","467 Pacific St, Unit 17")</f>
        <v>467 Pacific St, Unit 17</v>
      </c>
      <c r="C5379" s="25" t="s">
        <v>364</v>
      </c>
      <c r="D5379" s="26" t="s">
        <v>23</v>
      </c>
      <c r="E5379" s="27" t="str">
        <f>HYPERLINK("https://www.compass.com/building/467-pacific-st-brooklyn-ny-11217/282501770767316485/","467 Pacific St")</f>
        <v>467 Pacific St</v>
      </c>
      <c r="F5379" s="25" t="s">
        <v>102</v>
      </c>
      <c r="G5379" s="28">
        <v>629000.0</v>
      </c>
      <c r="H5379" s="29"/>
      <c r="I5379" s="28">
        <v>976.0</v>
      </c>
      <c r="J5379" s="29"/>
      <c r="K5379" s="25" t="s">
        <v>25</v>
      </c>
      <c r="L5379" s="26">
        <v>4.0</v>
      </c>
      <c r="M5379" s="26">
        <v>2.0</v>
      </c>
      <c r="N5379" s="26">
        <v>1.0</v>
      </c>
      <c r="O5379" s="26">
        <v>0.0</v>
      </c>
      <c r="P5379" s="30"/>
      <c r="Q5379" s="35">
        <v>134.0</v>
      </c>
      <c r="R5379" s="32">
        <v>45636.0</v>
      </c>
      <c r="S5379" s="32">
        <v>43354.0</v>
      </c>
      <c r="T5379" s="29"/>
      <c r="U5379" s="33"/>
      <c r="V5379" s="1"/>
    </row>
    <row r="5380" ht="24.0" customHeight="1">
      <c r="A5380" s="1"/>
      <c r="B5380" s="24" t="str">
        <f>HYPERLINK("https://www.compass.com/listing/13-west-13th-street-unit-3js-manhattan-ny-10011/29366176622669649/view?agent_id=610d3f3370540700019b0833","13 W 13th St, Unit 3JS")</f>
        <v>13 W 13th St, Unit 3JS</v>
      </c>
      <c r="C5380" s="25" t="s">
        <v>364</v>
      </c>
      <c r="D5380" s="26" t="s">
        <v>23</v>
      </c>
      <c r="E5380" s="27" t="str">
        <f>HYPERLINK("https://www.compass.com/building/the-norville-house-manhattan-ny/292801098475923429/","The Norville House")</f>
        <v>The Norville House</v>
      </c>
      <c r="F5380" s="25" t="s">
        <v>43</v>
      </c>
      <c r="G5380" s="28">
        <v>650000.0</v>
      </c>
      <c r="H5380" s="28">
        <v>722.0</v>
      </c>
      <c r="I5380" s="29"/>
      <c r="J5380" s="29"/>
      <c r="K5380" s="25" t="s">
        <v>25</v>
      </c>
      <c r="L5380" s="26">
        <v>4.0</v>
      </c>
      <c r="M5380" s="26">
        <v>2.0</v>
      </c>
      <c r="N5380" s="30"/>
      <c r="O5380" s="30"/>
      <c r="P5380" s="26">
        <v>900.0</v>
      </c>
      <c r="Q5380" s="35">
        <v>85.0</v>
      </c>
      <c r="R5380" s="32">
        <v>42915.0</v>
      </c>
      <c r="S5380" s="32">
        <v>38098.0</v>
      </c>
      <c r="T5380" s="29"/>
      <c r="U5380" s="33"/>
      <c r="V5380" s="1"/>
    </row>
    <row r="5381" ht="24.0" customHeight="1">
      <c r="A5381" s="1"/>
      <c r="B5381" s="24" t="str">
        <f>HYPERLINK("https://www.compass.com/listing/99-east-4th-street-unit-6k-manhattan-ny-10003/50857865002437681/view?agent_id=610d3f3370540700019b0833","99 E 4th St, Unit 6K")</f>
        <v>99 E 4th St, Unit 6K</v>
      </c>
      <c r="C5381" s="25" t="s">
        <v>364</v>
      </c>
      <c r="D5381" s="26" t="s">
        <v>23</v>
      </c>
      <c r="E5381" s="27" t="str">
        <f>HYPERLINK("https://www.compass.com/building/99-e-4th-st-manhattan-ny-10003/281895284777165253/","99 E 4th St")</f>
        <v>99 E 4th St</v>
      </c>
      <c r="F5381" s="25" t="s">
        <v>24</v>
      </c>
      <c r="G5381" s="28">
        <v>1250000.0</v>
      </c>
      <c r="H5381" s="29"/>
      <c r="I5381" s="28">
        <v>1572.0</v>
      </c>
      <c r="J5381" s="29"/>
      <c r="K5381" s="25" t="s">
        <v>25</v>
      </c>
      <c r="L5381" s="26">
        <v>4.0</v>
      </c>
      <c r="M5381" s="26">
        <v>2.0</v>
      </c>
      <c r="N5381" s="26">
        <v>0.0</v>
      </c>
      <c r="O5381" s="26">
        <v>0.0</v>
      </c>
      <c r="P5381" s="30"/>
      <c r="Q5381" s="35">
        <v>116.0</v>
      </c>
      <c r="R5381" s="32">
        <v>44581.0</v>
      </c>
      <c r="S5381" s="32">
        <v>42114.0</v>
      </c>
      <c r="T5381" s="29"/>
      <c r="U5381" s="33"/>
      <c r="V5381" s="1"/>
    </row>
    <row r="5382" ht="24.0" customHeight="1">
      <c r="A5382" s="1"/>
      <c r="B5382" s="24" t="str">
        <f>HYPERLINK("https://www.compass.com/listing/51-st-marks-place-unit-10-manhattan-ny-10003/1238429863719002265/view?agent_id=610d3f3370540700019b0833","51 St Marks Pl, Unit 10")</f>
        <v>51 St Marks Pl, Unit 10</v>
      </c>
      <c r="C5382" s="25" t="s">
        <v>364</v>
      </c>
      <c r="D5382" s="26" t="s">
        <v>23</v>
      </c>
      <c r="E5382" s="27" t="str">
        <f>HYPERLINK("https://www.compass.com/building/51-st-marks-pl-manhattan-ny-10003/281893901151771493/","51 St Marks Pl")</f>
        <v>51 St Marks Pl</v>
      </c>
      <c r="F5382" s="25" t="s">
        <v>24</v>
      </c>
      <c r="G5382" s="28">
        <v>850000.0</v>
      </c>
      <c r="H5382" s="28">
        <v>988.0</v>
      </c>
      <c r="I5382" s="28">
        <v>750.0</v>
      </c>
      <c r="J5382" s="29"/>
      <c r="K5382" s="25" t="s">
        <v>25</v>
      </c>
      <c r="L5382" s="26">
        <v>4.0</v>
      </c>
      <c r="M5382" s="26">
        <v>2.0</v>
      </c>
      <c r="N5382" s="26">
        <v>1.0</v>
      </c>
      <c r="O5382" s="26">
        <v>0.0</v>
      </c>
      <c r="P5382" s="26">
        <v>860.0</v>
      </c>
      <c r="Q5382" s="35">
        <v>122.0</v>
      </c>
      <c r="R5382" s="32">
        <v>45636.0</v>
      </c>
      <c r="S5382" s="32">
        <v>44960.0</v>
      </c>
      <c r="T5382" s="29"/>
      <c r="U5382" s="33"/>
      <c r="V5382" s="1"/>
    </row>
    <row r="5383" ht="24.0" customHeight="1">
      <c r="A5383" s="1"/>
      <c r="B5383" s="24" t="str">
        <f>HYPERLINK("https://www.compass.com/listing/165-west-66th-street-unit-19e-manhattan-ny-10023/920929887304814465/view?agent_id=610d3f3370540700019b0833","165 W 66th St, Unit 19E")</f>
        <v>165 W 66th St, Unit 19E</v>
      </c>
      <c r="C5383" s="25" t="s">
        <v>364</v>
      </c>
      <c r="D5383" s="26" t="s">
        <v>23</v>
      </c>
      <c r="E5383" s="27" t="str">
        <f>HYPERLINK("https://www.compass.com/building/lincoln-terrace-manhattan-ny/281957165508400581/","Lincoln Terrace")</f>
        <v>Lincoln Terrace</v>
      </c>
      <c r="F5383" s="25" t="s">
        <v>29</v>
      </c>
      <c r="G5383" s="28">
        <v>975000.0</v>
      </c>
      <c r="H5383" s="29"/>
      <c r="I5383" s="28">
        <v>1857.0</v>
      </c>
      <c r="J5383" s="29"/>
      <c r="K5383" s="25" t="s">
        <v>25</v>
      </c>
      <c r="L5383" s="26">
        <v>4.0</v>
      </c>
      <c r="M5383" s="26">
        <v>2.0</v>
      </c>
      <c r="N5383" s="26">
        <v>1.0</v>
      </c>
      <c r="O5383" s="26">
        <v>0.0</v>
      </c>
      <c r="P5383" s="30"/>
      <c r="Q5383" s="35">
        <v>1225.0</v>
      </c>
      <c r="R5383" s="32">
        <v>45636.0</v>
      </c>
      <c r="S5383" s="32">
        <v>43355.0</v>
      </c>
      <c r="T5383" s="29"/>
      <c r="U5383" s="33"/>
      <c r="V5383" s="1"/>
    </row>
    <row r="5384" ht="24.0" customHeight="1">
      <c r="A5384" s="1"/>
      <c r="B5384" s="24" t="str">
        <f>HYPERLINK("https://www.compass.com/listing/69-west-9th-street-unit-9f-manhattan-ny-10011/1543319895891866537/view?agent_id=610d3f3370540700019b0833","69 W 9th St, Unit 9F")</f>
        <v>69 W 9th St, Unit 9F</v>
      </c>
      <c r="C5384" s="25" t="s">
        <v>364</v>
      </c>
      <c r="D5384" s="26" t="s">
        <v>23</v>
      </c>
      <c r="E5384" s="27" t="str">
        <f>HYPERLINK("https://www.compass.com/building/69-w-9th-st-manhattan-ny-10011/282061360903261253/","69 W 9th St")</f>
        <v>69 W 9th St</v>
      </c>
      <c r="F5384" s="25" t="s">
        <v>43</v>
      </c>
      <c r="G5384" s="28">
        <v>1495000.0</v>
      </c>
      <c r="H5384" s="29"/>
      <c r="I5384" s="28">
        <v>2263.0</v>
      </c>
      <c r="J5384" s="29"/>
      <c r="K5384" s="25" t="s">
        <v>25</v>
      </c>
      <c r="L5384" s="26">
        <v>4.0</v>
      </c>
      <c r="M5384" s="26">
        <v>2.0</v>
      </c>
      <c r="N5384" s="26">
        <v>1.0</v>
      </c>
      <c r="O5384" s="30"/>
      <c r="P5384" s="30"/>
      <c r="Q5384" s="35">
        <v>149.0</v>
      </c>
      <c r="R5384" s="32">
        <v>45476.0</v>
      </c>
      <c r="S5384" s="32">
        <v>45397.0</v>
      </c>
      <c r="T5384" s="29"/>
      <c r="U5384" s="33"/>
      <c r="V5384" s="1"/>
    </row>
    <row r="5385" ht="24.0" customHeight="1">
      <c r="A5385" s="1"/>
      <c r="B5385" s="24" t="str">
        <f>HYPERLINK("https://www.compass.com/listing/126-east-12th-street-unit-3a-manhattan-ny-10003/4848429342721586145/view?agent_id=610d3f3370540700019b0833","126 E 12th St, Unit 3A")</f>
        <v>126 E 12th St, Unit 3A</v>
      </c>
      <c r="C5385" s="25" t="s">
        <v>364</v>
      </c>
      <c r="D5385" s="26" t="s">
        <v>23</v>
      </c>
      <c r="E5385" s="27" t="str">
        <f>HYPERLINK("https://www.compass.com/building/126-e-12th-st-manhattan-ny-10003/281889319461848853/","126 E 12th St")</f>
        <v>126 E 12th St</v>
      </c>
      <c r="F5385" s="25" t="s">
        <v>43</v>
      </c>
      <c r="G5385" s="28">
        <v>695000.0</v>
      </c>
      <c r="H5385" s="29"/>
      <c r="I5385" s="29"/>
      <c r="J5385" s="29"/>
      <c r="K5385" s="25" t="s">
        <v>25</v>
      </c>
      <c r="L5385" s="26">
        <v>5.0</v>
      </c>
      <c r="M5385" s="26">
        <v>2.0</v>
      </c>
      <c r="N5385" s="30"/>
      <c r="O5385" s="30"/>
      <c r="P5385" s="30"/>
      <c r="Q5385" s="35">
        <v>49.0</v>
      </c>
      <c r="R5385" s="32">
        <v>42659.0</v>
      </c>
      <c r="S5385" s="32">
        <v>38404.0</v>
      </c>
      <c r="T5385" s="29"/>
      <c r="U5385" s="33"/>
      <c r="V5385" s="1"/>
    </row>
    <row r="5386" ht="24.0" customHeight="1">
      <c r="A5386" s="1"/>
      <c r="B5386" s="24" t="str">
        <f>HYPERLINK("https://www.compass.com/listing/519-broadway-unit-2-manhattan-ny-10012/803312026927329457/view?agent_id=610d3f3370540700019b0833","519 Broadway, Unit 2")</f>
        <v>519 Broadway, Unit 2</v>
      </c>
      <c r="C5386" s="25" t="s">
        <v>364</v>
      </c>
      <c r="D5386" s="26" t="s">
        <v>23</v>
      </c>
      <c r="E5386" s="27" t="str">
        <f>HYPERLINK("https://www.compass.com/building/519-broadway-manhattan-ny-10012/282061182771168341/","519 Broadway")</f>
        <v>519 Broadway</v>
      </c>
      <c r="F5386" s="25" t="s">
        <v>53</v>
      </c>
      <c r="G5386" s="28">
        <v>7500000.0</v>
      </c>
      <c r="H5386" s="28">
        <v>1875.0</v>
      </c>
      <c r="I5386" s="28">
        <v>5009.0</v>
      </c>
      <c r="J5386" s="29"/>
      <c r="K5386" s="25" t="s">
        <v>25</v>
      </c>
      <c r="L5386" s="26">
        <v>6.0</v>
      </c>
      <c r="M5386" s="26">
        <v>2.0</v>
      </c>
      <c r="N5386" s="26">
        <v>0.0</v>
      </c>
      <c r="O5386" s="26">
        <v>0.0</v>
      </c>
      <c r="P5386" s="34">
        <v>4000.0</v>
      </c>
      <c r="Q5386" s="35">
        <v>14.0</v>
      </c>
      <c r="R5386" s="32">
        <v>45636.0</v>
      </c>
      <c r="S5386" s="32">
        <v>41715.0</v>
      </c>
      <c r="T5386" s="29"/>
      <c r="U5386" s="33"/>
      <c r="V5386" s="1"/>
    </row>
    <row r="5387" ht="24.0" customHeight="1">
      <c r="A5387" s="1"/>
      <c r="B5387" s="24" t="str">
        <f>HYPERLINK("https://www.compass.com/listing/126-east-12th-street-unit-4d-manhattan-ny-10003/4848429344390909777/view?agent_id=610d3f3370540700019b0833","126 E 12th St, Unit 4D")</f>
        <v>126 E 12th St, Unit 4D</v>
      </c>
      <c r="C5387" s="25" t="s">
        <v>370</v>
      </c>
      <c r="D5387" s="26" t="s">
        <v>23</v>
      </c>
      <c r="E5387" s="27" t="str">
        <f>HYPERLINK("https://www.compass.com/building/126-e-12th-st-manhattan-ny-10003/281889319461848853/","126 E 12th St")</f>
        <v>126 E 12th St</v>
      </c>
      <c r="F5387" s="25" t="s">
        <v>43</v>
      </c>
      <c r="G5387" s="28">
        <v>750000.0</v>
      </c>
      <c r="H5387" s="29"/>
      <c r="I5387" s="29"/>
      <c r="J5387" s="29"/>
      <c r="K5387" s="25" t="s">
        <v>25</v>
      </c>
      <c r="L5387" s="26">
        <v>5.0</v>
      </c>
      <c r="M5387" s="26">
        <v>2.0</v>
      </c>
      <c r="N5387" s="30"/>
      <c r="O5387" s="30"/>
      <c r="P5387" s="30"/>
      <c r="Q5387" s="35">
        <v>101.0</v>
      </c>
      <c r="R5387" s="32">
        <v>42139.0</v>
      </c>
      <c r="S5387" s="32">
        <v>40352.0</v>
      </c>
      <c r="T5387" s="29"/>
      <c r="U5387" s="33"/>
      <c r="V5387" s="1"/>
    </row>
    <row r="5388" ht="24.0" customHeight="1">
      <c r="A5388" s="1"/>
      <c r="B5388" s="24" t="str">
        <f>HYPERLINK("https://www.compass.com/listing/321-east-12th-street-unit-33-manhattan-ny-10003/183925114440538513/view?agent_id=610d3f3370540700019b0833","321 E 12th St, Unit 33")</f>
        <v>321 E 12th St, Unit 33</v>
      </c>
      <c r="C5388" s="25" t="s">
        <v>370</v>
      </c>
      <c r="D5388" s="26" t="s">
        <v>23</v>
      </c>
      <c r="E5388" s="27" t="str">
        <f>HYPERLINK("https://www.compass.com/building/321-e-12th-st-manhattan-ny-10003/281892460735502037/","321 E 12th St")</f>
        <v>321 E 12th St</v>
      </c>
      <c r="F5388" s="25" t="s">
        <v>24</v>
      </c>
      <c r="G5388" s="28">
        <v>875000.0</v>
      </c>
      <c r="H5388" s="29"/>
      <c r="I5388" s="28">
        <v>1179.0</v>
      </c>
      <c r="J5388" s="29"/>
      <c r="K5388" s="25" t="s">
        <v>25</v>
      </c>
      <c r="L5388" s="26">
        <v>5.0</v>
      </c>
      <c r="M5388" s="26">
        <v>2.0</v>
      </c>
      <c r="N5388" s="26">
        <v>1.0</v>
      </c>
      <c r="O5388" s="26">
        <v>0.0</v>
      </c>
      <c r="P5388" s="30"/>
      <c r="Q5388" s="35">
        <v>73.0</v>
      </c>
      <c r="R5388" s="32">
        <v>45636.0</v>
      </c>
      <c r="S5388" s="32">
        <v>43505.0</v>
      </c>
      <c r="T5388" s="29"/>
      <c r="U5388" s="33"/>
      <c r="V5388" s="1"/>
    </row>
    <row r="5389" ht="24.0" customHeight="1">
      <c r="A5389" s="1"/>
      <c r="B5389" s="24" t="str">
        <f>HYPERLINK("https://www.compass.com/listing/172-east-4th-street-unit-1d-manhattan-ny-10009/4703696616329081825/view?agent_id=610d3f3370540700019b0833","172 E 4th St, Unit 1D")</f>
        <v>172 E 4th St, Unit 1D</v>
      </c>
      <c r="C5389" s="25" t="s">
        <v>364</v>
      </c>
      <c r="D5389" s="26" t="s">
        <v>23</v>
      </c>
      <c r="E5389" s="27" t="str">
        <f>HYPERLINK("https://www.compass.com/building/172-e-4th-st-manhattan-ny-10009/282060150360014629/","172 E 4th St")</f>
        <v>172 E 4th St</v>
      </c>
      <c r="F5389" s="25" t="s">
        <v>24</v>
      </c>
      <c r="G5389" s="28">
        <v>695000.0</v>
      </c>
      <c r="H5389" s="29"/>
      <c r="I5389" s="28">
        <v>1008.0</v>
      </c>
      <c r="J5389" s="29"/>
      <c r="K5389" s="25" t="s">
        <v>25</v>
      </c>
      <c r="L5389" s="26">
        <v>4.0</v>
      </c>
      <c r="M5389" s="26">
        <v>2.0</v>
      </c>
      <c r="N5389" s="30"/>
      <c r="O5389" s="30"/>
      <c r="P5389" s="30"/>
      <c r="Q5389" s="31"/>
      <c r="R5389" s="32">
        <v>42478.0</v>
      </c>
      <c r="S5389" s="33"/>
      <c r="T5389" s="29"/>
      <c r="U5389" s="33"/>
      <c r="V5389" s="1"/>
    </row>
    <row r="5390" ht="24.0" customHeight="1">
      <c r="A5390" s="1"/>
      <c r="B5390" s="24" t="str">
        <f>HYPERLINK("https://www.compass.com/listing/114-spring-street-unit-3-manhattan-ny-10012/803355070762357697/view?agent_id=610d3f3370540700019b0833","114 Spring St, Unit 3")</f>
        <v>114 Spring St, Unit 3</v>
      </c>
      <c r="C5390" s="25" t="s">
        <v>364</v>
      </c>
      <c r="D5390" s="26" t="s">
        <v>23</v>
      </c>
      <c r="E5390" s="27" t="str">
        <f>HYPERLINK("https://www.compass.com/building/114-spring-st-manhattan-ny-10012/281912608469053173/","114 Spring St")</f>
        <v>114 Spring St</v>
      </c>
      <c r="F5390" s="25" t="s">
        <v>53</v>
      </c>
      <c r="G5390" s="28">
        <v>3150000.0</v>
      </c>
      <c r="H5390" s="28">
        <v>1479.0</v>
      </c>
      <c r="I5390" s="28">
        <v>3300.0</v>
      </c>
      <c r="J5390" s="29"/>
      <c r="K5390" s="25" t="s">
        <v>25</v>
      </c>
      <c r="L5390" s="26">
        <v>5.0</v>
      </c>
      <c r="M5390" s="26">
        <v>2.0</v>
      </c>
      <c r="N5390" s="26">
        <v>0.0</v>
      </c>
      <c r="O5390" s="26">
        <v>0.0</v>
      </c>
      <c r="P5390" s="34">
        <v>2130.0</v>
      </c>
      <c r="Q5390" s="35">
        <v>244.0</v>
      </c>
      <c r="R5390" s="32">
        <v>45636.0</v>
      </c>
      <c r="S5390" s="32">
        <v>42752.0</v>
      </c>
      <c r="T5390" s="29"/>
      <c r="U5390" s="33"/>
      <c r="V5390" s="1"/>
    </row>
    <row r="5391" ht="24.0" customHeight="1">
      <c r="A5391" s="1"/>
      <c r="B5391" s="24" t="str">
        <f>HYPERLINK("https://www.compass.com/listing/111-murray-street-unit-27b-manhattan-ny-10007/4778490211975852673/view?agent_id=610d3f3370540700019b0833","111 Murray St, Unit 27B")</f>
        <v>111 Murray St, Unit 27B</v>
      </c>
      <c r="C5391" s="25" t="s">
        <v>364</v>
      </c>
      <c r="D5391" s="26" t="s">
        <v>23</v>
      </c>
      <c r="E5391" s="27" t="str">
        <f>HYPERLINK("https://www.compass.com/building/111-murray-st-manhattan-ny-10007/281896511862746053/","111 Murray St")</f>
        <v>111 Murray St</v>
      </c>
      <c r="F5391" s="25" t="s">
        <v>60</v>
      </c>
      <c r="G5391" s="28">
        <v>4650000.0</v>
      </c>
      <c r="H5391" s="28">
        <v>2956.0</v>
      </c>
      <c r="I5391" s="28">
        <v>4267.0</v>
      </c>
      <c r="J5391" s="28">
        <v>29904.0</v>
      </c>
      <c r="K5391" s="25" t="s">
        <v>28</v>
      </c>
      <c r="L5391" s="26">
        <v>4.0</v>
      </c>
      <c r="M5391" s="26">
        <v>2.0</v>
      </c>
      <c r="N5391" s="26">
        <v>0.0</v>
      </c>
      <c r="O5391" s="26">
        <v>0.0</v>
      </c>
      <c r="P5391" s="34">
        <v>1573.0</v>
      </c>
      <c r="Q5391" s="35">
        <v>47.0</v>
      </c>
      <c r="R5391" s="32">
        <v>45636.0</v>
      </c>
      <c r="S5391" s="32">
        <v>43070.0</v>
      </c>
      <c r="T5391" s="29"/>
      <c r="U5391" s="33"/>
      <c r="V5391" s="1"/>
    </row>
    <row r="5392" ht="24.0" customHeight="1">
      <c r="A5392" s="1"/>
      <c r="B5392" s="24" t="str">
        <f>HYPERLINK("https://www.compass.com/listing/167-spring-street-unit-7-manhattan-ny-10012/4821184497665975089/view?agent_id=610d3f3370540700019b0833","167 Spring St, Unit 7")</f>
        <v>167 Spring St, Unit 7</v>
      </c>
      <c r="C5392" s="25" t="s">
        <v>364</v>
      </c>
      <c r="D5392" s="26" t="s">
        <v>23</v>
      </c>
      <c r="E5392" s="27" t="str">
        <f>HYPERLINK("https://www.compass.com/building/167-spring-st-manhattan-ny-10012/307432079583020133/","167 Spring St")</f>
        <v>167 Spring St</v>
      </c>
      <c r="F5392" s="25" t="s">
        <v>53</v>
      </c>
      <c r="G5392" s="28">
        <v>3100000.0</v>
      </c>
      <c r="H5392" s="28">
        <v>1676.0</v>
      </c>
      <c r="I5392" s="28">
        <v>1712.0</v>
      </c>
      <c r="J5392" s="29"/>
      <c r="K5392" s="25" t="s">
        <v>25</v>
      </c>
      <c r="L5392" s="26">
        <v>5.0</v>
      </c>
      <c r="M5392" s="26">
        <v>2.0</v>
      </c>
      <c r="N5392" s="26">
        <v>0.0</v>
      </c>
      <c r="O5392" s="26">
        <v>0.0</v>
      </c>
      <c r="P5392" s="34">
        <v>1850.0</v>
      </c>
      <c r="Q5392" s="35">
        <v>197.0</v>
      </c>
      <c r="R5392" s="32">
        <v>45636.0</v>
      </c>
      <c r="S5392" s="32">
        <v>42646.0</v>
      </c>
      <c r="T5392" s="29"/>
      <c r="U5392" s="33"/>
      <c r="V5392" s="1"/>
    </row>
    <row r="5393" ht="24.0" customHeight="1">
      <c r="A5393" s="1"/>
      <c r="B5393" s="24" t="str">
        <f>HYPERLINK("https://www.compass.com/listing/318-west-100th-street-unit-1c-manhattan-ny-10025/1838973197765451337/view?agent_id=610d3f3370540700019b0833","318 W 100th St, Unit 1C")</f>
        <v>318 W 100th St, Unit 1C</v>
      </c>
      <c r="C5393" s="25" t="s">
        <v>370</v>
      </c>
      <c r="D5393" s="26" t="s">
        <v>23</v>
      </c>
      <c r="E5393" s="27" t="str">
        <f>HYPERLINK("https://www.compass.com/building/318-w-100th-st-manhattan-ny-10025/281925895772478405/","318 W 100th St")</f>
        <v>318 W 100th St</v>
      </c>
      <c r="F5393" s="25" t="s">
        <v>29</v>
      </c>
      <c r="G5393" s="28">
        <v>1350000.0</v>
      </c>
      <c r="H5393" s="28">
        <v>1213.0</v>
      </c>
      <c r="I5393" s="28">
        <v>1322.0</v>
      </c>
      <c r="J5393" s="28">
        <v>5052.0</v>
      </c>
      <c r="K5393" s="25" t="s">
        <v>28</v>
      </c>
      <c r="L5393" s="26">
        <v>5.0</v>
      </c>
      <c r="M5393" s="26">
        <v>2.0</v>
      </c>
      <c r="N5393" s="26">
        <v>0.0</v>
      </c>
      <c r="O5393" s="26">
        <v>0.0</v>
      </c>
      <c r="P5393" s="34">
        <v>1113.0</v>
      </c>
      <c r="Q5393" s="35">
        <v>239.0</v>
      </c>
      <c r="R5393" s="32">
        <v>45636.0</v>
      </c>
      <c r="S5393" s="32">
        <v>43117.0</v>
      </c>
      <c r="T5393" s="29"/>
      <c r="U5393" s="33"/>
      <c r="V5393" s="1"/>
    </row>
    <row r="5394" ht="24.0" customHeight="1">
      <c r="A5394" s="1"/>
      <c r="B5394" s="24" t="str">
        <f>HYPERLINK("https://www.compass.com/listing/321-east-12th-street-unit-4-manhattan-ny-10003/926537872458960185/view?agent_id=610d3f3370540700019b0833","321 E 12th St, Unit 4")</f>
        <v>321 E 12th St, Unit 4</v>
      </c>
      <c r="C5394" s="25" t="s">
        <v>364</v>
      </c>
      <c r="D5394" s="26" t="s">
        <v>23</v>
      </c>
      <c r="E5394" s="27" t="str">
        <f>HYPERLINK("https://www.compass.com/building/321-e-12th-st-manhattan-ny-10003/281892460735502037/","321 E 12th St")</f>
        <v>321 E 12th St</v>
      </c>
      <c r="F5394" s="25" t="s">
        <v>24</v>
      </c>
      <c r="G5394" s="28">
        <v>824000.0</v>
      </c>
      <c r="H5394" s="29"/>
      <c r="I5394" s="28">
        <v>1036.0</v>
      </c>
      <c r="J5394" s="29"/>
      <c r="K5394" s="25" t="s">
        <v>25</v>
      </c>
      <c r="L5394" s="26">
        <v>4.0</v>
      </c>
      <c r="M5394" s="26">
        <v>2.0</v>
      </c>
      <c r="N5394" s="26">
        <v>1.0</v>
      </c>
      <c r="O5394" s="26">
        <v>0.0</v>
      </c>
      <c r="P5394" s="30"/>
      <c r="Q5394" s="35">
        <v>84.0</v>
      </c>
      <c r="R5394" s="32">
        <v>45636.0</v>
      </c>
      <c r="S5394" s="32">
        <v>44232.0</v>
      </c>
      <c r="T5394" s="29"/>
      <c r="U5394" s="33"/>
      <c r="V5394" s="1"/>
    </row>
    <row r="5395" ht="24.0" customHeight="1">
      <c r="A5395" s="1"/>
      <c r="B5395" s="24" t="str">
        <f>HYPERLINK("https://www.compass.com/listing/121-prince-street-unit-2-manhattan-ny-10012/1042649085946620993/view?agent_id=610d3f3370540700019b0833","121 Prince St, Unit 2")</f>
        <v>121 Prince St, Unit 2</v>
      </c>
      <c r="C5395" s="25" t="s">
        <v>370</v>
      </c>
      <c r="D5395" s="26" t="s">
        <v>23</v>
      </c>
      <c r="E5395" s="27" t="str">
        <f>HYPERLINK("https://www.compass.com/building/121-prince-st-manhattan-ny-10012/989001125529590757/","121 Prince St")</f>
        <v>121 Prince St</v>
      </c>
      <c r="F5395" s="25" t="s">
        <v>53</v>
      </c>
      <c r="G5395" s="28">
        <v>3950000.0</v>
      </c>
      <c r="H5395" s="28">
        <v>1580.0</v>
      </c>
      <c r="I5395" s="28">
        <v>2950.0</v>
      </c>
      <c r="J5395" s="29"/>
      <c r="K5395" s="25" t="s">
        <v>25</v>
      </c>
      <c r="L5395" s="26">
        <v>4.0</v>
      </c>
      <c r="M5395" s="26">
        <v>2.0</v>
      </c>
      <c r="N5395" s="26">
        <v>1.0</v>
      </c>
      <c r="O5395" s="26">
        <v>0.0</v>
      </c>
      <c r="P5395" s="34">
        <v>2500.0</v>
      </c>
      <c r="Q5395" s="35">
        <v>186.0</v>
      </c>
      <c r="R5395" s="32">
        <v>44877.0</v>
      </c>
      <c r="S5395" s="32">
        <v>44690.0</v>
      </c>
      <c r="T5395" s="29"/>
      <c r="U5395" s="33"/>
      <c r="V5395" s="1"/>
    </row>
    <row r="5396" ht="24.0" customHeight="1">
      <c r="A5396" s="1"/>
      <c r="B5396" s="24" t="str">
        <f>HYPERLINK("https://www.compass.com/listing/65-west-107th-street-unit-3a-manhattan-ny-10025/121714302649398321/view?agent_id=610d3f3370540700019b0833","65 W 107th St, Unit 3A")</f>
        <v>65 W 107th St, Unit 3A</v>
      </c>
      <c r="C5396" s="25" t="s">
        <v>370</v>
      </c>
      <c r="D5396" s="26" t="s">
        <v>23</v>
      </c>
      <c r="E5396" s="27" t="str">
        <f>HYPERLINK("https://www.compass.com/building/65-w-107th-st-manhattan-ny-10025/282066496291642261/","65 W 107th St")</f>
        <v>65 W 107th St</v>
      </c>
      <c r="F5396" s="25" t="s">
        <v>29</v>
      </c>
      <c r="G5396" s="28">
        <v>759000.0</v>
      </c>
      <c r="H5396" s="28">
        <v>1224.0</v>
      </c>
      <c r="I5396" s="28">
        <v>1029.0</v>
      </c>
      <c r="J5396" s="28">
        <v>4644.0</v>
      </c>
      <c r="K5396" s="25" t="s">
        <v>28</v>
      </c>
      <c r="L5396" s="26">
        <v>4.0</v>
      </c>
      <c r="M5396" s="26">
        <v>2.0</v>
      </c>
      <c r="N5396" s="26">
        <v>1.0</v>
      </c>
      <c r="O5396" s="26">
        <v>0.0</v>
      </c>
      <c r="P5396" s="26">
        <v>620.0</v>
      </c>
      <c r="Q5396" s="35">
        <v>48.0</v>
      </c>
      <c r="R5396" s="32">
        <v>45636.0</v>
      </c>
      <c r="S5396" s="32">
        <v>43419.0</v>
      </c>
      <c r="T5396" s="29"/>
      <c r="U5396" s="33"/>
      <c r="V5396" s="1"/>
    </row>
    <row r="5397" ht="24.0" customHeight="1">
      <c r="A5397" s="1"/>
      <c r="B5397" s="24" t="str">
        <f>HYPERLINK("https://www.compass.com/listing/121-west-20th-street-unit-4b-manhattan-ny-10011/1838904046518150897/view?agent_id=610d3f3370540700019b0833","121 W 20th St, Unit 4B")</f>
        <v>121 W 20th St, Unit 4B</v>
      </c>
      <c r="C5397" s="25" t="s">
        <v>370</v>
      </c>
      <c r="D5397" s="26" t="s">
        <v>23</v>
      </c>
      <c r="E5397" s="27" t="str">
        <f>HYPERLINK("https://www.compass.com/building/121-w-20th-st-manhattan-ny-10011/281904745642215397/","121 W 20th St")</f>
        <v>121 W 20th St</v>
      </c>
      <c r="F5397" s="25" t="s">
        <v>27</v>
      </c>
      <c r="G5397" s="28">
        <v>1295000.0</v>
      </c>
      <c r="H5397" s="28">
        <v>762.0</v>
      </c>
      <c r="I5397" s="28">
        <v>1443.0</v>
      </c>
      <c r="J5397" s="28">
        <v>7344.0</v>
      </c>
      <c r="K5397" s="25" t="s">
        <v>28</v>
      </c>
      <c r="L5397" s="26">
        <v>4.0</v>
      </c>
      <c r="M5397" s="26">
        <v>2.0</v>
      </c>
      <c r="N5397" s="30"/>
      <c r="O5397" s="30"/>
      <c r="P5397" s="34">
        <v>1700.0</v>
      </c>
      <c r="Q5397" s="31"/>
      <c r="R5397" s="32">
        <v>41538.0</v>
      </c>
      <c r="S5397" s="33"/>
      <c r="T5397" s="29"/>
      <c r="U5397" s="33"/>
      <c r="V5397" s="1"/>
    </row>
    <row r="5398" ht="24.0" customHeight="1">
      <c r="A5398" s="1"/>
      <c r="B5398" s="24" t="str">
        <f>HYPERLINK("https://www.compass.com/listing/234-east-23rd-street-unit-4c-manhattan-ny-10010/1861843534451269441/view?agent_id=610d3f3370540700019b0833","234 E 23rd St, Unit 4C")</f>
        <v>234 E 23rd St, Unit 4C</v>
      </c>
      <c r="C5398" s="25" t="s">
        <v>364</v>
      </c>
      <c r="D5398" s="26" t="s">
        <v>23</v>
      </c>
      <c r="E5398" s="27" t="str">
        <f>HYPERLINK("https://www.compass.com/building/234-e-23rd-st-manhattan-ny-10010/281902437273452789/","234 E 23rd St")</f>
        <v>234 E 23rd St</v>
      </c>
      <c r="F5398" s="25" t="s">
        <v>48</v>
      </c>
      <c r="G5398" s="28">
        <v>1690000.0</v>
      </c>
      <c r="H5398" s="28">
        <v>1649.0</v>
      </c>
      <c r="I5398" s="28">
        <v>2596.0</v>
      </c>
      <c r="J5398" s="28">
        <v>18516.0</v>
      </c>
      <c r="K5398" s="25" t="s">
        <v>28</v>
      </c>
      <c r="L5398" s="26">
        <v>4.0</v>
      </c>
      <c r="M5398" s="26">
        <v>2.0</v>
      </c>
      <c r="N5398" s="30"/>
      <c r="O5398" s="30"/>
      <c r="P5398" s="34">
        <v>1025.0</v>
      </c>
      <c r="Q5398" s="35">
        <v>164.0</v>
      </c>
      <c r="R5398" s="32">
        <v>43693.0</v>
      </c>
      <c r="S5398" s="32">
        <v>43526.0</v>
      </c>
      <c r="T5398" s="29"/>
      <c r="U5398" s="33"/>
      <c r="V5398" s="1"/>
    </row>
    <row r="5399" ht="24.0" customHeight="1">
      <c r="A5399" s="1"/>
      <c r="B5399" s="24" t="str">
        <f>HYPERLINK("https://www.compass.com/listing/54-west-16th-street-unit-9d-manhattan-ny-10011/482394307731597057/view?agent_id=610d3f3370540700019b0833","54 W 16th St, Unit 9D")</f>
        <v>54 W 16th St, Unit 9D</v>
      </c>
      <c r="C5399" s="25" t="s">
        <v>364</v>
      </c>
      <c r="D5399" s="26" t="s">
        <v>23</v>
      </c>
      <c r="E5399" s="27" t="str">
        <f>HYPERLINK("https://www.compass.com/building/greenwich-house-manhattan-ny/282066754283278949/","Greenwich House")</f>
        <v>Greenwich House</v>
      </c>
      <c r="F5399" s="25" t="s">
        <v>115</v>
      </c>
      <c r="G5399" s="28">
        <v>1375000.0</v>
      </c>
      <c r="H5399" s="29"/>
      <c r="I5399" s="28">
        <v>1471.0</v>
      </c>
      <c r="J5399" s="29"/>
      <c r="K5399" s="25" t="s">
        <v>25</v>
      </c>
      <c r="L5399" s="26">
        <v>4.0</v>
      </c>
      <c r="M5399" s="26">
        <v>2.0</v>
      </c>
      <c r="N5399" s="26">
        <v>1.0</v>
      </c>
      <c r="O5399" s="26">
        <v>0.0</v>
      </c>
      <c r="P5399" s="30"/>
      <c r="Q5399" s="35">
        <v>306.0</v>
      </c>
      <c r="R5399" s="32">
        <v>45636.0</v>
      </c>
      <c r="S5399" s="32">
        <v>43916.0</v>
      </c>
      <c r="T5399" s="29"/>
      <c r="U5399" s="33"/>
      <c r="V5399" s="1"/>
    </row>
    <row r="5400" ht="24.0" customHeight="1">
      <c r="A5400" s="1"/>
      <c r="B5400" s="24" t="str">
        <f>HYPERLINK("https://www.compass.com/listing/111-murray-street-unit-28a-manhattan-ny-10007/368008876476917505/view?agent_id=610d3f3370540700019b0833","111 Murray St, Unit 28A")</f>
        <v>111 Murray St, Unit 28A</v>
      </c>
      <c r="C5400" s="25" t="s">
        <v>364</v>
      </c>
      <c r="D5400" s="26" t="s">
        <v>23</v>
      </c>
      <c r="E5400" s="27" t="str">
        <f>HYPERLINK("https://www.compass.com/building/111-murray-st-manhattan-ny-10007/281896511862746053/","111 Murray St")</f>
        <v>111 Murray St</v>
      </c>
      <c r="F5400" s="25" t="s">
        <v>60</v>
      </c>
      <c r="G5400" s="28">
        <v>4600000.0</v>
      </c>
      <c r="H5400" s="28">
        <v>2891.0</v>
      </c>
      <c r="I5400" s="28">
        <v>4363.0</v>
      </c>
      <c r="J5400" s="28">
        <v>30576.0</v>
      </c>
      <c r="K5400" s="25" t="s">
        <v>28</v>
      </c>
      <c r="L5400" s="26">
        <v>4.0</v>
      </c>
      <c r="M5400" s="26">
        <v>2.0</v>
      </c>
      <c r="N5400" s="26">
        <v>0.0</v>
      </c>
      <c r="O5400" s="26">
        <v>0.0</v>
      </c>
      <c r="P5400" s="34">
        <v>1591.0</v>
      </c>
      <c r="Q5400" s="35">
        <v>97.0</v>
      </c>
      <c r="R5400" s="32">
        <v>44581.0</v>
      </c>
      <c r="S5400" s="32">
        <v>42298.0</v>
      </c>
      <c r="T5400" s="29"/>
      <c r="U5400" s="33"/>
      <c r="V5400" s="1"/>
    </row>
    <row r="5401" ht="24.0" customHeight="1">
      <c r="A5401" s="1"/>
      <c r="B5401" s="24" t="str">
        <f>HYPERLINK("https://www.compass.com/listing/111-3rd-avenue-unit-15c-manhattan-ny-10003/70926256417402257/view?agent_id=610d3f3370540700019b0833","111 3rd Ave, Unit 15C")</f>
        <v>111 3rd Ave, Unit 15C</v>
      </c>
      <c r="C5401" s="25" t="s">
        <v>364</v>
      </c>
      <c r="D5401" s="26" t="s">
        <v>23</v>
      </c>
      <c r="E5401" s="27" t="str">
        <f>HYPERLINK("https://www.compass.com/building/111-3rd-ave-manhattan-ny-10003/281888935196495301/","111 3rd Ave")</f>
        <v>111 3rd Ave</v>
      </c>
      <c r="F5401" s="25" t="s">
        <v>24</v>
      </c>
      <c r="G5401" s="28">
        <v>1795000.0</v>
      </c>
      <c r="H5401" s="28">
        <v>1381.0</v>
      </c>
      <c r="I5401" s="28">
        <v>2810.0</v>
      </c>
      <c r="J5401" s="29"/>
      <c r="K5401" s="25" t="s">
        <v>110</v>
      </c>
      <c r="L5401" s="26">
        <v>5.0</v>
      </c>
      <c r="M5401" s="26">
        <v>2.0</v>
      </c>
      <c r="N5401" s="26">
        <v>0.0</v>
      </c>
      <c r="O5401" s="26">
        <v>0.0</v>
      </c>
      <c r="P5401" s="34">
        <v>1300.0</v>
      </c>
      <c r="Q5401" s="35">
        <v>181.0</v>
      </c>
      <c r="R5401" s="32">
        <v>45636.0</v>
      </c>
      <c r="S5401" s="32">
        <v>42489.0</v>
      </c>
      <c r="T5401" s="29"/>
      <c r="U5401" s="33"/>
      <c r="V5401" s="1"/>
    </row>
    <row r="5402" ht="24.0" customHeight="1">
      <c r="A5402" s="1"/>
      <c r="B5402" s="24" t="str">
        <f>HYPERLINK("https://www.compass.com/listing/200-west-79th-street-unit-15e-manhattan-ny-10024/29396081968193537/view?agent_id=610d3f3370540700019b0833","200 W 79th St, Unit 15E")</f>
        <v>200 W 79th St, Unit 15E</v>
      </c>
      <c r="C5402" s="25" t="s">
        <v>370</v>
      </c>
      <c r="D5402" s="26" t="s">
        <v>23</v>
      </c>
      <c r="E5402" s="27" t="str">
        <f>HYPERLINK("https://www.compass.com/building/the-gloucester-manhattan-ny/281963617757246133/","The Gloucester")</f>
        <v>The Gloucester</v>
      </c>
      <c r="F5402" s="25" t="s">
        <v>29</v>
      </c>
      <c r="G5402" s="28">
        <v>979000.0</v>
      </c>
      <c r="H5402" s="29"/>
      <c r="I5402" s="28">
        <v>1587.0</v>
      </c>
      <c r="J5402" s="29"/>
      <c r="K5402" s="25" t="s">
        <v>25</v>
      </c>
      <c r="L5402" s="26">
        <v>4.0</v>
      </c>
      <c r="M5402" s="26">
        <v>2.0</v>
      </c>
      <c r="N5402" s="26">
        <v>0.0</v>
      </c>
      <c r="O5402" s="26">
        <v>0.0</v>
      </c>
      <c r="P5402" s="30"/>
      <c r="Q5402" s="35">
        <v>90.0</v>
      </c>
      <c r="R5402" s="32">
        <v>45636.0</v>
      </c>
      <c r="S5402" s="32">
        <v>41761.0</v>
      </c>
      <c r="T5402" s="29"/>
      <c r="U5402" s="33"/>
      <c r="V5402" s="1"/>
    </row>
    <row r="5403" ht="24.0" customHeight="1">
      <c r="A5403" s="1"/>
      <c r="B5403" s="24" t="str">
        <f>HYPERLINK("https://www.compass.com/listing/399-east-8th-street-unit-5a-manhattan-ny-10009/391865427629381809/view?agent_id=610d3f3370540700019b0833","399 E 8th St, Unit 5A")</f>
        <v>399 E 8th St, Unit 5A</v>
      </c>
      <c r="C5403" s="25" t="s">
        <v>364</v>
      </c>
      <c r="D5403" s="26" t="s">
        <v>23</v>
      </c>
      <c r="E5403" s="27" t="str">
        <f>HYPERLINK("https://www.compass.com/building/three99-on-eighth-manhattan-ny/281899849236886213/","THREE99 On Eighth")</f>
        <v>THREE99 On Eighth</v>
      </c>
      <c r="F5403" s="25" t="s">
        <v>24</v>
      </c>
      <c r="G5403" s="28">
        <v>1095000.0</v>
      </c>
      <c r="H5403" s="29"/>
      <c r="I5403" s="28">
        <v>568.0</v>
      </c>
      <c r="J5403" s="28">
        <v>576.0</v>
      </c>
      <c r="K5403" s="25" t="s">
        <v>28</v>
      </c>
      <c r="L5403" s="26">
        <v>4.0</v>
      </c>
      <c r="M5403" s="26">
        <v>2.0</v>
      </c>
      <c r="N5403" s="26">
        <v>1.0</v>
      </c>
      <c r="O5403" s="26">
        <v>0.0</v>
      </c>
      <c r="P5403" s="30"/>
      <c r="Q5403" s="35">
        <v>135.0</v>
      </c>
      <c r="R5403" s="32">
        <v>45636.0</v>
      </c>
      <c r="S5403" s="32">
        <v>43792.0</v>
      </c>
      <c r="T5403" s="29"/>
      <c r="U5403" s="33"/>
      <c r="V5403" s="1"/>
    </row>
    <row r="5404" ht="24.0" customHeight="1">
      <c r="A5404" s="1"/>
      <c r="B5404" s="24" t="str">
        <f>HYPERLINK("https://www.compass.com/listing/10-madison-square-west-unit-14c-manhattan-ny-10010/232213580957677953/view?agent_id=610d3f3370540700019b0833","10 Madison Square W, Unit 14C")</f>
        <v>10 Madison Square W, Unit 14C</v>
      </c>
      <c r="C5404" s="25" t="s">
        <v>364</v>
      </c>
      <c r="D5404" s="26" t="s">
        <v>23</v>
      </c>
      <c r="E5404" s="27" t="str">
        <f>HYPERLINK("https://www.compass.com/building/10-madison-square-west-manhattan-ny/294838725091521285/","10 Madison Square West")</f>
        <v>10 Madison Square West</v>
      </c>
      <c r="F5404" s="25" t="s">
        <v>115</v>
      </c>
      <c r="G5404" s="28">
        <v>3485000.0</v>
      </c>
      <c r="H5404" s="28">
        <v>2432.0</v>
      </c>
      <c r="I5404" s="28">
        <v>4784.0</v>
      </c>
      <c r="J5404" s="28">
        <v>35808.0</v>
      </c>
      <c r="K5404" s="25" t="s">
        <v>28</v>
      </c>
      <c r="L5404" s="26">
        <v>4.0</v>
      </c>
      <c r="M5404" s="26">
        <v>2.0</v>
      </c>
      <c r="N5404" s="30"/>
      <c r="O5404" s="30"/>
      <c r="P5404" s="34">
        <v>1433.0</v>
      </c>
      <c r="Q5404" s="35">
        <v>6.0</v>
      </c>
      <c r="R5404" s="32">
        <v>43579.0</v>
      </c>
      <c r="S5404" s="32">
        <v>43572.0</v>
      </c>
      <c r="T5404" s="29"/>
      <c r="U5404" s="33"/>
      <c r="V5404" s="1"/>
    </row>
    <row r="5405" ht="24.0" customHeight="1">
      <c r="A5405" s="1"/>
      <c r="B5405" s="24" t="str">
        <f>HYPERLINK("https://www.compass.com/listing/340-east-23rd-street-unit-6e-manhattan-ny-10010/29382081868003553/view?agent_id=610d3f3370540700019b0833","340 E 23rd St, Unit 6E")</f>
        <v>340 E 23rd St, Unit 6E</v>
      </c>
      <c r="C5405" s="25" t="s">
        <v>364</v>
      </c>
      <c r="D5405" s="26" t="s">
        <v>23</v>
      </c>
      <c r="E5405" s="27" t="str">
        <f>HYPERLINK("https://www.compass.com/building/gramercy-starck-manhattan-ny/281903026875156789/","Gramercy Starck")</f>
        <v>Gramercy Starck</v>
      </c>
      <c r="F5405" s="25" t="s">
        <v>48</v>
      </c>
      <c r="G5405" s="28">
        <v>1675000.0</v>
      </c>
      <c r="H5405" s="28">
        <v>1320.0</v>
      </c>
      <c r="I5405" s="28">
        <v>1752.0</v>
      </c>
      <c r="J5405" s="28">
        <v>6300.0</v>
      </c>
      <c r="K5405" s="25" t="s">
        <v>28</v>
      </c>
      <c r="L5405" s="26">
        <v>5.0</v>
      </c>
      <c r="M5405" s="26">
        <v>2.0</v>
      </c>
      <c r="N5405" s="26">
        <v>0.0</v>
      </c>
      <c r="O5405" s="26">
        <v>0.0</v>
      </c>
      <c r="P5405" s="34">
        <v>1269.0</v>
      </c>
      <c r="Q5405" s="35">
        <v>115.0</v>
      </c>
      <c r="R5405" s="32">
        <v>45636.0</v>
      </c>
      <c r="S5405" s="32">
        <v>41530.0</v>
      </c>
      <c r="T5405" s="29"/>
      <c r="U5405" s="33"/>
      <c r="V5405" s="1"/>
    </row>
    <row r="5406" ht="24.0" customHeight="1">
      <c r="A5406" s="1"/>
      <c r="B5406" s="24" t="str">
        <f>HYPERLINK("https://www.compass.com/listing/825-west-end-avenue-unit-10g-manhattan-ny-10025/1248190285263926497/view?agent_id=610d3f3370540700019b0833","825 West End Ave, Unit 10G")</f>
        <v>825 West End Ave, Unit 10G</v>
      </c>
      <c r="C5406" s="25" t="s">
        <v>364</v>
      </c>
      <c r="D5406" s="26" t="s">
        <v>23</v>
      </c>
      <c r="E5406" s="27" t="str">
        <f>HYPERLINK("https://www.compass.com/building/825-west-end-avenue-manhattan-ny/281973309795558773/","825 West End Avenue")</f>
        <v>825 West End Avenue</v>
      </c>
      <c r="F5406" s="25" t="s">
        <v>29</v>
      </c>
      <c r="G5406" s="28">
        <v>1750000.0</v>
      </c>
      <c r="H5406" s="28">
        <v>1416.0</v>
      </c>
      <c r="I5406" s="28">
        <v>2023.0</v>
      </c>
      <c r="J5406" s="28">
        <v>13404.0</v>
      </c>
      <c r="K5406" s="25" t="s">
        <v>28</v>
      </c>
      <c r="L5406" s="26">
        <v>4.0</v>
      </c>
      <c r="M5406" s="26">
        <v>2.0</v>
      </c>
      <c r="N5406" s="30"/>
      <c r="O5406" s="30"/>
      <c r="P5406" s="34">
        <v>1236.0</v>
      </c>
      <c r="Q5406" s="35">
        <v>28.0</v>
      </c>
      <c r="R5406" s="32">
        <v>44151.0</v>
      </c>
      <c r="S5406" s="32">
        <v>44120.0</v>
      </c>
      <c r="T5406" s="29"/>
      <c r="U5406" s="33"/>
      <c r="V5406" s="1"/>
    </row>
    <row r="5407" ht="24.0" customHeight="1">
      <c r="A5407" s="1"/>
      <c r="B5407" s="24" t="str">
        <f>HYPERLINK("https://www.compass.com/listing/2-horatio-street-unit-4s-4j-manhattan-ny-10014/4852312746487719649/view?agent_id=610d3f3370540700019b0833","2 Horatio St, Unit 4S/4J")</f>
        <v>2 Horatio St, Unit 4S/4J</v>
      </c>
      <c r="C5407" s="25" t="s">
        <v>364</v>
      </c>
      <c r="D5407" s="26" t="s">
        <v>23</v>
      </c>
      <c r="E5407" s="27" t="str">
        <f>HYPERLINK("https://www.compass.com/building/2-horatio-st-manhattan-ny-10014/281930797210973269/","2 Horatio St")</f>
        <v>2 Horatio St</v>
      </c>
      <c r="F5407" s="25" t="s">
        <v>26</v>
      </c>
      <c r="G5407" s="28">
        <v>2724000.0</v>
      </c>
      <c r="H5407" s="29"/>
      <c r="I5407" s="28">
        <v>3025.0</v>
      </c>
      <c r="J5407" s="29"/>
      <c r="K5407" s="25" t="s">
        <v>25</v>
      </c>
      <c r="L5407" s="26">
        <v>2.0</v>
      </c>
      <c r="M5407" s="26">
        <v>2.0</v>
      </c>
      <c r="N5407" s="26">
        <v>0.0</v>
      </c>
      <c r="O5407" s="26">
        <v>0.0</v>
      </c>
      <c r="P5407" s="30"/>
      <c r="Q5407" s="35">
        <v>13.0</v>
      </c>
      <c r="R5407" s="32">
        <v>44234.0</v>
      </c>
      <c r="S5407" s="32">
        <v>41466.0</v>
      </c>
      <c r="T5407" s="29"/>
      <c r="U5407" s="33"/>
      <c r="V5407" s="1"/>
    </row>
    <row r="5408" ht="24.0" customHeight="1">
      <c r="A5408" s="1"/>
      <c r="B5408" s="24" t="str">
        <f>HYPERLINK("https://www.compass.com/listing/402-west-broadway-unit-4-manhattan-ny-10012/803390066541685273/view?agent_id=610d3f3370540700019b0833","402 W Broadway, Unit 4")</f>
        <v>402 W Broadway, Unit 4</v>
      </c>
      <c r="C5408" s="25" t="s">
        <v>364</v>
      </c>
      <c r="D5408" s="26" t="s">
        <v>23</v>
      </c>
      <c r="E5408" s="27" t="str">
        <f>HYPERLINK("https://www.compass.com/building/402-w-broadway-manhattan-ny-10012/307446966308856709/","402 W Broadway")</f>
        <v>402 W Broadway</v>
      </c>
      <c r="F5408" s="25" t="s">
        <v>53</v>
      </c>
      <c r="G5408" s="28">
        <v>4249000.0</v>
      </c>
      <c r="H5408" s="29"/>
      <c r="I5408" s="28">
        <v>3000.0</v>
      </c>
      <c r="J5408" s="29"/>
      <c r="K5408" s="25" t="s">
        <v>25</v>
      </c>
      <c r="L5408" s="26">
        <v>7.0</v>
      </c>
      <c r="M5408" s="26">
        <v>2.0</v>
      </c>
      <c r="N5408" s="26">
        <v>0.0</v>
      </c>
      <c r="O5408" s="26">
        <v>0.0</v>
      </c>
      <c r="P5408" s="30"/>
      <c r="Q5408" s="35">
        <v>149.0</v>
      </c>
      <c r="R5408" s="32">
        <v>45636.0</v>
      </c>
      <c r="S5408" s="32">
        <v>41654.0</v>
      </c>
      <c r="T5408" s="29"/>
      <c r="U5408" s="33"/>
      <c r="V5408" s="1"/>
    </row>
    <row r="5409" ht="24.0" customHeight="1">
      <c r="A5409" s="1"/>
      <c r="B5409" s="24" t="str">
        <f>HYPERLINK("https://www.compass.com/listing/12-east-12th-street-unit-12sw-manhattan-ny-10003/29365620181070945/view?agent_id=610d3f3370540700019b0833","12 E 12th St, Unit 12SW")</f>
        <v>12 E 12th St, Unit 12SW</v>
      </c>
      <c r="C5409" s="25" t="s">
        <v>364</v>
      </c>
      <c r="D5409" s="26" t="s">
        <v>23</v>
      </c>
      <c r="E5409" s="27" t="str">
        <f>HYPERLINK("https://www.compass.com/building/12-e-12th-st-manhattan-ny-10003/281889149491875493/","12 E 12th St")</f>
        <v>12 E 12th St</v>
      </c>
      <c r="F5409" s="25" t="s">
        <v>43</v>
      </c>
      <c r="G5409" s="28">
        <v>3550000.0</v>
      </c>
      <c r="H5409" s="29"/>
      <c r="I5409" s="29"/>
      <c r="J5409" s="29"/>
      <c r="K5409" s="25" t="s">
        <v>28</v>
      </c>
      <c r="L5409" s="26">
        <v>6.0</v>
      </c>
      <c r="M5409" s="26">
        <v>2.0</v>
      </c>
      <c r="N5409" s="30"/>
      <c r="O5409" s="30"/>
      <c r="P5409" s="30"/>
      <c r="Q5409" s="35">
        <v>68.0</v>
      </c>
      <c r="R5409" s="32">
        <v>42476.0</v>
      </c>
      <c r="S5409" s="32">
        <v>38992.0</v>
      </c>
      <c r="T5409" s="29"/>
      <c r="U5409" s="33"/>
      <c r="V5409" s="1"/>
    </row>
    <row r="5410" ht="24.0" customHeight="1">
      <c r="A5410" s="1"/>
      <c r="B5410" s="24" t="str">
        <f>HYPERLINK("https://www.compass.com/listing/226-230-east-12th-street-unit-4a-manhattan-ny-10003/1405950372660635665/view?agent_id=610d3f3370540700019b0833","226-230 E 12th St, Unit 4A")</f>
        <v>226-230 E 12th St, Unit 4A</v>
      </c>
      <c r="C5410" s="25" t="s">
        <v>364</v>
      </c>
      <c r="D5410" s="26" t="s">
        <v>23</v>
      </c>
      <c r="E5410" s="27" t="str">
        <f>HYPERLINK("https://www.compass.com/building/226-230-e-12th-st-manhattan-ny-10003/281891199491512085/","226-230 E 12th St")</f>
        <v>226-230 E 12th St</v>
      </c>
      <c r="F5410" s="25" t="s">
        <v>24</v>
      </c>
      <c r="G5410" s="28">
        <v>1095000.0</v>
      </c>
      <c r="H5410" s="29"/>
      <c r="I5410" s="28">
        <v>1993.0</v>
      </c>
      <c r="J5410" s="28">
        <v>0.0</v>
      </c>
      <c r="K5410" s="25" t="s">
        <v>25</v>
      </c>
      <c r="L5410" s="26">
        <v>5.0</v>
      </c>
      <c r="M5410" s="26">
        <v>2.0</v>
      </c>
      <c r="N5410" s="26">
        <v>1.0</v>
      </c>
      <c r="O5410" s="26">
        <v>0.0</v>
      </c>
      <c r="P5410" s="30"/>
      <c r="Q5410" s="35">
        <v>102.0</v>
      </c>
      <c r="R5410" s="32">
        <v>45636.0</v>
      </c>
      <c r="S5410" s="32">
        <v>45191.0</v>
      </c>
      <c r="T5410" s="29"/>
      <c r="U5410" s="33"/>
      <c r="V5410" s="1"/>
    </row>
    <row r="5411" ht="24.0" customHeight="1">
      <c r="A5411" s="1"/>
      <c r="B5411" s="24" t="str">
        <f>HYPERLINK("https://www.compass.com/listing/88-jane-street-unit-1rw-manhattan-ny-10014/4852306703393232033/view?agent_id=610d3f3370540700019b0833","88 Jane St, Unit 1RW")</f>
        <v>88 Jane St, Unit 1RW</v>
      </c>
      <c r="C5411" s="25" t="s">
        <v>370</v>
      </c>
      <c r="D5411" s="26" t="s">
        <v>23</v>
      </c>
      <c r="E5411" s="27" t="str">
        <f>HYPERLINK("https://www.compass.com/building/88-jane-st-manhattan-ny-10014/281936255938252021/","88 Jane St")</f>
        <v>88 Jane St</v>
      </c>
      <c r="F5411" s="25" t="s">
        <v>26</v>
      </c>
      <c r="G5411" s="28">
        <v>3350000.0</v>
      </c>
      <c r="H5411" s="28">
        <v>2094.0</v>
      </c>
      <c r="I5411" s="28">
        <v>1219.0</v>
      </c>
      <c r="J5411" s="28">
        <v>5940.0</v>
      </c>
      <c r="K5411" s="25" t="s">
        <v>28</v>
      </c>
      <c r="L5411" s="26">
        <v>4.0</v>
      </c>
      <c r="M5411" s="26">
        <v>2.0</v>
      </c>
      <c r="N5411" s="26">
        <v>0.0</v>
      </c>
      <c r="O5411" s="26">
        <v>0.0</v>
      </c>
      <c r="P5411" s="34">
        <v>1600.0</v>
      </c>
      <c r="Q5411" s="35">
        <v>99.0</v>
      </c>
      <c r="R5411" s="32">
        <v>45636.0</v>
      </c>
      <c r="S5411" s="32">
        <v>42380.0</v>
      </c>
      <c r="T5411" s="29"/>
      <c r="U5411" s="33"/>
      <c r="V5411" s="1"/>
    </row>
    <row r="5412" ht="24.0" customHeight="1">
      <c r="A5412" s="1"/>
      <c r="B5412" s="24" t="str">
        <f>HYPERLINK("https://www.compass.com/listing/21-powers-street-unit-b-brooklyn-ny-11211/391643761247142401/view?agent_id=610d3f3370540700019b0833","21 Powers St, Unit B")</f>
        <v>21 Powers St, Unit B</v>
      </c>
      <c r="C5412" s="25" t="s">
        <v>364</v>
      </c>
      <c r="D5412" s="26" t="s">
        <v>23</v>
      </c>
      <c r="E5412" s="27" t="str">
        <f>HYPERLINK("https://www.compass.com/building/twenty-one-powers-brooklyn-ny/293417816126691445/","Twenty-One Powers")</f>
        <v>Twenty-One Powers</v>
      </c>
      <c r="F5412" s="25" t="s">
        <v>46</v>
      </c>
      <c r="G5412" s="28">
        <v>1599000.0</v>
      </c>
      <c r="H5412" s="28">
        <v>1459.0</v>
      </c>
      <c r="I5412" s="28">
        <v>2044.0</v>
      </c>
      <c r="J5412" s="28">
        <v>13277.0</v>
      </c>
      <c r="K5412" s="25" t="s">
        <v>28</v>
      </c>
      <c r="L5412" s="26">
        <v>4.0</v>
      </c>
      <c r="M5412" s="26">
        <v>2.0</v>
      </c>
      <c r="N5412" s="30"/>
      <c r="O5412" s="30"/>
      <c r="P5412" s="34">
        <v>1096.0</v>
      </c>
      <c r="Q5412" s="35">
        <v>24.0</v>
      </c>
      <c r="R5412" s="32">
        <v>43834.0</v>
      </c>
      <c r="S5412" s="32">
        <v>43571.0</v>
      </c>
      <c r="T5412" s="29"/>
      <c r="U5412" s="33"/>
      <c r="V5412" s="1"/>
    </row>
    <row r="5413" ht="24.0" customHeight="1">
      <c r="A5413" s="1"/>
      <c r="B5413" s="24" t="str">
        <f>HYPERLINK("https://www.compass.com/listing/71-73-bleecker-street-unit-4e-manhattan-ny-10012/79376931635691537/view?agent_id=610d3f3370540700019b0833","71-73 Bleecker St, Unit 4E")</f>
        <v>71-73 Bleecker St, Unit 4E</v>
      </c>
      <c r="C5413" s="25" t="s">
        <v>364</v>
      </c>
      <c r="D5413" s="26" t="s">
        <v>23</v>
      </c>
      <c r="E5413" s="27" t="str">
        <f>HYPERLINK("https://www.compass.com/building/71-73-bleecker-st-manhattan-ny-10012/292812430671646549/","71-73 Bleecker St")</f>
        <v>71-73 Bleecker St</v>
      </c>
      <c r="F5413" s="25" t="s">
        <v>57</v>
      </c>
      <c r="G5413" s="28">
        <v>1995000.0</v>
      </c>
      <c r="H5413" s="28">
        <v>1425.0</v>
      </c>
      <c r="I5413" s="28">
        <v>2887.0</v>
      </c>
      <c r="J5413" s="29"/>
      <c r="K5413" s="25" t="s">
        <v>25</v>
      </c>
      <c r="L5413" s="26">
        <v>5.0</v>
      </c>
      <c r="M5413" s="26">
        <v>2.0</v>
      </c>
      <c r="N5413" s="30"/>
      <c r="O5413" s="30"/>
      <c r="P5413" s="34">
        <v>1400.0</v>
      </c>
      <c r="Q5413" s="35">
        <v>223.0</v>
      </c>
      <c r="R5413" s="32">
        <v>42476.0</v>
      </c>
      <c r="S5413" s="32">
        <v>38941.0</v>
      </c>
      <c r="T5413" s="29"/>
      <c r="U5413" s="33"/>
      <c r="V5413" s="1"/>
    </row>
    <row r="5414" ht="24.0" customHeight="1">
      <c r="A5414" s="1"/>
      <c r="B5414" s="24" t="str">
        <f>HYPERLINK("https://www.compass.com/listing/300-east-23rd-street-unit-10a-manhattan-ny-10010/740272860068613353/view?agent_id=610d3f3370540700019b0833","300 E 23rd St, Unit 10A")</f>
        <v>300 E 23rd St, Unit 10A</v>
      </c>
      <c r="C5414" s="25" t="s">
        <v>364</v>
      </c>
      <c r="D5414" s="26" t="s">
        <v>23</v>
      </c>
      <c r="E5414" s="27" t="str">
        <f>HYPERLINK("https://www.compass.com/building/tempo-manhattan-ny/281902794510712821/","Tempo")</f>
        <v>Tempo</v>
      </c>
      <c r="F5414" s="25" t="s">
        <v>48</v>
      </c>
      <c r="G5414" s="28">
        <v>1650000.0</v>
      </c>
      <c r="H5414" s="28">
        <v>1369.0</v>
      </c>
      <c r="I5414" s="28">
        <v>3466.0</v>
      </c>
      <c r="J5414" s="28">
        <v>20808.0</v>
      </c>
      <c r="K5414" s="25" t="s">
        <v>28</v>
      </c>
      <c r="L5414" s="26">
        <v>5.0</v>
      </c>
      <c r="M5414" s="26">
        <v>2.0</v>
      </c>
      <c r="N5414" s="30"/>
      <c r="O5414" s="30"/>
      <c r="P5414" s="34">
        <v>1205.0</v>
      </c>
      <c r="Q5414" s="35">
        <v>49.0</v>
      </c>
      <c r="R5414" s="32">
        <v>44408.0</v>
      </c>
      <c r="S5414" s="32">
        <v>44272.0</v>
      </c>
      <c r="T5414" s="28">
        <v>1650000.0</v>
      </c>
      <c r="U5414" s="32">
        <v>44407.0</v>
      </c>
      <c r="V5414" s="1"/>
    </row>
    <row r="5415" ht="24.0" customHeight="1">
      <c r="A5415" s="1"/>
      <c r="B5415" s="24" t="str">
        <f>HYPERLINK("https://www.compass.com/listing/23-east-22nd-street-unit-7west-manhattan-ny-10010/4852316773631921009/view?agent_id=610d3f3370540700019b0833","23 E 22nd St, Unit 7WEST")</f>
        <v>23 E 22nd St, Unit 7WEST</v>
      </c>
      <c r="C5415" s="25" t="s">
        <v>364</v>
      </c>
      <c r="D5415" s="26" t="s">
        <v>23</v>
      </c>
      <c r="E5415" s="27" t="str">
        <f>HYPERLINK("https://www.compass.com/building/one-madison-manhattan-ny/282059009467383221/","One Madison")</f>
        <v>One Madison</v>
      </c>
      <c r="F5415" s="25" t="s">
        <v>115</v>
      </c>
      <c r="G5415" s="28">
        <v>4250000.0</v>
      </c>
      <c r="H5415" s="28">
        <v>2553.0</v>
      </c>
      <c r="I5415" s="28">
        <v>3914.0</v>
      </c>
      <c r="J5415" s="28">
        <v>12108.0</v>
      </c>
      <c r="K5415" s="25" t="s">
        <v>28</v>
      </c>
      <c r="L5415" s="26">
        <v>3.0</v>
      </c>
      <c r="M5415" s="26">
        <v>2.0</v>
      </c>
      <c r="N5415" s="26">
        <v>0.0</v>
      </c>
      <c r="O5415" s="26">
        <v>0.0</v>
      </c>
      <c r="P5415" s="34">
        <v>1665.0</v>
      </c>
      <c r="Q5415" s="35">
        <v>75.0</v>
      </c>
      <c r="R5415" s="32">
        <v>45636.0</v>
      </c>
      <c r="S5415" s="32">
        <v>41948.0</v>
      </c>
      <c r="T5415" s="29"/>
      <c r="U5415" s="33"/>
      <c r="V5415" s="1"/>
    </row>
    <row r="5416" ht="24.0" customHeight="1">
      <c r="A5416" s="3"/>
      <c r="B5416" s="37" t="s">
        <v>350</v>
      </c>
      <c r="C5416" s="38"/>
      <c r="D5416" s="39"/>
      <c r="E5416" s="39"/>
      <c r="F5416" s="38"/>
      <c r="G5416" s="40">
        <f>IFERROR(__xludf.DUMMYFUNCTION("TO_DOLLARS(IFERROR(AVERAGE(G1955:G5415)))"),1494482.3466435184)</f>
        <v>1494482.347</v>
      </c>
      <c r="H5416" s="40">
        <f>IFERROR(__xludf.DUMMYFUNCTION("TO_DOLLARS(IFERROR(AVERAGE(H1955:H5415)))"),1317.6819654427645)</f>
        <v>1317.681965</v>
      </c>
      <c r="I5416" s="40">
        <f>IFERROR(__xludf.DUMMYFUNCTION("TO_DOLLARS(IFERROR(AVERAGE(I1955:I5415)))"),2140.3745994756773)</f>
        <v>2140.374599</v>
      </c>
      <c r="J5416" s="40">
        <f>IFERROR(__xludf.DUMMYFUNCTION("TO_DOLLARS(IFERROR(AVERAGE(J1955:J5415)))"),12282.427019982624)</f>
        <v>12282.42702</v>
      </c>
      <c r="K5416" s="38"/>
      <c r="L5416" s="39"/>
      <c r="M5416" s="39"/>
      <c r="N5416" s="39"/>
      <c r="O5416" s="39"/>
      <c r="P5416" s="39">
        <f t="shared" ref="P5416:Q5416" si="257">IFERROR(AVERAGE(P1955:P5415),"")</f>
        <v>1333.432185</v>
      </c>
      <c r="Q5416" s="41">
        <f t="shared" si="257"/>
        <v>210.8675373</v>
      </c>
      <c r="R5416" s="42"/>
      <c r="S5416" s="42"/>
      <c r="T5416" s="40">
        <f>IFERROR(__xludf.DUMMYFUNCTION("TO_DOLLARS(IFERROR(AVERAGE(T1955:T5415)))"),1152860.8)</f>
        <v>1152860.8</v>
      </c>
      <c r="U5416" s="42"/>
      <c r="V5416" s="1"/>
    </row>
    <row r="5417" ht="24.0" customHeight="1">
      <c r="A5417" s="3"/>
      <c r="B5417" s="43" t="s">
        <v>351</v>
      </c>
      <c r="C5417" s="44"/>
      <c r="D5417" s="45"/>
      <c r="E5417" s="45"/>
      <c r="F5417" s="44"/>
      <c r="G5417" s="46">
        <f>IFERROR(__xludf.DUMMYFUNCTION("TO_DOLLARS(IFERROR(MEDIAN(G1955:G5415)))"),1100000.0)</f>
        <v>1100000</v>
      </c>
      <c r="H5417" s="46">
        <f>IFERROR(__xludf.DUMMYFUNCTION("TO_DOLLARS(IFERROR(MEDIAN(H1955:H5415)))"),1219.5)</f>
        <v>1219.5</v>
      </c>
      <c r="I5417" s="46">
        <f>IFERROR(__xludf.DUMMYFUNCTION("TO_DOLLARS(IFERROR(MEDIAN(I1955:I5415)))"),1496.0)</f>
        <v>1496</v>
      </c>
      <c r="J5417" s="46">
        <f>IFERROR(__xludf.DUMMYFUNCTION("TO_DOLLARS(IFERROR(MEDIAN(J1955:J5415)))"),822.0)</f>
        <v>822</v>
      </c>
      <c r="K5417" s="44"/>
      <c r="L5417" s="45"/>
      <c r="M5417" s="45"/>
      <c r="N5417" s="45"/>
      <c r="O5417" s="45"/>
      <c r="P5417" s="45">
        <f t="shared" ref="P5417:Q5417" si="258">IFERROR(MEDIAN(P1955:P5415),"")</f>
        <v>1116</v>
      </c>
      <c r="Q5417" s="47">
        <f t="shared" si="258"/>
        <v>110</v>
      </c>
      <c r="R5417" s="48"/>
      <c r="S5417" s="48"/>
      <c r="T5417" s="46">
        <f>IFERROR(__xludf.DUMMYFUNCTION("TO_DOLLARS(IFERROR(MEDIAN(T1955:T5415)))"),857500.0)</f>
        <v>857500</v>
      </c>
      <c r="U5417" s="48"/>
      <c r="V5417" s="1"/>
    </row>
    <row r="5418">
      <c r="A5418" s="1"/>
      <c r="B5418" s="2"/>
      <c r="C5418" s="2"/>
      <c r="D5418" s="2"/>
      <c r="E5418" s="2"/>
      <c r="F5418" s="2"/>
      <c r="G5418" s="2"/>
      <c r="H5418" s="2"/>
      <c r="I5418" s="2"/>
      <c r="J5418" s="2"/>
      <c r="K5418" s="2"/>
      <c r="L5418" s="2"/>
      <c r="M5418" s="2"/>
      <c r="N5418" s="2"/>
      <c r="O5418" s="2"/>
      <c r="P5418" s="2"/>
      <c r="Q5418" s="2"/>
      <c r="R5418" s="2"/>
      <c r="S5418" s="2"/>
      <c r="T5418" s="2"/>
      <c r="U5418" s="2"/>
      <c r="V5418" s="1"/>
    </row>
    <row r="5419">
      <c r="A5419" s="1"/>
      <c r="B5419" s="2"/>
      <c r="C5419" s="2"/>
      <c r="D5419" s="2"/>
      <c r="E5419" s="2"/>
      <c r="F5419" s="2"/>
      <c r="G5419" s="2"/>
      <c r="H5419" s="2"/>
      <c r="I5419" s="2"/>
      <c r="J5419" s="2"/>
      <c r="K5419" s="2"/>
      <c r="L5419" s="2"/>
      <c r="M5419" s="2"/>
      <c r="N5419" s="2"/>
      <c r="O5419" s="2"/>
      <c r="P5419" s="2"/>
      <c r="Q5419" s="2"/>
      <c r="R5419" s="2"/>
      <c r="S5419" s="2"/>
      <c r="T5419" s="2"/>
      <c r="U5419" s="2"/>
      <c r="V5419" s="1"/>
    </row>
    <row r="5420" ht="18.75" customHeight="1">
      <c r="A5420" s="3"/>
      <c r="B5420" s="10" t="s">
        <v>456</v>
      </c>
      <c r="C5420" s="5"/>
      <c r="D5420" s="5"/>
      <c r="E5420" s="5"/>
      <c r="F5420" s="5"/>
      <c r="G5420" s="5"/>
      <c r="H5420" s="5"/>
      <c r="I5420" s="5"/>
      <c r="J5420" s="5"/>
      <c r="K5420" s="5"/>
      <c r="L5420" s="5"/>
      <c r="M5420" s="5"/>
      <c r="N5420" s="5"/>
      <c r="O5420" s="5"/>
      <c r="P5420" s="5"/>
      <c r="Q5420" s="5"/>
      <c r="R5420" s="5"/>
      <c r="S5420" s="5"/>
      <c r="T5420" s="5"/>
      <c r="U5420" s="6"/>
      <c r="V5420" s="1"/>
    </row>
    <row r="5421" ht="18.75" customHeight="1">
      <c r="A5421" s="3"/>
      <c r="B5421" s="50" t="s">
        <v>457</v>
      </c>
      <c r="C5421" s="5"/>
      <c r="D5421" s="5"/>
      <c r="E5421" s="5"/>
      <c r="F5421" s="5"/>
      <c r="G5421" s="5"/>
      <c r="H5421" s="5"/>
      <c r="I5421" s="5"/>
      <c r="J5421" s="5"/>
      <c r="K5421" s="5"/>
      <c r="L5421" s="5"/>
      <c r="M5421" s="5"/>
      <c r="N5421" s="5"/>
      <c r="O5421" s="5"/>
      <c r="P5421" s="5"/>
      <c r="Q5421" s="5"/>
      <c r="R5421" s="5"/>
      <c r="S5421" s="5"/>
      <c r="T5421" s="5"/>
      <c r="U5421" s="6"/>
      <c r="V5421" s="1"/>
    </row>
    <row r="5422" ht="37.5" customHeight="1">
      <c r="A5422" s="1"/>
      <c r="B5422" s="51"/>
      <c r="C5422" s="5"/>
      <c r="D5422" s="5"/>
      <c r="E5422" s="5"/>
      <c r="F5422" s="5"/>
      <c r="G5422" s="5"/>
      <c r="H5422" s="5"/>
      <c r="I5422" s="5"/>
      <c r="J5422" s="5"/>
      <c r="K5422" s="5"/>
      <c r="L5422" s="5"/>
      <c r="M5422" s="5"/>
      <c r="N5422" s="5"/>
      <c r="O5422" s="5"/>
      <c r="P5422" s="5"/>
      <c r="Q5422" s="5"/>
      <c r="R5422" s="5"/>
      <c r="S5422" s="5"/>
      <c r="T5422" s="5"/>
      <c r="U5422" s="6"/>
      <c r="V5422" s="1"/>
    </row>
    <row r="5423">
      <c r="A5423" s="3"/>
      <c r="B5423" s="52" t="s">
        <v>458</v>
      </c>
      <c r="C5423" s="5"/>
      <c r="D5423" s="5"/>
      <c r="E5423" s="5"/>
      <c r="F5423" s="5"/>
      <c r="G5423" s="5"/>
      <c r="H5423" s="5"/>
      <c r="I5423" s="5"/>
      <c r="J5423" s="5"/>
      <c r="K5423" s="5"/>
      <c r="L5423" s="5"/>
      <c r="M5423" s="5"/>
      <c r="N5423" s="5"/>
      <c r="O5423" s="5"/>
      <c r="P5423" s="5"/>
      <c r="Q5423" s="5"/>
      <c r="R5423" s="5"/>
      <c r="S5423" s="5"/>
      <c r="T5423" s="5"/>
      <c r="U5423" s="6"/>
      <c r="V5423" s="1"/>
    </row>
    <row r="5424">
      <c r="A5424" s="1"/>
      <c r="B5424" s="2"/>
      <c r="C5424" s="2"/>
      <c r="D5424" s="2"/>
      <c r="E5424" s="2"/>
      <c r="F5424" s="2"/>
      <c r="G5424" s="2"/>
      <c r="H5424" s="2"/>
      <c r="I5424" s="2"/>
      <c r="J5424" s="2"/>
      <c r="K5424" s="2"/>
      <c r="L5424" s="2"/>
      <c r="M5424" s="2"/>
      <c r="N5424" s="2"/>
      <c r="O5424" s="2"/>
      <c r="P5424" s="2"/>
      <c r="Q5424" s="2"/>
      <c r="R5424" s="2"/>
      <c r="S5424" s="2"/>
      <c r="T5424" s="2"/>
      <c r="U5424" s="2"/>
      <c r="V5424" s="1"/>
    </row>
  </sheetData>
  <mergeCells count="10">
    <mergeCell ref="B5421:U5421"/>
    <mergeCell ref="B5422:U5422"/>
    <mergeCell ref="B5423:U5423"/>
    <mergeCell ref="B2:U2"/>
    <mergeCell ref="B3:U3"/>
    <mergeCell ref="B4:U4"/>
    <mergeCell ref="B5:U5"/>
    <mergeCell ref="B1789:U1789"/>
    <mergeCell ref="B1953:U1953"/>
    <mergeCell ref="B5420:U5420"/>
  </mergeCells>
  <drawing r:id="rId1"/>
</worksheet>
</file>