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SchematicRouted_v02 copy. " sheetId="1" r:id="rId1"/>
  </sheets>
  <definedNames>
    <definedName name="arrow_part_data">'BotSchematicRouted_v02 copy. '!$H$5:$L$43</definedName>
    <definedName name="BoardQty">'BotSchematicRouted_v02 copy. '!$G$1</definedName>
    <definedName name="digikey_part_data">'BotSchematicRouted_v02 copy. '!$M$5:$Q$43</definedName>
    <definedName name="farnell_part_data">'BotSchematicRouted_v02 copy. '!$R$5:$V$43</definedName>
    <definedName name="global_part_data">'BotSchematicRouted_v02 copy. '!$A$5:$G$43</definedName>
    <definedName name="mouser_part_data">'BotSchematicRouted_v02 copy. '!$W$5:$AA$43</definedName>
    <definedName name="newark_part_data">'BotSchematicRouted_v02 copy. '!$AB$5:$AF$43</definedName>
    <definedName name="rs_part_data">'BotSchematicRouted_v02 copy. '!$AG$5:$AK$43</definedName>
    <definedName name="tme_part_data">'BotSchematicRouted_v02 copy. '!$AL$5:$AP$43</definedName>
    <definedName name="TotalCost">'BotSchematicRouted_v02 copy.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$0.51      $0.51
  3000   $0.51   $1524.60
  3001   $0.29    $878.09
300000   $0.35 $103950.00
30000000   $0.28 $8370000.00</t>
        </r>
      </text>
    </comment>
    <comment ref="O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$0.99      $0.99
    10   $0.86      $8.65
    25   $0.77     $19.16
   100   $0.67     $66.74
   250   $0.58    $145.23
   500   $0.49    $247.20
  1000   $0.40    $395.52
  3000   $0.35   $1044.00
  6000   $0.32   $1944.00
 15000   $0.31   $4680.00
 30000   $0.30   $9000.00</t>
        </r>
      </text>
    </comment>
    <comment ref="T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$0.94      $0.94
     5   $0.94      $4.71
    50   $0.67     $33.58
   250   $0.57    $141.65
   500   $0.47    $237.27
  1500   $0.44    $663.19
  3000   $0.38   $1139.68
 15000   $0.37   $5581.69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$1.00      $1.00
    10   $0.77      $7.66
    50   $0.77     $38.30
   100   $0.58     $58.10
  1000   $0.40    $396.00
 10000   $0.31   $3120.00</t>
        </r>
      </text>
    </comment>
    <comment ref="AD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$1.00      $1.00
     5   $1.00      $5.00
    10   $0.77      $7.66
    25   $0.70     $17.60
    50   $0.64     $32.15
   100   $0.58     $58.10
   250   $0.54    $134.50
   500   $0.49    $247.00
  1000   $0.40    $396.00</t>
        </r>
      </text>
    </comment>
    <comment ref="H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4000   $0.54   $2160.00
 40000   $0.51  $20568.00
4000000   $0.30 $1186000.00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$0.94      $0.94
    10   $0.83      $8.30
    25   $0.75     $18.74
   100   $0.66     $65.60
   250   $0.58    $143.92
   500   $0.51    $254.36
  1000   $0.40    $401.63
  4000   $0.36   $1428.00
  8000   $0.34   $2713.20
 12000   $0.33   $3901.56
 28000   $0.32   $8853.60</t>
        </r>
      </text>
    </comment>
    <comment ref="T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$0.87      $0.87
    10   $0.87      $8.74
   100   $0.64     $63.92
   500   $0.52    $261.90
  1000   $0.42    $422.68
  2000   $0.39    $788.31
  4000   $0.36   $1457.33
 20000   $0.36   $7131.08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$1.47      $1.47
    10   $0.87      $8.67
    50   $0.87     $43.35
   100   $0.71     $71.20
  1000   $0.49    $495.00
 10000   $0.40   $4040.00</t>
        </r>
      </text>
    </comment>
    <comment ref="AD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$0.87      $0.87
    10   $0.87      $8.67
    25   $0.81     $20.38
    50   $0.76     $38.20
   100   $0.71     $71.20
   250   $0.70    $176.25
   500   $0.70    $349.00</t>
        </r>
      </text>
    </comment>
    <comment ref="H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10000   $0.01    $131.00
 10001   $0.01     $66.01</t>
        </r>
      </text>
    </comment>
    <comment ref="M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$0.60
   100   $0.03      $2.68
   500   $0.02      $9.56
  1000   $0.02     $15.02
  2500   $0.01     $34.15
  5000   $0.01     $62.80
 10000   $0.01     $99.80</t>
        </r>
      </text>
    </comment>
    <comment ref="R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$0.06      $0.06
    10   $0.06      $0.57
   100   $0.03      $3.27
   150   $0.03      $4.90
   500   $0.02     $12.32
  2500   $0.02     $46.03
 10000   $0.01    $129.66</t>
        </r>
      </text>
    </comment>
    <comment ref="Y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10   $0.03      $0.29
    50   $0.03      $1.45
   100   $0.02      $1.80
  1000   $0.01     $12.00
 10000   $0.01     $80.00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10   $0.13      $1.30
    25   $0.03      $0.73
   100   $0.02      $1.80
   250   $0.02      $4.25
   500   $0.01      $7.50
  1000   $0.01     $12.00
  2500   $0.01     $25.00
 10000   $0.01     $80.00</t>
        </r>
      </text>
    </comment>
    <comment ref="AL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100   $0.03      $2.96
  1000   $0.01     $12.19
 10000   $0.01     $70.50
 40000   $0.01    $238.40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 10   $0.14      $1.42
   100   $0.07      $7.21
   500   $0.05     $24.67
  1000   $0.04     $43.64
  4000   $0.04    $141.92</t>
        </r>
      </text>
    </comment>
    <comment ref="R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4000   $0.01     $44.08
 20000   $0.01    $181.52</t>
        </r>
      </text>
    </comment>
    <comment ref="W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$0.19      $0.19
    10   $0.12      $1.25
    50   $0.12      $6.25
   100   $0.06      $6.30
  1000   $0.04     $38.00
 10000   $0.03    $280.00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$500.00
  8000   $0.12    $984.00
 16000   $0.12   $1952.00
 24000   $0.12   $2880.00
 40000   $0.12   $4760.00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H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$0.00      $0.00
 10000   $0.00     $29.00
100000   $0.00    $280.00
1000000   $0.00   $2100.00
5000000   $0.00   $8500.00</t>
        </r>
      </text>
    </comment>
    <comment ref="M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$0.03      $0.25
   100   $0.01      $1.13
   500   $0.01      $4.03
  1000   $0.01      $6.33
  2500   $0.01     $14.38
  5000   $0.01     $26.45
 10000   $0.00     $42.00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10   $0.02      $0.18
   100   $0.01      $1.05
   150   $0.01      $1.58
   500   $0.01      $3.57
  2500   $0.01     $12.64
  5000   $0.00     $23.99
 10000   $0.00     $40.19
 50000   $0.00    $168.55</t>
        </r>
      </text>
    </comment>
    <comment ref="Y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$0.18
    50   $0.02      $0.90
   100   $0.01      $1.10
  1000   $0.01      $7.00
 10000   $0.01     $50.00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$0.10      $1.00
    25   $0.02      $0.45
   100   $0.01      $1.10
   250   $0.01      $2.50
   500   $0.01      $4.50
  1000   $0.01      $7.00
  2500   $0.01     $15.00
 10000   $0.01     $50.00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$1.57
  1000   $0.01      $5.95
 10000   $0.00     $34.00
 40000   $0.00    $121.60</t>
        </r>
      </text>
    </comment>
    <comment ref="H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$0.00      $0.00
    10   $0.00      $0.03
   100   $0.00      $0.22
   500   $0.00      $0.80</t>
        </r>
      </text>
    </comment>
    <comment ref="M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$0.41
   100   $0.02      $1.83
   500   $0.01      $6.54
  1000   $0.01     $10.28
  2500   $0.01     $23.35
  5000   $0.01     $43.00
 10000   $0.01     $68.30</t>
        </r>
      </text>
    </comment>
    <comment ref="T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10   $0.02      $0.21
   100   $0.01      $1.22
   150   $0.01      $1.83
   500   $0.01      $4.15
  2500   $0.01     $18.15
  5000   $0.01     $34.36
 10000   $0.01     $54.46
 50000   $0.01    $259.31</t>
        </r>
      </text>
    </comment>
    <comment ref="W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$0.20
    50   $0.02      $1.00
   100   $0.01      $1.20
  1000   $0.01      $8.00
 10000   $0.01     $60.00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10   $0.11      $1.08
    25   $0.02      $0.53
   100   $0.01      $1.40
   250   $0.01      $3.50
   500   $0.01      $6.50
  1000   $0.01     $10.00
  2500   $0.01     $22.50
 10000   $0.01     $90.00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$1.34
  1000   $0.01      $7.33
 10000   $0.00     $43.40
 40000   $0.00    $155.20</t>
        </r>
      </text>
    </comment>
    <comment ref="H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10000   $0.02    $164.00
 10001   $0.01    $113.01
100000   $0.02   $1550.00
1000000   $0.01  $10400.00
5000000   $0.01  $38000.00</t>
        </r>
      </text>
    </comment>
    <comment ref="M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10   $0.10      $0.99
   100   $0.04      $4.39
   500   $0.03     $15.69
  1000   $0.02     $24.65
  2500   $0.02     $56.02
  5000   $0.02    $103.10
 10000   $0.02    $163.80</t>
        </r>
      </text>
    </comment>
    <comment ref="T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$0.23      $0.23
    10   $0.23      $2.29
   100   $0.11     $11.06
   150   $0.11     $16.59
   500   $0.07     $36.43
  2500   $0.04     $95.62
  5000   $0.03    $173.09</t>
        </r>
      </text>
    </comment>
    <comment ref="Y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10   $0.04      $0.43
    50   $0.04      $2.15
   100   $0.03      $3.00
  1000   $0.02     $20.00
 10000   $0.01    $140.00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25   $0.04      $1.07
   100   $0.03      $3.00
   250   $0.03      $7.00
   500   $0.03     $13.00
  1000   $0.02     $20.00
  2500   $0.02     $42.50
 10000   $0.02    $160.00
 20000   $0.02    $320.00
 30000   $0.01    $450.00
 50000   $0.01    $550.00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H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40000   $0.03   $1016.00
4000000   $0.01  $47600.00
400000000   $0.01 $2480000.00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  10   $0.11      $1.09
   100   $0.05      $5.13
   500   $0.04     $18.00
  1000   $0.03     $29.80
  4000   $0.03    $101.48</t>
        </r>
      </text>
    </comment>
    <comment ref="AN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100   $0.08      $7.91
   300   $0.05     $15.02
  1000   $0.03     $28.30
  4000   $0.02     $75.48
 20000   $0.02    $319.20</t>
        </r>
      </text>
    </comment>
    <comment ref="H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10000   $0.01     $60.00
100000   $0.01    $570.00
1000000   $0.00   $4100.00
5000000   $0.00  $16500.00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$1.97
   500   $0.01      $7.04
  1000   $0.01     $11.07
  2500   $0.01     $25.15
  5000   $0.01     $46.30
 10000   $0.01     $73.50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10   $0.02      $0.25
   100   $0.01      $1.17
   150   $0.01      $1.75
   500   $0.01      $4.80
  2500   $0.01     $18.80
 10000   $0.01     $55.75</t>
        </r>
      </text>
    </comment>
    <comment ref="Y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10   $0.04      $0.44
    50   $0.04      $2.20
   100   $0.02      $1.90
  1000   $0.01     $11.00
 10000   $0.01     $70.00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10   $0.03      $0.34
 10000   $0.01     $60.00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$1.68
  1000   $0.01      $5.74
 10000   $0.00     $26.90
 40000   $0.00    $106.00</t>
        </r>
      </text>
    </comment>
    <comment ref="H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4000   $0.04    $148.40
 40000   $0.04   $1408.00
400000   $0.02   $9760.00
2000000   $0.02  $38000.00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$0.26      $0.26
    10   $0.18      $1.76
   100   $0.09      $8.91
   500   $0.06     $30.47
  1000   $0.05     $53.91
  4000   $0.04    $163.00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$0.20      $0.20
    10   $0.20      $1.96
   100   $0.11     $10.85
   150   $0.11     $16.28
   500   $0.07     $34.16
  1000   $0.06     $57.57
  4000   $0.04    $175.81</t>
        </r>
      </text>
    </comment>
    <comment ref="Y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$0.26      $0.26
    10   $0.17      $1.70
    50   $0.17      $8.50
   100   $0.09      $8.60
  1000   $0.05     $52.00
 10000   $0.04    $400.00</t>
        </r>
      </text>
    </comment>
    <comment ref="AB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$0.14      $1.38
    25   $0.12      $2.90
    50   $0.09      $4.70
   100   $0.07      $7.30
   250   $0.06     $15.75
   500   $0.05     $26.00
  1000   $0.05     $47.00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$0.20      $0.20
    10   $0.14      $1.45
   100   $0.07      $6.82
   500   $0.05     $23.90
  1000   $0.04     $39.58
  4000   $0.03    $117.20</t>
        </r>
      </text>
    </comment>
    <comment ref="R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  10   $0.15      $1.48
   100   $0.09      $9.19
   150   $0.09     $13.79
   500   $0.07     $35.33
  1000   $0.05     $53.81</t>
        </r>
      </text>
    </comment>
    <comment ref="W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$0.22      $0.22
    10   $0.08      $0.76
    50   $0.08      $3.80
   100   $0.05      $5.20
  1000   $0.04     $35.00
 10000   $0.04    $350.00</t>
        </r>
      </text>
    </comment>
    <comment ref="AB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4000   $0.04    $156.00</t>
        </r>
      </text>
    </comment>
    <comment ref="AL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4000   $0.04    $142.04</t>
        </r>
      </text>
    </comment>
    <comment ref="J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$0.45      $0.45
    10   $0.32      $3.24
    25   $0.26      $6.55
   100   $0.21     $20.75
   250   $0.17     $43.30
   500   $0.15     $73.00
  1000   $0.11    $109.20
  3000   $0.10    $304.50
  6000   $0.10    $573.00
 15000   $0.08   $1251.00
 30000   $0.08   $2388.00
 75000   $0.07   $5497.50</t>
        </r>
      </text>
    </comment>
    <comment ref="O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$0.50      $0.50
    10   $0.36      $3.64
    25   $0.30      $7.43
   100   $0.24     $23.76
   250   $0.20     $50.12
   500   $0.17     $85.39
  1000   $0.13    $133.65
  3000   $0.11    $334.14
  6000   $0.10    $607.50
 15000   $0.09   $1417.50
 30000   $0.09   $2733.90
 75000   $0.09   $6581.25</t>
        </r>
      </text>
    </comment>
    <comment ref="O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$1.55      $1.55
    10   $1.26     $12.63
    25   $0.97     $24.28
   100   $0.87     $87.42
   250   $0.78    $194.26
   500   $0.66    $330.24
  1000   $0.49    $494.48</t>
        </r>
      </text>
    </comment>
    <comment ref="Y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$0.99      $0.99
    10   $0.84      $8.38
    50   $0.84     $41.90
   100   $0.64     $64.30
  1000   $0.45    $449.00
 10000   $0.44   $4430.00</t>
        </r>
      </text>
    </comment>
    <comment ref="AD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1000   $0.54    $536.00
  2000   $0.53   $1068.00
  4000   $0.53   $2132.00
  6000   $0.53   $3186.00
 10000   $0.53   $5290.00</t>
        </r>
      </text>
    </comment>
    <comment ref="H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$0.46      $0.46
  4500   $0.22    $985.05
  9000   $0.20   $1836.00
 18000   $0.20   $3569.40
 36000   $0.20   $7041.60
 72000   $0.19  $13795.20
180000   $0.18  $32040.00</t>
        </r>
      </text>
    </comment>
    <comment ref="O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$0.58      $0.58
    10   $0.54      $5.40
   100   $0.41     $41.42
   500   $0.36    $180.07
  1000   $0.30    $297.12
  4500   $0.26   $1160.33
  9000   $0.23   $2088.63
 13500   $0.23   $3086.50
 31500   $0.22   $7039.31</t>
        </r>
      </text>
    </comment>
    <comment ref="T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$0.44      $0.44
    10   $0.44      $4.36
   100   $0.38     $38.12
   500   $0.33    $164.66
  1000   $0.27    $272.28
  2500   $0.24    $599.66
  5000   $0.23   $1134.49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$0.55      $0.55
    10   $0.45      $4.54
    50   $0.45     $22.70
   100   $0.40     $39.80
  1000   $0.28    $284.00
 10000   $0.23   $2330.00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  25   $0.18      $4.55
    50   $0.18      $9.10
   100   $0.18     $18.20
   250   $0.18     $45.50
   500   $0.18     $91.00
  1000   $0.18    $182.00
  2500   $0.18    $455.00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$0.30      $0.30
  4500   $0.30   $1345.95</t>
        </r>
      </text>
    </comment>
    <comment ref="O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$1.43      $1.43
    30   $1.22     $36.57
   120   $1.11    $133.56
   510   $0.93    $473.03
  1020   $0.80    $810.90</t>
        </r>
      </text>
    </comment>
    <comment ref="T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$1.26      $1.26
    50   $1.17     $58.60
   100   $1.08    $108.13
   250   $0.98    $243.75
   500   $0.90    $450.55
  1000   $0.77    $772.75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$1.43      $1.43
    10   $1.28     $12.80
    50   $1.17     $58.50
   100   $1.12    $112.00
  1000   $0.80    $795.00
 10000   $0.69   $6900.00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$1.06      $1.06
    10   $0.77      $7.71
   100   $0.68     $68.45
   500   $0.63    $313.95
  1000   $0.62    $619.30
  1250   $0.56    $699.12
  2500   $0.43   $1087.25
  3000   $1.06   $3171.00
  5000   $0.40   $2005.50
  6000   $1.00   $6024.00
 10000   $0.39   $3936.00</t>
        </r>
      </text>
    </comment>
    <comment ref="O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$1.14      $1.14
    10   $1.00     $10.04
   100   $0.87     $86.59
   500   $0.71    $354.24
  3000   $0.57   $1712.16
  6000   $0.55   $3306.24
 12000   $0.51   $6140.16</t>
        </r>
      </text>
    </comment>
    <comment ref="T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$0.94      $0.94
    50   $0.87     $43.69
   100   $0.81     $80.91
   250   $0.74    $184.11
   500   $0.66    $331.27
  1000   $0.60    $602.90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$1.14      $1.14
    10   $1.00      $9.96
    50   $1.00     $49.80
   100   $0.87     $86.70
  1000   $0.63    $630.00
 10000   $0.57   $5710.00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$1.11      $1.11
    10   $0.97      $9.75
    25   $0.93     $23.28
    50   $0.89     $44.30
   100   $0.84     $84.20
   250   $0.77    $191.25
   500   $0.69    $344.50
  1000   $0.61    $612.00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$0.77      $0.77
    10   $0.72      $7.21
   100   $0.62     $62.17
   500   $0.53    $266.15</t>
        </r>
      </text>
    </comment>
    <comment ref="O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$1.03      $1.03
    10   $0.90      $9.03
   100   $0.78     $77.95
   500   $0.64    $318.87
  3000   $0.51   $1541.22
  6000   $0.50   $2976.12
 12000   $0.46   $5527.08</t>
        </r>
      </text>
    </comment>
    <comment ref="T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$0.74      $0.74
    50   $0.69     $34.75
   100   $0.65     $64.70
   250   $0.62    $155.26
   500   $0.60    $297.56
  1000   $0.58    $583.45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$1.03      $1.03
    10   $0.90      $8.97
    50   $0.90     $44.85
   100   $0.78     $78.00
  1000   $0.57    $567.00
 10000   $0.47   $4720.00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$0.88      $0.88
    10   $0.79      $7.92
    25   $0.76     $18.92
    50   $0.72     $36.15
   100   $0.69     $68.90
   250   $0.62    $155.00
   500   $0.55    $275.50
  1000   $0.52    $516.00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$1.11      $1.11
    50   $1.00     $50.07
   100   $0.81     $80.92
   300   $0.71    $212.42</t>
        </r>
      </text>
    </comment>
    <comment ref="J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$0.56      $0.56
    10   $0.52      $5.25
    25   $0.52     $12.98
   100   $0.41     $41.26
   250   $0.41    $102.10
   500   $0.40    $200.55
  1000   $0.39    $393.80
  3000   $0.39   $1159.20
  4500   $0.26   $1165.05
  6000   $0.38   $2274.00
  9000   $0.25   $2207.70
 15000   $0.37   $5574.00
 18000   $0.24   $4311.00
 30000   $0.36  $10929.00
 36000   $0.23   $8290.80</t>
        </r>
      </text>
    </comment>
    <comment ref="O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$0.62      $0.62
    10   $0.58      $5.79
   100   $0.44     $44.38
   500   $0.39    $192.94
  1000   $0.32    $318.35
  4500   $0.28   $1243.35
  9000   $0.25   $2238.03
 13500   $0.24   $3307.37
 31500   $0.24   $7542.99</t>
        </r>
      </text>
    </comment>
    <comment ref="T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$0.47      $4.65
   100   $0.41     $40.84
   500   $0.35    $176.33
  1000   $0.29    $291.73
  2500   $0.26    $638.56
  5000   $0.24   $1192.83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$0.59      $0.59
    10   $0.49      $4.87
    50   $0.49     $24.35
   100   $0.43     $42.60
  1000   $0.30    $304.00
 10000   $0.25   $2490.00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$0.63      $0.63
    10   $0.52      $5.16
    25   $0.50     $12.40
    50   $0.48     $23.80
   100   $0.46     $45.50
   250   $0.43    $106.75
   500   $0.40    $199.00
  1000   $0.34    $335.00
 36000   $0.24   $8568.00
 45000   $0.23  $10575.00
 81000   $0.23  $18792.00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4500   $0.27   $1221.30</t>
        </r>
      </text>
    </comment>
    <comment ref="J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</t>
        </r>
      </text>
    </comment>
    <comment ref="M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  10   $0.13      $1.34
   100   $0.07      $7.29
   500   $0.04     $22.43
  1000   $0.03     $30.59
  3000   $0.03     $75.75
  6000   $0.02    $136.62
 15000   $0.02    $297.00
 30000   $0.02    $534.60
 75000   $0.02   $1188.00
150000   $0.01   $1975.50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 5   $0.13      $0.66
    50   $0.13      $6.37
   100   $0.05      $4.54
   150   $0.05      $6.81
   500   $0.03     $14.33
  1500   $0.03     $41.23
  3000   $0.02     $63.01
  9000   $0.02    $141.20</t>
        </r>
      </text>
    </comment>
    <comment ref="Y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10   $0.12      $1.16
    50   $0.12      $5.80
   100   $0.04      $4.10
  1000   $0.03     $28.00
 10000   $0.02    $180.00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   5   $0.12      $0.60
    25   $0.10      $2.62
    50   $0.10      $4.80
   100   $0.09      $8.90
   250   $0.08     $20.25
   500   $0.07     $37.50
  1000   $0.07     $70.00
  3000   $0.06    $183.00
  6000   $0.06    $342.00
 12000   $0.06    $660.00
 18000   $0.05    $954.00
 30000   $0.05   $1560.00</t>
        </r>
      </text>
    </comment>
    <comment ref="AN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25   $0.03      $0.80
   100   $0.02      $1.81
   500   $0.01      $7.50
  3000   $0.01     $39.90
 12000   $0.01    $141.60</t>
        </r>
      </text>
    </comment>
    <comment ref="J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10   $0.01      $0.11
    25   $0.01      $0.24
   100   $0.00      $0.36
   250   $0.00      $0.80
   500   $0.00      $1.40
  1000   $0.00      $2.70
  3000   $0.00      $7.80
  6000   $0.00     $13.80
 10000   $0.00     $17.00
 15000   $0.00     $28.50
100000   $0.00    $160.00
1000000   $0.00   $1100.00
5000000   $0.00   $4500.00</t>
        </r>
      </text>
    </comment>
    <comment ref="O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$0.18
   100   $0.01      $0.73
  1000   $0.00      $3.29
  2500   $0.00      $7.15
  5000   $0.00     $11.80
 10000   $0.00     $18.60
 30000   $0.00     $48.90
 50000   $0.00     $75.00
100000   $0.00    $147.00</t>
        </r>
      </text>
    </comment>
    <comment ref="T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10   $0.02      $0.18
   100   $0.02      $1.59
   500   $0.01      $6.81
  2500   $0.01     $17.18
  5000   $0.01     $28.52
 10000   $0.00     $45.38
 50000   $0.00    $168.55</t>
        </r>
      </text>
    </comment>
    <comment ref="Y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$0.12
    50   $0.01      $0.60
   100   $0.00      $0.40
  1000   $0.00      $3.00
 10000   $0.00     $30.00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 10   $0.01      $0.12
    25   $0.01      $0.22
    50   $0.01      $0.35
   100   $0.00      $0.40
   250   $0.00      $1.00
   500   $0.00      $1.50
  1000   $0.00      $3.00</t>
        </r>
      </text>
    </comment>
    <comment ref="H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$0.00      $0.00
 10000   $0.00     $39.00
 10001   $0.01    $129.01</t>
        </r>
      </text>
    </comment>
    <comment ref="M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$1.78
  1000   $0.01      $8.02
  2500   $0.01     $17.40
  5000   $0.01     $28.75
 10000   $0.00     $45.40
 30000   $0.00    $127.50</t>
        </r>
      </text>
    </comment>
    <comment ref="T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10   $0.02      $0.22
   100   $0.02      $1.66
   150   $0.02      $2.49
   500   $0.01      $5.19
  2500   $0.01     $22.69
 10000   $0.01     $64.83</t>
        </r>
      </text>
    </comment>
    <comment ref="Y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 50   $0.04      $2.20
   100   $0.02      $1.80
  1000   $0.01      $6.00
 10000   $0.01     $50.00</t>
        </r>
      </text>
    </comment>
    <comment ref="AD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25   $0.05      $1.32
   100   $0.02      $2.20
   250   $0.02      $4.25
   500   $0.01      $6.00
  1000   $0.01      $7.00
 10000   $0.01     $60.00</t>
        </r>
      </text>
    </comment>
    <comment ref="J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$0.09      $0.09
    10   $0.02      $0.23
    25   $0.02      $0.53
   100   $0.01      $1.35
   250   $0.01      $3.05
   500   $0.01      $5.40
  1000   $0.01      $7.60
  3000   $0.01     $19.80
  6000   $0.01     $34.20
 15000   $0.00     $70.50
 30000   $0.00    $117.00
 50000   $0.01    $500.00
5000000   $0.01  $28500.00
500000000   $0.00 $1800000.00</t>
        </r>
      </text>
    </comment>
    <comment ref="O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$0.45
   100   $0.02      $1.84
  1000   $0.01      $8.26
  2500   $0.01     $17.93
  5000   $0.01     $29.65
 10000   $0.00     $46.80
 30000   $0.00    $123.30
 50000   $0.00    $188.50
100000   $0.00    $370.00</t>
        </r>
      </text>
    </comment>
    <comment ref="Y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  10   $0.03      $0.26
    50   $0.03      $1.30
   100   $0.01      $1.50
  1000   $0.01      $9.00
 10000   $0.01     $70.00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$0.00      $0.00
 50000   $0.00    $150.00</t>
        </r>
      </text>
    </comment>
    <comment ref="M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$0.05      $0.05
 10000   $0.05    $523.60</t>
        </r>
      </text>
    </comment>
    <comment ref="J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$0.09      $0.09
    10   $0.02      $0.23
    25   $0.02      $0.53
   100   $0.01      $1.35
   250   $0.01      $3.05
   500   $0.01      $5.40
  1000   $0.01      $7.60
  3000   $0.01     $21.00
  6000   $0.01     $35.40
 10000   $0.00     $47.00
 15000   $0.00     $69.00
 30000   $0.00    $117.00
 50000   $0.00    $195.00
100000   $0.00    $380.00</t>
        </r>
      </text>
    </comment>
    <comment ref="O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$0.45
   100   $0.02      $1.84
  1000   $0.01      $8.26
  2500   $0.01     $17.93
  5000   $0.01     $29.65
 10000   $0.00     $46.80
 30000   $0.00    $123.30
 50000   $0.00    $188.50
100000   $0.00    $370.00</t>
        </r>
      </text>
    </comment>
    <comment ref="T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10   $0.03      $0.29
   100   $0.02      $1.72
   500   $0.01      $7.33
  2500   $0.01     $28.85
 10000   $0.01     $89.46</t>
        </r>
      </text>
    </comment>
    <comment ref="Y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  10   $0.03      $0.26
    50   $0.03      $1.30
   100   $0.01      $1.50
  1000   $0.01      $9.00
 10000   $0.01     $70.00</t>
        </r>
      </text>
    </comment>
    <comment ref="AD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  25   $0.03      $0.65
   100   $0.01      $1.50
   250   $0.01      $3.50
   500   $0.01      $6.00
  1000   $0.01      $9.00
  2500   $0.01     $20.00
  5000   $0.01     $35.00</t>
        </r>
      </text>
    </comment>
    <comment ref="H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$0.00      $0.00
 10000   $0.00     $16.00
 10001   $0.00     $18.00
 30000   $0.00     $45.00
 50000   $0.00     $70.00
100000   $0.00    $150.00
100001   $0.00    $120.00
1000000   $0.00   $1000.00
5000000   $0.00   $3500.00</t>
        </r>
      </text>
    </comment>
    <comment ref="O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$0.14
    25   $0.01      $0.25
    50   $0.01      $0.39
   100   $0.01      $0.57
   250   $0.00      $1.09
   500   $0.00      $1.74
  1000   $0.00      $2.57
  5000   $0.00      $9.20
 10000   $0.00     $14.50
 30000   $0.00     $38.40
 50000   $0.00     $58.50
100000   $0.00    $115.00</t>
        </r>
      </text>
    </comment>
    <comment ref="T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$0.14
    25   $0.01      $0.25
   100   $0.01      $0.65
   250   $0.01      $1.52
   500   $0.01      $2.79
  1000   $0.00      $4.80
  2500   $0.01     $17.18
  5000   $0.01     $25.93
 10000   $0.00     $35.01
 50000   $0.00    $129.66</t>
        </r>
      </text>
    </comment>
    <comment ref="Y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$0.10
    50   $0.01      $0.50
   100   $0.00      $0.40
  1000   $0.00      $3.00
 10000   $0.00     $20.00</t>
        </r>
      </text>
    </comment>
    <comment ref="AD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10   $0.01      $0.10
    25   $0.01      $0.30
    50   $0.01      $0.30
   100   $0.01      $0.50
   250   $0.01      $1.25
   500   $0.00      $2.00
  1000   $0.00      $4.00
  2500   $0.00      $5.00
 10000   $0.00     $20.00</t>
        </r>
      </text>
    </comment>
    <comment ref="AN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$1.54
  1000   $0.00      $4.31
 10000   $0.00     $14.70
 50000   $0.00     $65.00
100000   $0.00    $129.00</t>
        </r>
      </text>
    </comment>
    <comment ref="H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$0.00      $0.00
 10000   $0.00     $41.00
 10001   $0.01    $128.01
 30000   $0.00    $102.00</t>
        </r>
      </text>
    </comment>
    <comment ref="M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$1.78
  1000   $0.01      $8.02
  2500   $0.01     $17.40
  5000   $0.01     $28.75
 10000   $0.00     $45.40
 30000   $0.00    $127.50</t>
        </r>
      </text>
    </comment>
    <comment ref="T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10   $0.02      $0.19
   100   $0.01      $1.45
   150   $0.01      $2.18
   500   $0.01      $5.90
  2500   $0.01     $22.37
 10000   $0.01     $57.05</t>
        </r>
      </text>
    </comment>
    <comment ref="Y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$0.45
    50   $0.04      $2.25
   100   $0.03      $2.60
  1000   $0.02     $18.00
 10000   $0.01     $60.00</t>
        </r>
      </text>
    </comment>
    <comment ref="AB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$0.10      $1.00
    25   $0.04      $1.12
   100   $0.03      $2.60
   250   $0.02      $5.75
   500   $0.02     $10.50
  1000   $0.02     $18.00
 10000   $0.01     $70.00</t>
        </r>
      </text>
    </comment>
    <comment ref="O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$1.78
  1000   $0.01      $8.02
  2500   $0.01     $17.40
  5000   $0.01     $28.75
 10000   $0.00     $45.40
 30000   $0.00    $127.50</t>
        </r>
      </text>
    </comment>
    <comment ref="T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10   $0.02      $0.19
   100   $0.01      $1.47
   150   $0.01      $2.20
   500   $0.01      $5.90
  2500   $0.01     $22.69
  5000   $0.01     $35.66
 10000   $0.01     $57.05
 50000   $0.01    $259.31
100000   $0.00    $466.76</t>
        </r>
      </text>
    </comment>
    <comment ref="Y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$0.45
    50   $0.04      $2.25
   100   $0.03      $2.60
  1000   $0.02     $18.00
 10000   $0.01     $60.00</t>
        </r>
      </text>
    </comment>
    <comment ref="AD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$0.05      $0.05
    10   $0.05      $0.49
    25   $0.04      $1.07
    50   $0.04      $1.75
   100   $0.03      $2.80
   250   $0.03      $6.50
   500   $0.02     $11.50
  1000   $0.02     $20.00
 10000   $0.01     $60.00</t>
        </r>
      </text>
    </comment>
    <comment ref="T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 10   $0.01      $0.11
   100   $0.01      $0.64
   500   $0.00      $2.27
  2500   $0.00      $8.75
  5000   $0.00     $14.26</t>
        </r>
      </text>
    </comment>
    <comment ref="AD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10   $0.02      $0.17
    25   $0.01      $0.33
    50   $0.01      $0.60</t>
        </r>
      </text>
    </comment>
    <comment ref="M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$1.78
  1000   $0.01      $8.02
  2500   $0.01     $17.40
  5000   $0.01     $28.75
 10000   $0.00     $45.40
 30000   $0.00    $127.50</t>
        </r>
      </text>
    </comment>
    <comment ref="R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10   $0.02      $0.25
   150   $0.02      $3.70
   250   $0.02      $4.12
  1000   $0.01     $10.24
  5000   $0.01     $39.55
 10000   $0.01     $57.05</t>
        </r>
      </text>
    </comment>
    <comment ref="Y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$0.45
    50   $0.04      $2.25
   100   $0.03      $2.60
  1000   $0.02     $18.00
 10000   $0.01     $60.00</t>
        </r>
      </text>
    </comment>
    <comment ref="AB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$0.45
    25   $0.04      $0.97
    50   $0.03      $1.60
   100   $0.03      $2.60
   250   $0.02      $5.75
   500   $0.02     $10.50
  1000   $0.02     $18.00
 10000   $0.01     $60.00</t>
        </r>
      </text>
    </comment>
    <comment ref="J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$2.13      $2.13
    10   $1.92     $19.24
   260   $1.66    $431.34
   520   $1.51    $787.28
  1040   $1.29   $1341.60
  1560   $2.40   $3744.00
 15600   $2.27  $35490.00
1560000   $1.15 $1794000.00</t>
        </r>
      </text>
    </comment>
    <comment ref="O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$2.92      $2.92
    10   $2.62     $26.21
   260   $1.98    $514.23
   520   $1.73    $899.90
  1040   $1.43   $1491.26</t>
        </r>
      </text>
    </comment>
    <comment ref="T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$2.97      $2.97
    10   $2.48     $24.76
    25   $2.42     $60.61
    50   $2.36    $117.99
   100   $2.05    $204.86
   250   $1.93    $482.97
   500   $1.71    $855.73
  1000   $1.35   $1348.42</t>
        </r>
      </text>
    </comment>
    <comment ref="Y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$2.93      $2.93
    10   $2.49     $24.90
    50   $2.49    $124.50
   100   $2.16    $216.00
  1000   $1.55   $1550.00
 10000   $1.42  $14200.00</t>
        </r>
      </text>
    </comment>
    <comment ref="AD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$3.49      $3.49
    10   $3.01     $30.10
   100   $2.64    $264.00
   500   $2.29   $1145.00
  1000   $1.97   $1970.00
  2500   $1.88   $4700.00
  5000   $1.82   $9100.00</t>
        </r>
      </text>
    </comment>
    <comment ref="AN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$2.78      $2.78
     3   $2.72      $8.16
    10   $2.47     $24.72
    50   $2.10    $104.88</t>
        </r>
      </text>
    </comment>
    <comment ref="J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$2.20      $2.20
    10   $1.98     $19.83
    25   $1.97     $49.30
   100   $1.76    $176.20
   250   $1.71    $427.75
   500   $1.54    $771.50
  1000   $1.43   $1434.00</t>
        </r>
      </text>
    </comment>
    <comment ref="O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$3.00      $3.00
    10   $2.70     $26.97
   100   $2.21    $220.94
   500   $1.88    $940.39
  5000   $1.41   $7040.00</t>
        </r>
      </text>
    </comment>
    <comment ref="Y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$2.92      $2.92
    10   $2.48     $24.80
    50   $2.48    $124.00
   100   $2.15    $215.00
  1000   $1.54   $1540.00
 10000   $1.41  $14100.00</t>
        </r>
      </text>
    </comment>
    <comment ref="J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$1.03      $1.03
    10   $0.98      $9.81
    25   $0.97     $24.28
   100   $0.84     $84.09
   250   $0.83    $207.77
   500   $0.75    $374.15
  1000   $0.67    $673.50
  3000   $0.61   $1818.30
 18000   $0.67  $12060.00
180000   $0.64 $116046.00
18000000   $0.43 $7743600.00</t>
        </r>
      </text>
    </comment>
    <comment ref="O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$1.32      $1.32
    10   $1.18     $11.80
   100   $0.92     $92.04
   500   $0.76    $380.15
  1500   $0.58    $874.12</t>
        </r>
      </text>
    </comment>
    <comment ref="T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$1.37      $1.37
    25   $1.21     $30.14
    50   $1.07     $53.68
   100   $0.94     $94.13
   250   $0.86    $214.90
   500   $0.78    $388.97
  1000   $0.60    $596.42
  2500   $0.58   $1458.63</t>
        </r>
      </text>
    </comment>
    <comment ref="AD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$1.94      $1.94
    50   $1.75     $87.50
   100   $1.39    $139.00
   250   $1.28    $320.00
   500   $1.17    $585.00</t>
        </r>
      </text>
    </comment>
    <comment ref="AN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$1.13      $1.13
     5   $0.98      $4.90
    25   $0.78     $19.50
   100   $0.71     $71.00
   500   $0.66    $330.00</t>
        </r>
      </text>
    </comment>
    <comment ref="J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$0.77      $0.77
    10   $0.71      $7.09
    25   $0.66     $16.59
   100   $0.61     $60.81
   250   $0.54    $136.03
   500   $0.51    $256.70
  1000   $0.45    $445.50
  3000   $0.58   $1732.50
 30000   $0.56  $16800.00
3000000   $0.41 $1220700.00</t>
        </r>
      </text>
    </comment>
    <comment ref="O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$1.19      $1.19
    10   $1.06     $10.63
   100   $0.83     $82.92
   500   $0.68    $342.48
  1000   $0.54    $540.75
  3000   $0.49   $1470.00
  6000   $0.47   $2793.00</t>
        </r>
      </text>
    </comment>
    <comment ref="T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$0.86      $0.86
    50   $0.40     $20.23
   100   $0.38     $37.73
   250   $0.36     $90.43
   500   $0.35    $173.09</t>
        </r>
      </text>
    </comment>
    <comment ref="Y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$1.11      $1.11
    10   $0.98      $9.76
    50   $0.88     $44.10
   100   $0.77     $77.00
  1000   $0.49    $487.00
 10000   $0.43   $4290.00</t>
        </r>
      </text>
    </comment>
    <comment ref="J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$0.91      $0.91
    10   $0.90      $9.02
    25   $0.84     $21.11
   100   $0.84     $83.57
   250   $0.83    $206.82
   500   $0.82    $409.40
  1000   $0.81    $810.40
  3000   $0.80   $2405.40
  6000   $0.84   $5067.60
 60000   $0.84  $50442.00
6000000   $0.80 $4813200.00</t>
        </r>
      </text>
    </comment>
    <comment ref="O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$1.01      $1.01
    25   $0.93     $23.18
   100   $0.84     $84.46
  6000   $0.84   $5067.66</t>
        </r>
      </text>
    </comment>
    <comment ref="Y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$1.01      $1.01
    10   $0.99      $9.95
    50   $0.93     $46.35
   100   $0.84     $84.50
  1000   $0.84    $845.00
 10000   $0.84   $8450.00</t>
        </r>
      </text>
    </comment>
    <comment ref="AB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$0.84      $0.84
  6000   $0.84   $5070.00</t>
        </r>
      </text>
    </comment>
    <comment ref="J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$3.13      $3.13
    10   $2.57     $25.67
    25   $2.56     $64.08
   100   $2.35    $235.20
   250   $2.12    $529.75
   500   $1.86    $928.00
  1000   $1.64   $1640.00
  1500   $3.36   $5040.00
 15000   $3.16  $47340.00
1500000   $1.40 $2092500.00</t>
        </r>
      </text>
    </comment>
    <comment ref="O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$3.53      $3.53
    10   $3.15     $31.50
    25   $2.84     $70.88
   100   $2.58    $258.30
   250   $2.33    $582.75
   500   $2.09   $1045.80
  1500   $1.68   $2520.00
  3000   $1.60   $4788.00</t>
        </r>
      </text>
    </comment>
    <comment ref="T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$3.46      $3.46
    10   $2.77     $27.75
    25   $2.70     $67.42
    50   $2.61    $130.30
   100   $2.53    $252.83
   250   $2.28    $570.49
   500   $2.02   $1011.32
  1000   $1.61   $1607.73</t>
        </r>
      </text>
    </comment>
    <comment ref="Y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$3.36      $3.36
    10   $2.70     $27.00
    50   $2.70    $135.00
   100   $2.46    $246.00
  1000   $1.67   $1670.00
 10000   $1.45  $14500.00</t>
        </r>
      </text>
    </comment>
    <comment ref="AD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$3.83      $3.83
    10   $3.37     $33.70
    25   $3.09     $77.25
    50   $2.80    $140.00
   100   $2.43    $243.00
   250   $1.93    $482.50
   500   $1.83    $915.00
  1000   $1.72   $1720.00</t>
        </r>
      </text>
    </comment>
    <comment ref="J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$0.72      $0.72
    10   $0.65      $6.47
    25   $0.65     $16.14
   100   $0.55     $54.82
   250   $0.51    $126.60
  3000   $0.43   $1305.00
  6000   $0.32   $1918.80
 12000   $0.24   $2896.80
 21000   $0.23   $4813.20
 51000   $0.22  $11214.90</t>
        </r>
      </text>
    </comment>
    <comment ref="O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$0.86      $0.86
    10   $0.76      $7.59
    50   $0.71     $35.48
   100   $0.63     $62.70
   500   $0.59    $297.00
  1000   $0.49    $495.00
  3000   $0.43   $1305.00
  6000   $0.42   $2520.00
 15000   $0.41   $6075.00</t>
        </r>
      </text>
    </comment>
    <comment ref="T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$0.91      $0.91
    25   $0.81     $20.19
    50   $0.76     $37.79
   100   $0.67     $66.77
   250   $0.65    $162.72
   500   $0.63    $315.71
  3000   $0.73   $2178.22
  6000   $0.60   $3609.62</t>
        </r>
      </text>
    </comment>
    <comment ref="Y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$0.82      $0.82
    10   $0.73      $7.26
    50   $0.68     $33.90
   100   $0.60     $60.00
  1000   $0.47    $474.00
 10000   $0.41   $4050.00</t>
        </r>
      </text>
    </comment>
    <comment ref="AD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25   $0.35      $8.82
    50   $0.35     $17.65
   100   $0.35     $35.30
   250   $0.35     $88.25
   500   $0.35    $176.50
  1000   $0.35    $353.00
  3000   $0.36   $1086.00
  6000   $0.36   $2172.00
 12000   $0.36   $4344.00</t>
        </r>
      </text>
    </comment>
    <comment ref="I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<sst xmlns="http://schemas.openxmlformats.org/spreadsheetml/2006/main" count="650" uniqueCount="276">
  <si>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</si>
  <si>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</si>
  <si>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</si>
  <si>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</si>
  <si>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</si>
  <si>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</si>
  <si>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</si>
  <si>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</si>
  <si>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A1</t>
  </si>
  <si>
    <t>???</t>
  </si>
  <si>
    <t>Foot:???</t>
  </si>
  <si>
    <t>2450AT18D0100E</t>
  </si>
  <si>
    <t>B1</t>
  </si>
  <si>
    <t>2450BM14A0002T</t>
  </si>
  <si>
    <t>C1,C19</t>
  </si>
  <si>
    <t>C0402C103J3RACTU</t>
  </si>
  <si>
    <t>C2,C12,C13</t>
  </si>
  <si>
    <t>0603ZD105KAT2A</t>
  </si>
  <si>
    <t>C20</t>
  </si>
  <si>
    <t>C0402C102K5RACTU</t>
  </si>
  <si>
    <t>C21</t>
  </si>
  <si>
    <t>C0402C222K5RACTU</t>
  </si>
  <si>
    <t>C22</t>
  </si>
  <si>
    <t>CGA2B3X7R1H333K050BB</t>
  </si>
  <si>
    <t>C3,C15,C16</t>
  </si>
  <si>
    <t>CL10A475KP8NNNC</t>
  </si>
  <si>
    <t>C7,C8</t>
  </si>
  <si>
    <t>GRM1555C1H220JA01D</t>
  </si>
  <si>
    <t>C9</t>
  </si>
  <si>
    <t>GRM188R61A106ME69D</t>
  </si>
  <si>
    <t>C4-C6,C10,C11,C14,C17,C18</t>
  </si>
  <si>
    <t>LMK107BJ475KAT</t>
  </si>
  <si>
    <t>D1,D3</t>
  </si>
  <si>
    <t>PD1522CTR8</t>
  </si>
  <si>
    <t>D2</t>
  </si>
  <si>
    <t>SMLVN6RGB1W1</t>
  </si>
  <si>
    <t>J1</t>
  </si>
  <si>
    <t>781710002</t>
  </si>
  <si>
    <t>J10,J12</t>
  </si>
  <si>
    <t>A316DA2SV71</t>
  </si>
  <si>
    <t>J11</t>
  </si>
  <si>
    <t>877601616</t>
  </si>
  <si>
    <t>J13</t>
  </si>
  <si>
    <t>877581616</t>
  </si>
  <si>
    <t>J2</t>
  </si>
  <si>
    <t>781710003</t>
  </si>
  <si>
    <t>Q1-Q4</t>
  </si>
  <si>
    <t>MMBT3904LT1G</t>
  </si>
  <si>
    <t>R10,R13</t>
  </si>
  <si>
    <t>RC0402FR-07560KL</t>
  </si>
  <si>
    <t>R11,R21</t>
  </si>
  <si>
    <t>CRCW04021M50FKED</t>
  </si>
  <si>
    <t>R16</t>
  </si>
  <si>
    <t>ERJ2RKF22R6X</t>
  </si>
  <si>
    <t>R17</t>
  </si>
  <si>
    <t>RVC0402FT130K</t>
  </si>
  <si>
    <t>R18</t>
  </si>
  <si>
    <t>ERJ2RKF24R9X</t>
  </si>
  <si>
    <t>R24</t>
  </si>
  <si>
    <t>RC0402JR070RL</t>
  </si>
  <si>
    <t>R27</t>
  </si>
  <si>
    <t>CRCW040222K0FKED</t>
  </si>
  <si>
    <t>R7,R9,R14,R19,R20,R22</t>
  </si>
  <si>
    <t>CRCW040210K0FKED</t>
  </si>
  <si>
    <t>R1-R3</t>
  </si>
  <si>
    <t>MCMR04X22R0FTL</t>
  </si>
  <si>
    <t>R4-R6,R8,R12,R15,R23</t>
  </si>
  <si>
    <t>CRCW0402100KFKED</t>
  </si>
  <si>
    <t>U1</t>
  </si>
  <si>
    <t>STM32F051C8U6</t>
  </si>
  <si>
    <t>U2</t>
  </si>
  <si>
    <t>LSM6DS3TR</t>
  </si>
  <si>
    <t>U3</t>
  </si>
  <si>
    <t>A3901SEJTRT</t>
  </si>
  <si>
    <t>U4</t>
  </si>
  <si>
    <t>ADP122ACPZ33R7</t>
  </si>
  <si>
    <t>U5</t>
  </si>
  <si>
    <t>AT42QT1070MMHR</t>
  </si>
  <si>
    <t>U6</t>
  </si>
  <si>
    <t>MCP73831T-2ACI/OTCT-ND</t>
  </si>
  <si>
    <t>U7</t>
  </si>
  <si>
    <t>NRF24L01PR7</t>
  </si>
  <si>
    <t>Y1</t>
  </si>
  <si>
    <t>7V16000MAAET</t>
  </si>
  <si>
    <t>Prj:</t>
  </si>
  <si>
    <t>BotSchematicRouted_v02 copy.csv</t>
  </si>
  <si>
    <t>Co.:</t>
  </si>
  <si>
    <t>Prj date:</t>
  </si>
  <si>
    <t>2018-11-02 01:01:25 (file)</t>
  </si>
  <si>
    <t>Board Qty:</t>
  </si>
  <si>
    <t>Total Cost:</t>
  </si>
  <si>
    <t>Unit Cost:</t>
  </si>
  <si>
    <t>$ date:</t>
  </si>
  <si>
    <t>2018-11-02 10:50:17</t>
  </si>
  <si>
    <t>Arrow</t>
  </si>
  <si>
    <t>Avail</t>
  </si>
  <si>
    <t>Purch</t>
  </si>
  <si>
    <t>Cat#</t>
  </si>
  <si>
    <t>NonStk</t>
  </si>
  <si>
    <t>PD15-22C/TR8</t>
  </si>
  <si>
    <t>78171-0002</t>
  </si>
  <si>
    <t>87760-1616</t>
  </si>
  <si>
    <t>87758-1616</t>
  </si>
  <si>
    <t>78171-0003</t>
  </si>
  <si>
    <t>ERJ-2RKF22R6X</t>
  </si>
  <si>
    <t>ERJ-2RKF24R9X</t>
  </si>
  <si>
    <t>RC0402JR-070RL</t>
  </si>
  <si>
    <t>A3901SEJTR-T</t>
  </si>
  <si>
    <t>ADP122ACPZ-3.3-R7</t>
  </si>
  <si>
    <t>AT42QT1070-MMHR</t>
  </si>
  <si>
    <t>NRF24L01P-R7</t>
  </si>
  <si>
    <t>7V-16.000MAAE-T</t>
  </si>
  <si>
    <t>Digi-Key</t>
  </si>
  <si>
    <t>712-1573-1-ND</t>
  </si>
  <si>
    <t>712-1574-1-ND</t>
  </si>
  <si>
    <t>399-1279-1-ND</t>
  </si>
  <si>
    <t>478-1251-1-ND</t>
  </si>
  <si>
    <t>399-1032-1-ND</t>
  </si>
  <si>
    <t>399-3068-1-ND</t>
  </si>
  <si>
    <t>445-6896-1-ND</t>
  </si>
  <si>
    <t>1276-1044-1-ND</t>
  </si>
  <si>
    <t>490-5868-1-ND</t>
  </si>
  <si>
    <t>490-10475-1-ND</t>
  </si>
  <si>
    <t>587-1441-1-ND</t>
  </si>
  <si>
    <t>1080-1367-1-ND</t>
  </si>
  <si>
    <t>846-1187-1-ND</t>
  </si>
  <si>
    <t>WM4459CT-ND</t>
  </si>
  <si>
    <t>H10966-ND</t>
  </si>
  <si>
    <t>WM18618-ND</t>
  </si>
  <si>
    <t>WM18839-ND</t>
  </si>
  <si>
    <t>WM5409CT-ND</t>
  </si>
  <si>
    <t>MMBT3904LT1GOSCT-ND</t>
  </si>
  <si>
    <t>311-560KLRCT-ND</t>
  </si>
  <si>
    <t>541-1.50MLCT-ND</t>
  </si>
  <si>
    <t>P22.6LCT-ND</t>
  </si>
  <si>
    <t>RVC0402FT130K-ND</t>
  </si>
  <si>
    <t>P24.9LCT-ND</t>
  </si>
  <si>
    <t>311-0.0JRCT-ND</t>
  </si>
  <si>
    <t>541-22.0KLCT-ND</t>
  </si>
  <si>
    <t>541-10.0KLCT-ND</t>
  </si>
  <si>
    <t>541-100KLCT-ND</t>
  </si>
  <si>
    <t>497-17349-ND</t>
  </si>
  <si>
    <t>497-15383-1-ND</t>
  </si>
  <si>
    <t>620-1159-1-ND</t>
  </si>
  <si>
    <t>ADP122ACPZ-3.3-R7CT-ND</t>
  </si>
  <si>
    <t>AT42QT1070-MMHCT-ND</t>
  </si>
  <si>
    <t>1490-1033-1-ND</t>
  </si>
  <si>
    <t>887-1462-1-ND</t>
  </si>
  <si>
    <t>Farnell</t>
  </si>
  <si>
    <t>2848007</t>
  </si>
  <si>
    <t>2148533</t>
  </si>
  <si>
    <t>1692285</t>
  </si>
  <si>
    <t>2280916</t>
  </si>
  <si>
    <t>1414573</t>
  </si>
  <si>
    <t>1414582</t>
  </si>
  <si>
    <t>2210826</t>
  </si>
  <si>
    <t>2218849</t>
  </si>
  <si>
    <t>2456110</t>
  </si>
  <si>
    <t>2112745</t>
  </si>
  <si>
    <t>2313710</t>
  </si>
  <si>
    <t>2724832</t>
  </si>
  <si>
    <t>7472153</t>
  </si>
  <si>
    <t>7472366</t>
  </si>
  <si>
    <t>2313562</t>
  </si>
  <si>
    <t>1459100</t>
  </si>
  <si>
    <t>1458810</t>
  </si>
  <si>
    <t>2141059</t>
  </si>
  <si>
    <t>2059102</t>
  </si>
  <si>
    <t>2131799</t>
  </si>
  <si>
    <t>1652775</t>
  </si>
  <si>
    <t>1469669</t>
  </si>
  <si>
    <t>2072797</t>
  </si>
  <si>
    <t>1469671RL</t>
  </si>
  <si>
    <t>2393638</t>
  </si>
  <si>
    <t>1651947</t>
  </si>
  <si>
    <t>2457164</t>
  </si>
  <si>
    <t>2842317</t>
  </si>
  <si>
    <t>1892172</t>
  </si>
  <si>
    <t>Mouser</t>
  </si>
  <si>
    <t>609-2450AT18D0100E</t>
  </si>
  <si>
    <t>609-2450BM14A0002T</t>
  </si>
  <si>
    <t>80-C0402C103J3R</t>
  </si>
  <si>
    <t>581-0603ZD105K</t>
  </si>
  <si>
    <t>80-C0402C102K5R</t>
  </si>
  <si>
    <t>80-C0402C222K5R</t>
  </si>
  <si>
    <t>810-CGA2B3X7R1H333K</t>
  </si>
  <si>
    <t>81-GRM1555C1H220JA1D</t>
  </si>
  <si>
    <t>81-GRM188R61A106ME9D</t>
  </si>
  <si>
    <t>963-LMK107BJ475KA-T</t>
  </si>
  <si>
    <t>755-SMLVN6RGB1W1</t>
  </si>
  <si>
    <t>538-78171-0002</t>
  </si>
  <si>
    <t>798-A3-16DA-2SV71</t>
  </si>
  <si>
    <t>538-87760-1616</t>
  </si>
  <si>
    <t>538-87758-1616</t>
  </si>
  <si>
    <t>538-78171-0003</t>
  </si>
  <si>
    <t>863-MMBT3904LT1G</t>
  </si>
  <si>
    <t>603-RC0402FR-07560KL</t>
  </si>
  <si>
    <t>71-CRCW04021M50FKED</t>
  </si>
  <si>
    <t>667-ERJ-2RKF22R6X</t>
  </si>
  <si>
    <t>667-ERJ-2RKF24R9X</t>
  </si>
  <si>
    <t>603-RC0402JR-070RL</t>
  </si>
  <si>
    <t>71-CRCW0402-22K-E3</t>
  </si>
  <si>
    <t>71-CRCW0402-10K-E3</t>
  </si>
  <si>
    <t>71-CRCW0402-100K-E3</t>
  </si>
  <si>
    <t>511-STM32F051C8U6</t>
  </si>
  <si>
    <t>511-LSM6DS3TR</t>
  </si>
  <si>
    <t>584-ADP122ACPZ-3.3R7</t>
  </si>
  <si>
    <t>556-AT42QT1070-MMHR</t>
  </si>
  <si>
    <t>949-NRF24L01P-R7</t>
  </si>
  <si>
    <t>717-7V-16.000MAAE-T</t>
  </si>
  <si>
    <t>Newark</t>
  </si>
  <si>
    <t>51AC3094</t>
  </si>
  <si>
    <t>44W4473</t>
  </si>
  <si>
    <t>40Y2387</t>
  </si>
  <si>
    <t>54H4185</t>
  </si>
  <si>
    <t>53M7151</t>
  </si>
  <si>
    <t>53M7159</t>
  </si>
  <si>
    <t>04X3149</t>
  </si>
  <si>
    <t>48W5745</t>
  </si>
  <si>
    <t>31Y1762</t>
  </si>
  <si>
    <t>28M8243</t>
  </si>
  <si>
    <t>32AC3339</t>
  </si>
  <si>
    <t>57R0905</t>
  </si>
  <si>
    <t>25M5721</t>
  </si>
  <si>
    <t>59J1563</t>
  </si>
  <si>
    <t>88W2710</t>
  </si>
  <si>
    <t>58M9145</t>
  </si>
  <si>
    <t>59M5038</t>
  </si>
  <si>
    <t>72M6747</t>
  </si>
  <si>
    <t>90W3003</t>
  </si>
  <si>
    <t>73T6494</t>
  </si>
  <si>
    <t>98K7493</t>
  </si>
  <si>
    <t>27W3921</t>
  </si>
  <si>
    <t>61M5267</t>
  </si>
  <si>
    <t>86T2994</t>
  </si>
  <si>
    <t>61M5269</t>
  </si>
  <si>
    <t>39X0186</t>
  </si>
  <si>
    <t>87R0039</t>
  </si>
  <si>
    <t>23AC2690</t>
  </si>
  <si>
    <t>50AC6431</t>
  </si>
  <si>
    <t>24T5694</t>
  </si>
  <si>
    <t>Rs Components</t>
  </si>
  <si>
    <t>8015151</t>
  </si>
  <si>
    <t>1353674</t>
  </si>
  <si>
    <t>1466258</t>
  </si>
  <si>
    <t>147027</t>
  </si>
  <si>
    <t>1109410</t>
  </si>
  <si>
    <t>7769191</t>
  </si>
  <si>
    <t>1138702</t>
  </si>
  <si>
    <t>1721389</t>
  </si>
  <si>
    <t>1246885</t>
  </si>
  <si>
    <t>7000820P</t>
  </si>
  <si>
    <t>7792753</t>
  </si>
  <si>
    <t>1448157</t>
  </si>
  <si>
    <t>1671739</t>
  </si>
  <si>
    <t>7000824P</t>
  </si>
  <si>
    <t>5450343</t>
  </si>
  <si>
    <t>6788933</t>
  </si>
  <si>
    <t>1065207</t>
  </si>
  <si>
    <t>6185804</t>
  </si>
  <si>
    <t>6788977</t>
  </si>
  <si>
    <t>6784697</t>
  </si>
  <si>
    <t>6784684</t>
  </si>
  <si>
    <t>7925931P</t>
  </si>
  <si>
    <t>1106552P</t>
  </si>
  <si>
    <t>8209523P</t>
  </si>
  <si>
    <t>Tme</t>
  </si>
  <si>
    <t>C0402C103J3RAC</t>
  </si>
  <si>
    <t>C0402C102K5RAC</t>
  </si>
  <si>
    <t>C0402C222K5RAC</t>
  </si>
  <si>
    <t>LMK107BJ475KA-T</t>
  </si>
  <si>
    <t>MX-78171-0002</t>
  </si>
  <si>
    <t>MX-87758-1616</t>
  </si>
  <si>
    <t>MX-78171-0003</t>
  </si>
  <si>
    <t>RC0402JR-070R</t>
  </si>
  <si>
    <t>Distributors scraped by KiCost® v.1.0.3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</si>
</sst>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1" applyAlignment="1" applyProtection="1"/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c=1&amp;ak=2663fc37&amp;sig=0615fdf&amp;sid=1106&amp;ppid=24537776&amp;vpid=495685172&amp;ct=offers" TargetMode="External"/><Relationship Id="rId2" Type="http://schemas.openxmlformats.org/officeDocument/2006/relationships/hyperlink" Target="https://octopart.com/click/track?ak=2663fc37&amp;sig=08e5cda&amp;sid=459&amp;ppid=24537776&amp;vpid=112795681&amp;ct=offers" TargetMode="External"/><Relationship Id="rId3" Type="http://schemas.openxmlformats.org/officeDocument/2006/relationships/hyperlink" Target="https://octopart.com/click/track?ak=2663fc37&amp;sig=08818ac&amp;sid=819&amp;ppid=24537776&amp;vpid=477257769&amp;ct=offers" TargetMode="External"/><Relationship Id="rId4" Type="http://schemas.openxmlformats.org/officeDocument/2006/relationships/hyperlink" Target="https://octopart.com/click/track?ak=2663fc37&amp;sig=0bc407b&amp;sid=2401&amp;ppid=24537776&amp;vpid=116793083&amp;ct=offers" TargetMode="External"/><Relationship Id="rId5" Type="http://schemas.openxmlformats.org/officeDocument/2006/relationships/hyperlink" Target="https://octopart.com/click/track?ak=2663fc37&amp;sig=064db79&amp;sid=2402&amp;ppid=24537776&amp;vpid=477456900&amp;ct=offers" TargetMode="External"/><Relationship Id="rId6" Type="http://schemas.openxmlformats.org/officeDocument/2006/relationships/hyperlink" Target="https://octopart.com/click/track?c=1&amp;ak=2663fc37&amp;sig=013765d&amp;sid=1106&amp;ppid=24533112&amp;vpid=485618655&amp;ct=offers" TargetMode="External"/><Relationship Id="rId7" Type="http://schemas.openxmlformats.org/officeDocument/2006/relationships/hyperlink" Target="https://octopart.com/click/track?ak=2663fc37&amp;sig=04527e0&amp;sid=459&amp;ppid=24533112&amp;vpid=112795684&amp;ct=offers" TargetMode="External"/><Relationship Id="rId8" Type="http://schemas.openxmlformats.org/officeDocument/2006/relationships/hyperlink" Target="https://octopart.com/click/track?ak=2663fc37&amp;sig=0c0f522&amp;sid=819&amp;ppid=24533112&amp;vpid=138962708&amp;ct=offers" TargetMode="External"/><Relationship Id="rId9" Type="http://schemas.openxmlformats.org/officeDocument/2006/relationships/hyperlink" Target="https://octopart.com/click/track?ak=2663fc37&amp;sig=0a4244b&amp;sid=2401&amp;ppid=24533112&amp;vpid=81892412&amp;ct=offers" TargetMode="External"/><Relationship Id="rId10" Type="http://schemas.openxmlformats.org/officeDocument/2006/relationships/hyperlink" Target="https://octopart.com/click/track?ak=2663fc37&amp;sig=0100f5d&amp;sid=2402&amp;ppid=24533112&amp;vpid=63440119&amp;ct=offers" TargetMode="External"/><Relationship Id="rId11" Type="http://schemas.openxmlformats.org/officeDocument/2006/relationships/hyperlink" Target="https://octopart.com/click/track?c=1&amp;ak=2663fc37&amp;sig=0b1badf&amp;sid=1106&amp;ppid=135051&amp;vpid=478302965&amp;ct=offers" TargetMode="External"/><Relationship Id="rId12" Type="http://schemas.openxmlformats.org/officeDocument/2006/relationships/hyperlink" Target="https://octopart.com/click/track?c=1&amp;ak=2663fc37&amp;sig=0d21528&amp;sid=459&amp;ppid=135051&amp;vpid=1375741&amp;ct=offers" TargetMode="External"/><Relationship Id="rId13" Type="http://schemas.openxmlformats.org/officeDocument/2006/relationships/hyperlink" Target="https://octopart.com/click/track?c=1&amp;ak=2663fc37&amp;sig=075edb2&amp;sid=819&amp;ppid=135051&amp;vpid=138965977&amp;ct=offers" TargetMode="External"/><Relationship Id="rId14" Type="http://schemas.openxmlformats.org/officeDocument/2006/relationships/hyperlink" Target="https://octopart.com/click/track?ak=2663fc37&amp;sig=047fe6b&amp;sid=2401&amp;ppid=135051&amp;vpid=37783367&amp;ct=offers" TargetMode="External"/><Relationship Id="rId15" Type="http://schemas.openxmlformats.org/officeDocument/2006/relationships/hyperlink" Target="https://octopart.com/click/track?c=1&amp;ak=2663fc37&amp;sig=0117133&amp;sid=2402&amp;ppid=135051&amp;vpid=271839008&amp;ct=offers" TargetMode="External"/><Relationship Id="rId16" Type="http://schemas.openxmlformats.org/officeDocument/2006/relationships/hyperlink" Target="https://octopart.com/click/track?ak=2663fc37&amp;sig=0ec6a67&amp;sid=10022&amp;ppid=135051&amp;vpid=176931667&amp;ct=offers" TargetMode="External"/><Relationship Id="rId17" Type="http://schemas.openxmlformats.org/officeDocument/2006/relationships/hyperlink" Target="https://octopart.com/click/track?ak=2663fc37&amp;sig=030bed4&amp;sid=1532&amp;ppid=135051&amp;vpid=278058540&amp;ct=offers" TargetMode="External"/><Relationship Id="rId18" Type="http://schemas.openxmlformats.org/officeDocument/2006/relationships/hyperlink" Target="https://octopart.com/click/track?ak=2663fc37&amp;sig=017a7b7&amp;sid=459&amp;ppid=55396071&amp;vpid=187968895&amp;ct=offers" TargetMode="External"/><Relationship Id="rId19" Type="http://schemas.openxmlformats.org/officeDocument/2006/relationships/hyperlink" Target="https://octopart.com/click/track?c=1&amp;ak=2663fc37&amp;sig=0dcc16f&amp;sid=819&amp;ppid=55396071&amp;vpid=202984301&amp;ct=offers" TargetMode="External"/><Relationship Id="rId20" Type="http://schemas.openxmlformats.org/officeDocument/2006/relationships/hyperlink" Target="https://octopart.com/click/track?c=1&amp;ak=2663fc37&amp;sig=03d7065&amp;sid=2401&amp;ppid=55396071&amp;vpid=187733762&amp;ct=offers" TargetMode="External"/><Relationship Id="rId21" Type="http://schemas.openxmlformats.org/officeDocument/2006/relationships/hyperlink" Target="https://octopart.com/click/track?c=1&amp;ak=2663fc37&amp;sig=0ff7f60&amp;sid=2402&amp;ppid=55396071&amp;vpid=191280654&amp;ct=offers" TargetMode="External"/><Relationship Id="rId22" Type="http://schemas.openxmlformats.org/officeDocument/2006/relationships/hyperlink" Target="https://octopart.com/click/track?c=1&amp;ak=2663fc37&amp;sig=073b1ea&amp;sid=10022&amp;ppid=55396071&amp;vpid=443605520&amp;ct=offers" TargetMode="External"/><Relationship Id="rId23" Type="http://schemas.openxmlformats.org/officeDocument/2006/relationships/hyperlink" Target="https://octopart.com/click/track?c=1&amp;ak=2663fc37&amp;sig=00b9bac&amp;sid=1106&amp;ppid=100678&amp;vpid=507222368&amp;ct=offers" TargetMode="External"/><Relationship Id="rId24" Type="http://schemas.openxmlformats.org/officeDocument/2006/relationships/hyperlink" Target="https://octopart.com/click/track?c=1&amp;ak=2663fc37&amp;sig=0de809b&amp;sid=459&amp;ppid=100678&amp;vpid=1376841&amp;ct=offers" TargetMode="External"/><Relationship Id="rId25" Type="http://schemas.openxmlformats.org/officeDocument/2006/relationships/hyperlink" Target="https://octopart.com/click/track?c=1&amp;ak=2663fc37&amp;sig=011d50a&amp;sid=819&amp;ppid=100678&amp;vpid=138965973&amp;ct=offers" TargetMode="External"/><Relationship Id="rId26" Type="http://schemas.openxmlformats.org/officeDocument/2006/relationships/hyperlink" Target="https://octopart.com/click/track?ak=2663fc37&amp;sig=0f09ed6&amp;sid=2401&amp;ppid=100678&amp;vpid=37826146&amp;ct=offers" TargetMode="External"/><Relationship Id="rId27" Type="http://schemas.openxmlformats.org/officeDocument/2006/relationships/hyperlink" Target="https://octopart.com/click/track?c=1&amp;ak=2663fc37&amp;sig=005cbb4&amp;sid=2402&amp;ppid=100678&amp;vpid=268464258&amp;ct=offers" TargetMode="External"/><Relationship Id="rId28" Type="http://schemas.openxmlformats.org/officeDocument/2006/relationships/hyperlink" Target="https://octopart.com/click/track?c=1&amp;ak=2663fc37&amp;sig=0a9200f&amp;sid=10022&amp;ppid=100678&amp;vpid=472615089&amp;ct=offers" TargetMode="External"/><Relationship Id="rId29" Type="http://schemas.openxmlformats.org/officeDocument/2006/relationships/hyperlink" Target="https://octopart.com/click/track?ak=2663fc37&amp;sig=0125941&amp;sid=1532&amp;ppid=100678&amp;vpid=278058539&amp;ct=offers" TargetMode="External"/><Relationship Id="rId30" Type="http://schemas.openxmlformats.org/officeDocument/2006/relationships/hyperlink" Target="https://octopart.com/click/track?c=1&amp;ak=2663fc37&amp;sig=087b61b&amp;sid=1106&amp;ppid=104022&amp;vpid=485623154&amp;ct=offers" TargetMode="External"/><Relationship Id="rId31" Type="http://schemas.openxmlformats.org/officeDocument/2006/relationships/hyperlink" Target="https://octopart.com/click/track?c=1&amp;ak=2663fc37&amp;sig=0c19482&amp;sid=459&amp;ppid=104022&amp;vpid=1453404&amp;ct=offers" TargetMode="External"/><Relationship Id="rId32" Type="http://schemas.openxmlformats.org/officeDocument/2006/relationships/hyperlink" Target="https://octopart.com/click/track?ak=2663fc37&amp;sig=0b79eff&amp;sid=819&amp;ppid=104022&amp;vpid=138966137&amp;ct=offers" TargetMode="External"/><Relationship Id="rId33" Type="http://schemas.openxmlformats.org/officeDocument/2006/relationships/hyperlink" Target="https://octopart.com/click/track?c=1&amp;ak=2663fc37&amp;sig=0802406&amp;sid=2401&amp;ppid=104022&amp;vpid=37718869&amp;ct=offers" TargetMode="External"/><Relationship Id="rId34" Type="http://schemas.openxmlformats.org/officeDocument/2006/relationships/hyperlink" Target="https://octopart.com/click/track?ak=2663fc37&amp;sig=08b2c5d&amp;sid=2402&amp;ppid=104022&amp;vpid=477457580&amp;ct=offers" TargetMode="External"/><Relationship Id="rId35" Type="http://schemas.openxmlformats.org/officeDocument/2006/relationships/hyperlink" Target="https://octopart.com/click/track?ak=2663fc37&amp;sig=0874f62&amp;sid=10022&amp;ppid=104022&amp;vpid=99587721&amp;ct=offers" TargetMode="External"/><Relationship Id="rId36" Type="http://schemas.openxmlformats.org/officeDocument/2006/relationships/hyperlink" Target="https://octopart.com/click/track?ak=2663fc37&amp;sig=0b26907&amp;sid=1532&amp;ppid=104022&amp;vpid=278058544&amp;ct=offers" TargetMode="External"/><Relationship Id="rId37" Type="http://schemas.openxmlformats.org/officeDocument/2006/relationships/hyperlink" Target="https://octopart.com/click/track?c=1&amp;ak=2663fc37&amp;sig=02d6e94&amp;sid=1106&amp;ppid=25947971&amp;vpid=478102832&amp;ct=offers" TargetMode="External"/><Relationship Id="rId38" Type="http://schemas.openxmlformats.org/officeDocument/2006/relationships/hyperlink" Target="https://octopart.com/click/track?c=1&amp;ak=2663fc37&amp;sig=037f3fd&amp;sid=459&amp;ppid=25947971&amp;vpid=63976770&amp;ct=offers" TargetMode="External"/><Relationship Id="rId39" Type="http://schemas.openxmlformats.org/officeDocument/2006/relationships/hyperlink" Target="https://octopart.com/click/track?ak=2663fc37&amp;sig=0e9cd2c&amp;sid=819&amp;ppid=25947971&amp;vpid=139698199&amp;ct=offers" TargetMode="External"/><Relationship Id="rId40" Type="http://schemas.openxmlformats.org/officeDocument/2006/relationships/hyperlink" Target="https://octopart.com/click/track?ak=2663fc37&amp;sig=01bf46d&amp;sid=2401&amp;ppid=25947971&amp;vpid=66165105&amp;ct=offers" TargetMode="External"/><Relationship Id="rId41" Type="http://schemas.openxmlformats.org/officeDocument/2006/relationships/hyperlink" Target="https://octopart.com/click/track?c=1&amp;ak=2663fc37&amp;sig=0786446&amp;sid=2402&amp;ppid=25947971&amp;vpid=88873733&amp;ct=offers" TargetMode="External"/><Relationship Id="rId42" Type="http://schemas.openxmlformats.org/officeDocument/2006/relationships/hyperlink" Target="https://octopart.com/click/track?c=1&amp;ak=2663fc37&amp;sig=096db5d&amp;sid=10022&amp;ppid=25947971&amp;vpid=502372726&amp;ct=offers" TargetMode="External"/><Relationship Id="rId43" Type="http://schemas.openxmlformats.org/officeDocument/2006/relationships/hyperlink" Target="https://octopart.com/click/track?c=1&amp;ak=2663fc37&amp;sig=07f3cd9&amp;sid=1106&amp;ppid=9301844&amp;vpid=486016812&amp;ct=offers" TargetMode="External"/><Relationship Id="rId44" Type="http://schemas.openxmlformats.org/officeDocument/2006/relationships/hyperlink" Target="https://octopart.com/click/track?ak=2663fc37&amp;sig=0359856&amp;sid=459&amp;ppid=9301844&amp;vpid=72523733&amp;ct=offers" TargetMode="External"/><Relationship Id="rId45" Type="http://schemas.openxmlformats.org/officeDocument/2006/relationships/hyperlink" Target="https://octopart.com/click/track?ak=2663fc37&amp;sig=0c397a6&amp;sid=1532&amp;ppid=9301844&amp;vpid=127256833&amp;ct=offers" TargetMode="External"/><Relationship Id="rId46" Type="http://schemas.openxmlformats.org/officeDocument/2006/relationships/hyperlink" Target="https://octopart.com/click/track?c=1&amp;ak=2663fc37&amp;sig=0ad79d2&amp;sid=1106&amp;ppid=15197536&amp;vpid=485848337&amp;ct=offers" TargetMode="External"/><Relationship Id="rId47" Type="http://schemas.openxmlformats.org/officeDocument/2006/relationships/hyperlink" Target="https://octopart.com/click/track?c=1&amp;ak=2663fc37&amp;sig=081127a&amp;sid=459&amp;ppid=15197536&amp;vpid=48486697&amp;ct=offers" TargetMode="External"/><Relationship Id="rId48" Type="http://schemas.openxmlformats.org/officeDocument/2006/relationships/hyperlink" Target="https://octopart.com/click/track?c=1&amp;ak=2663fc37&amp;sig=0733ac2&amp;sid=819&amp;ppid=15197536&amp;vpid=139136311&amp;ct=offers" TargetMode="External"/><Relationship Id="rId49" Type="http://schemas.openxmlformats.org/officeDocument/2006/relationships/hyperlink" Target="https://octopart.com/click/track?ak=2663fc37&amp;sig=074607e&amp;sid=2401&amp;ppid=15197536&amp;vpid=37968658&amp;ct=offers" TargetMode="External"/><Relationship Id="rId50" Type="http://schemas.openxmlformats.org/officeDocument/2006/relationships/hyperlink" Target="https://octopart.com/click/track?c=1&amp;ak=2663fc37&amp;sig=00ef51c&amp;sid=2402&amp;ppid=15197536&amp;vpid=76549790&amp;ct=offers" TargetMode="External"/><Relationship Id="rId51" Type="http://schemas.openxmlformats.org/officeDocument/2006/relationships/hyperlink" Target="https://octopart.com/click/track?ak=2663fc37&amp;sig=09c63d0&amp;sid=10022&amp;ppid=15197536&amp;vpid=84633462&amp;ct=offers" TargetMode="External"/><Relationship Id="rId52" Type="http://schemas.openxmlformats.org/officeDocument/2006/relationships/hyperlink" Target="https://octopart.com/click/track?ak=2663fc37&amp;sig=0449281&amp;sid=1532&amp;ppid=15197536&amp;vpid=419121232&amp;ct=offers" TargetMode="External"/><Relationship Id="rId53" Type="http://schemas.openxmlformats.org/officeDocument/2006/relationships/hyperlink" Target="https://octopart.com/click/track?c=1&amp;ak=2663fc37&amp;sig=0432d9b&amp;sid=1106&amp;ppid=25551834&amp;vpid=480557450&amp;ct=offers" TargetMode="External"/><Relationship Id="rId54" Type="http://schemas.openxmlformats.org/officeDocument/2006/relationships/hyperlink" Target="https://octopart.com/click/track?c=1&amp;ak=2663fc37&amp;sig=0931490&amp;sid=459&amp;ppid=25551834&amp;vpid=172161840&amp;ct=offers" TargetMode="External"/><Relationship Id="rId55" Type="http://schemas.openxmlformats.org/officeDocument/2006/relationships/hyperlink" Target="https://octopart.com/click/track?c=1&amp;ak=2663fc37&amp;sig=068c843&amp;sid=819&amp;ppid=25551834&amp;vpid=203212452&amp;ct=offers" TargetMode="External"/><Relationship Id="rId56" Type="http://schemas.openxmlformats.org/officeDocument/2006/relationships/hyperlink" Target="https://octopart.com/click/track?ak=2663fc37&amp;sig=0acee10&amp;sid=2401&amp;ppid=25551834&amp;vpid=178473380&amp;ct=offers" TargetMode="External"/><Relationship Id="rId57" Type="http://schemas.openxmlformats.org/officeDocument/2006/relationships/hyperlink" Target="https://octopart.com/click/track?c=1&amp;ak=2663fc37&amp;sig=07c97f8&amp;sid=2402&amp;ppid=25551834&amp;vpid=181223497&amp;ct=offers" TargetMode="External"/><Relationship Id="rId58" Type="http://schemas.openxmlformats.org/officeDocument/2006/relationships/hyperlink" Target="https://octopart.com/click/track?c=1&amp;ak=2663fc37&amp;sig=0cc16ef&amp;sid=10022&amp;ppid=25551834&amp;vpid=271004264&amp;ct=offers" TargetMode="External"/><Relationship Id="rId59" Type="http://schemas.openxmlformats.org/officeDocument/2006/relationships/hyperlink" Target="https://octopart.com/click/track?ak=2663fc37&amp;sig=037eb16&amp;sid=459&amp;ppid=198691&amp;vpid=1084091&amp;ct=offers" TargetMode="External"/><Relationship Id="rId60" Type="http://schemas.openxmlformats.org/officeDocument/2006/relationships/hyperlink" Target="https://octopart.com/click/track?c=1&amp;ak=2663fc37&amp;sig=0919b08&amp;sid=819&amp;ppid=198691&amp;vpid=139695824&amp;ct=offers" TargetMode="External"/><Relationship Id="rId61" Type="http://schemas.openxmlformats.org/officeDocument/2006/relationships/hyperlink" Target="https://octopart.com/click/track?c=1&amp;ak=2663fc37&amp;sig=0acb21a&amp;sid=2401&amp;ppid=198691&amp;vpid=46539203&amp;ct=offers" TargetMode="External"/><Relationship Id="rId62" Type="http://schemas.openxmlformats.org/officeDocument/2006/relationships/hyperlink" Target="https://octopart.com/click/track?c=1&amp;ak=2663fc37&amp;sig=057f75e&amp;sid=2402&amp;ppid=198691&amp;vpid=11711236&amp;ct=offers" TargetMode="External"/><Relationship Id="rId63" Type="http://schemas.openxmlformats.org/officeDocument/2006/relationships/hyperlink" Target="https://octopart.com/click/track?ak=2663fc37&amp;sig=03e5b14&amp;sid=10022&amp;ppid=198691&amp;vpid=502394097&amp;ct=offers" TargetMode="External"/><Relationship Id="rId64" Type="http://schemas.openxmlformats.org/officeDocument/2006/relationships/hyperlink" Target="https://octopart.com/click/track?ak=2663fc37&amp;sig=045acd7&amp;sid=1532&amp;ppid=198691&amp;vpid=88737308&amp;ct=offers" TargetMode="External"/><Relationship Id="rId65" Type="http://schemas.openxmlformats.org/officeDocument/2006/relationships/hyperlink" Target="https://octopart.com/click/track?ak=2663fc37&amp;sig=07d0752&amp;sid=1106&amp;ppid=12415954&amp;vpid=473214145&amp;ct=offers" TargetMode="External"/><Relationship Id="rId66" Type="http://schemas.openxmlformats.org/officeDocument/2006/relationships/hyperlink" Target="https://octopart.com/click/track?ak=2663fc37&amp;sig=0654526&amp;sid=459&amp;ppid=12415954&amp;vpid=38983437&amp;ct=offers" TargetMode="External"/><Relationship Id="rId67" Type="http://schemas.openxmlformats.org/officeDocument/2006/relationships/hyperlink" Target="https://octopart.com/click/track?ak=2663fc37&amp;sig=0beec00&amp;sid=459&amp;ppid=52820041&amp;vpid=178889664&amp;ct=offers" TargetMode="External"/><Relationship Id="rId68" Type="http://schemas.openxmlformats.org/officeDocument/2006/relationships/hyperlink" Target="https://octopart.com/click/track?ak=2663fc37&amp;sig=01a763f&amp;sid=2401&amp;ppid=52820041&amp;vpid=195946450&amp;ct=offers" TargetMode="External"/><Relationship Id="rId69" Type="http://schemas.openxmlformats.org/officeDocument/2006/relationships/hyperlink" Target="https://octopart.com/click/track?ak=2663fc37&amp;sig=0ac1db9&amp;sid=2402&amp;ppid=52820041&amp;vpid=501203209&amp;ct=offers" TargetMode="External"/><Relationship Id="rId70" Type="http://schemas.openxmlformats.org/officeDocument/2006/relationships/hyperlink" Target="https://octopart.com/click/track?ak=2663fc37&amp;sig=0df3bfc&amp;sid=10022&amp;ppid=52820041&amp;vpid=418631549&amp;ct=offers" TargetMode="External"/><Relationship Id="rId71" Type="http://schemas.openxmlformats.org/officeDocument/2006/relationships/hyperlink" Target="https://octopart.com/click/track?c=1&amp;ak=2663fc37&amp;sig=088969e&amp;sid=1106&amp;ppid=7661368&amp;vpid=485836035&amp;ct=offers" TargetMode="External"/><Relationship Id="rId72" Type="http://schemas.openxmlformats.org/officeDocument/2006/relationships/hyperlink" Target="https://octopart.com/click/track?ak=2663fc37&amp;sig=05421ba&amp;sid=459&amp;ppid=7661368&amp;vpid=34296855&amp;ct=offers" TargetMode="External"/><Relationship Id="rId73" Type="http://schemas.openxmlformats.org/officeDocument/2006/relationships/hyperlink" Target="https://octopart.com/click/track?ak=2663fc37&amp;sig=0138987&amp;sid=819&amp;ppid=7661368&amp;vpid=139017333&amp;ct=offers" TargetMode="External"/><Relationship Id="rId74" Type="http://schemas.openxmlformats.org/officeDocument/2006/relationships/hyperlink" Target="https://octopart.com/click/track?ak=2663fc37&amp;sig=01df858&amp;sid=2401&amp;ppid=7661368&amp;vpid=37701216&amp;ct=offers" TargetMode="External"/><Relationship Id="rId75" Type="http://schemas.openxmlformats.org/officeDocument/2006/relationships/hyperlink" Target="https://octopart.com/click/track?c=1&amp;ak=2663fc37&amp;sig=0ac303a&amp;sid=2402&amp;ppid=7661368&amp;vpid=181223404&amp;ct=offers" TargetMode="External"/><Relationship Id="rId76" Type="http://schemas.openxmlformats.org/officeDocument/2006/relationships/hyperlink" Target="https://octopart.com/click/track?ak=2663fc37&amp;sig=0c5a183&amp;sid=10022&amp;ppid=7661368&amp;vpid=48553228&amp;ct=offers" TargetMode="External"/><Relationship Id="rId77" Type="http://schemas.openxmlformats.org/officeDocument/2006/relationships/hyperlink" Target="https://octopart.com/click/track?ak=2663fc37&amp;sig=01d371f&amp;sid=1532&amp;ppid=7661368&amp;vpid=507541928&amp;ct=offers" TargetMode="External"/><Relationship Id="rId78" Type="http://schemas.openxmlformats.org/officeDocument/2006/relationships/hyperlink" Target="https://octopart.com/click/track?ak=2663fc37&amp;sig=0e73e62&amp;sid=459&amp;ppid=261026&amp;vpid=1880469&amp;ct=offers" TargetMode="External"/><Relationship Id="rId79" Type="http://schemas.openxmlformats.org/officeDocument/2006/relationships/hyperlink" Target="https://octopart.com/click/track?ak=2663fc37&amp;sig=0630dcd&amp;sid=819&amp;ppid=261026&amp;vpid=424047420&amp;ct=offers" TargetMode="External"/><Relationship Id="rId80" Type="http://schemas.openxmlformats.org/officeDocument/2006/relationships/hyperlink" Target="https://octopart.com/click/track?ak=2663fc37&amp;sig=036bcff&amp;sid=2401&amp;ppid=261026&amp;vpid=37866005&amp;ct=offers" TargetMode="External"/><Relationship Id="rId81" Type="http://schemas.openxmlformats.org/officeDocument/2006/relationships/hyperlink" Target="https://octopart.com/click/track?c=1&amp;ak=2663fc37&amp;sig=0582f47&amp;sid=10022&amp;ppid=261026&amp;vpid=208847783&amp;ct=offers" TargetMode="External"/><Relationship Id="rId82" Type="http://schemas.openxmlformats.org/officeDocument/2006/relationships/hyperlink" Target="https://octopart.com/click/track?ak=2663fc37&amp;sig=0c1990a&amp;sid=1106&amp;ppid=277097&amp;vpid=473323587&amp;ct=offers" TargetMode="External"/><Relationship Id="rId83" Type="http://schemas.openxmlformats.org/officeDocument/2006/relationships/hyperlink" Target="https://octopart.com/click/track?ak=2663fc37&amp;sig=09c8338&amp;sid=459&amp;ppid=277097&amp;vpid=114537276&amp;ct=offers" TargetMode="External"/><Relationship Id="rId84" Type="http://schemas.openxmlformats.org/officeDocument/2006/relationships/hyperlink" Target="https://octopart.com/click/track?ak=2663fc37&amp;sig=0e775b3&amp;sid=819&amp;ppid=277097&amp;vpid=139017557&amp;ct=offers" TargetMode="External"/><Relationship Id="rId85" Type="http://schemas.openxmlformats.org/officeDocument/2006/relationships/hyperlink" Target="https://octopart.com/click/track?ak=2663fc37&amp;sig=0b0d639&amp;sid=2401&amp;ppid=277097&amp;vpid=37665106&amp;ct=offers" TargetMode="External"/><Relationship Id="rId86" Type="http://schemas.openxmlformats.org/officeDocument/2006/relationships/hyperlink" Target="https://octopart.com/click/track?ak=2663fc37&amp;sig=039428b&amp;sid=2402&amp;ppid=277097&amp;vpid=2837828&amp;ct=offers" TargetMode="External"/><Relationship Id="rId87" Type="http://schemas.openxmlformats.org/officeDocument/2006/relationships/hyperlink" Target="https://octopart.com/click/track?c=1&amp;ak=2663fc37&amp;sig=08bb1bc&amp;sid=10022&amp;ppid=277097&amp;vpid=502301765&amp;ct=offers" TargetMode="External"/><Relationship Id="rId88" Type="http://schemas.openxmlformats.org/officeDocument/2006/relationships/hyperlink" Target="https://octopart.com/click/track?ak=2663fc37&amp;sig=03624f6&amp;sid=1106&amp;ppid=277199&amp;vpid=473323550&amp;ct=offers" TargetMode="External"/><Relationship Id="rId89" Type="http://schemas.openxmlformats.org/officeDocument/2006/relationships/hyperlink" Target="https://octopart.com/click/track?ak=2663fc37&amp;sig=0e5eb64&amp;sid=459&amp;ppid=277199&amp;vpid=53901601&amp;ct=offers" TargetMode="External"/><Relationship Id="rId90" Type="http://schemas.openxmlformats.org/officeDocument/2006/relationships/hyperlink" Target="https://octopart.com/click/track?ak=2663fc37&amp;sig=04ffab4&amp;sid=819&amp;ppid=277199&amp;vpid=139017545&amp;ct=offers" TargetMode="External"/><Relationship Id="rId91" Type="http://schemas.openxmlformats.org/officeDocument/2006/relationships/hyperlink" Target="https://octopart.com/click/track?ak=2663fc37&amp;sig=0fbe102&amp;sid=2401&amp;ppid=277199&amp;vpid=37677362&amp;ct=offers" TargetMode="External"/><Relationship Id="rId92" Type="http://schemas.openxmlformats.org/officeDocument/2006/relationships/hyperlink" Target="https://octopart.com/click/track?ak=2663fc37&amp;sig=03baf17&amp;sid=2402&amp;ppid=277199&amp;vpid=13658787&amp;ct=offers" TargetMode="External"/><Relationship Id="rId93" Type="http://schemas.openxmlformats.org/officeDocument/2006/relationships/hyperlink" Target="https://octopart.com/click/track?c=1&amp;ak=2663fc37&amp;sig=0807582&amp;sid=10022&amp;ppid=277199&amp;vpid=502301757&amp;ct=offers" TargetMode="External"/><Relationship Id="rId94" Type="http://schemas.openxmlformats.org/officeDocument/2006/relationships/hyperlink" Target="https://octopart.com/click/track?ak=2663fc37&amp;sig=03caa7e&amp;sid=1532&amp;ppid=277199&amp;vpid=422934173&amp;ct=offers" TargetMode="External"/><Relationship Id="rId95" Type="http://schemas.openxmlformats.org/officeDocument/2006/relationships/hyperlink" Target="https://octopart.com/click/track?ak=2663fc37&amp;sig=064c193&amp;sid=1106&amp;ppid=10498524&amp;vpid=473322981&amp;ct=offers" TargetMode="External"/><Relationship Id="rId96" Type="http://schemas.openxmlformats.org/officeDocument/2006/relationships/hyperlink" Target="https://octopart.com/click/track?ak=2663fc37&amp;sig=0350b88&amp;sid=459&amp;ppid=10498524&amp;vpid=43275932&amp;ct=offers" TargetMode="External"/><Relationship Id="rId97" Type="http://schemas.openxmlformats.org/officeDocument/2006/relationships/hyperlink" Target="https://octopart.com/click/track?ak=2663fc37&amp;sig=08409e6&amp;sid=819&amp;ppid=10498524&amp;vpid=139017334&amp;ct=offers" TargetMode="External"/><Relationship Id="rId98" Type="http://schemas.openxmlformats.org/officeDocument/2006/relationships/hyperlink" Target="https://octopart.com/click/track?ak=2663fc37&amp;sig=08c4d87&amp;sid=2401&amp;ppid=10498524&amp;vpid=37701218&amp;ct=offers" TargetMode="External"/><Relationship Id="rId99" Type="http://schemas.openxmlformats.org/officeDocument/2006/relationships/hyperlink" Target="https://octopart.com/click/track?ak=2663fc37&amp;sig=09d215e&amp;sid=2402&amp;ppid=10498524&amp;vpid=78228218&amp;ct=offers" TargetMode="External"/><Relationship Id="rId100" Type="http://schemas.openxmlformats.org/officeDocument/2006/relationships/hyperlink" Target="https://octopart.com/click/track?ak=2663fc37&amp;sig=054f6a7&amp;sid=10022&amp;ppid=10498524&amp;vpid=48553230&amp;ct=offers" TargetMode="External"/><Relationship Id="rId101" Type="http://schemas.openxmlformats.org/officeDocument/2006/relationships/hyperlink" Target="https://octopart.com/click/track?ak=2663fc37&amp;sig=03735c5&amp;sid=1532&amp;ppid=10498524&amp;vpid=507541929&amp;ct=offers" TargetMode="External"/><Relationship Id="rId102" Type="http://schemas.openxmlformats.org/officeDocument/2006/relationships/hyperlink" Target="https://octopart.com/click/track?ak=2663fc37&amp;sig=05b00a3&amp;sid=1106&amp;ppid=3280&amp;vpid=486559931&amp;ct=offers" TargetMode="External"/><Relationship Id="rId103" Type="http://schemas.openxmlformats.org/officeDocument/2006/relationships/hyperlink" Target="https://octopart.com/click/track?c=1&amp;ak=2663fc37&amp;sig=0548e73&amp;sid=459&amp;ppid=3280&amp;vpid=1517499&amp;ct=offers" TargetMode="External"/><Relationship Id="rId104" Type="http://schemas.openxmlformats.org/officeDocument/2006/relationships/hyperlink" Target="https://octopart.com/click/track?c=1&amp;ak=2663fc37&amp;sig=07bb3b9&amp;sid=819&amp;ppid=3280&amp;vpid=139246160&amp;ct=offers" TargetMode="External"/><Relationship Id="rId105" Type="http://schemas.openxmlformats.org/officeDocument/2006/relationships/hyperlink" Target="https://octopart.com/click/track?ak=2663fc37&amp;sig=099db7c&amp;sid=2401&amp;ppid=3280&amp;vpid=44862346&amp;ct=offers" TargetMode="External"/><Relationship Id="rId106" Type="http://schemas.openxmlformats.org/officeDocument/2006/relationships/hyperlink" Target="https://octopart.com/click/track?c=1&amp;ak=2663fc37&amp;sig=0130aa9&amp;sid=2402&amp;ppid=3280&amp;vpid=37227073&amp;ct=offers" TargetMode="External"/><Relationship Id="rId107" Type="http://schemas.openxmlformats.org/officeDocument/2006/relationships/hyperlink" Target="https://octopart.com/click/track?ak=2663fc37&amp;sig=0b84fcf&amp;sid=10022&amp;ppid=3280&amp;vpid=48574903&amp;ct=offers" TargetMode="External"/><Relationship Id="rId108" Type="http://schemas.openxmlformats.org/officeDocument/2006/relationships/hyperlink" Target="https://octopart.com/click/track?ak=2663fc37&amp;sig=0c67759&amp;sid=1532&amp;ppid=3280&amp;vpid=88692017&amp;ct=offers" TargetMode="External"/><Relationship Id="rId109" Type="http://schemas.openxmlformats.org/officeDocument/2006/relationships/hyperlink" Target="https://octopart.com/click/track?ak=2663fc37&amp;sig=0e8af53&amp;sid=1106&amp;ppid=39817352&amp;vpid=473549431&amp;ct=offers" TargetMode="External"/><Relationship Id="rId110" Type="http://schemas.openxmlformats.org/officeDocument/2006/relationships/hyperlink" Target="https://octopart.com/click/track?ak=2663fc37&amp;sig=02c983c&amp;sid=459&amp;ppid=39817352&amp;vpid=115682100&amp;ct=offers" TargetMode="External"/><Relationship Id="rId111" Type="http://schemas.openxmlformats.org/officeDocument/2006/relationships/hyperlink" Target="https://octopart.com/click/track?ak=2663fc37&amp;sig=0a8cf33&amp;sid=819&amp;ppid=39817352&amp;vpid=478818628&amp;ct=offers" TargetMode="External"/><Relationship Id="rId112" Type="http://schemas.openxmlformats.org/officeDocument/2006/relationships/hyperlink" Target="https://octopart.com/click/track?ak=2663fc37&amp;sig=0aec1ae&amp;sid=2401&amp;ppid=39817352&amp;vpid=114830339&amp;ct=offers" TargetMode="External"/><Relationship Id="rId113" Type="http://schemas.openxmlformats.org/officeDocument/2006/relationships/hyperlink" Target="https://octopart.com/click/track?ak=2663fc37&amp;sig=0d08724&amp;sid=2402&amp;ppid=39817352&amp;vpid=115423921&amp;ct=offers" TargetMode="External"/><Relationship Id="rId114" Type="http://schemas.openxmlformats.org/officeDocument/2006/relationships/hyperlink" Target="https://octopart.com/click/track?c=1&amp;ak=2663fc37&amp;sig=0b5c42f&amp;sid=1106&amp;ppid=40016911&amp;vpid=486275248&amp;ct=offers" TargetMode="External"/><Relationship Id="rId115" Type="http://schemas.openxmlformats.org/officeDocument/2006/relationships/hyperlink" Target="https://octopart.com/click/track?c=1&amp;ak=2663fc37&amp;sig=0b9b386&amp;sid=459&amp;ppid=40016911&amp;vpid=114977759&amp;ct=offers" TargetMode="External"/><Relationship Id="rId116" Type="http://schemas.openxmlformats.org/officeDocument/2006/relationships/hyperlink" Target="https://octopart.com/click/track?ak=2663fc37&amp;sig=0dfcb4b&amp;sid=819&amp;ppid=40016911&amp;vpid=250079451&amp;ct=offers" TargetMode="External"/><Relationship Id="rId117" Type="http://schemas.openxmlformats.org/officeDocument/2006/relationships/hyperlink" Target="https://octopart.com/click/track?ak=2663fc37&amp;sig=0ae4e05&amp;sid=2401&amp;ppid=40016911&amp;vpid=114828552&amp;ct=offers" TargetMode="External"/><Relationship Id="rId118" Type="http://schemas.openxmlformats.org/officeDocument/2006/relationships/hyperlink" Target="https://octopart.com/click/track?ak=2663fc37&amp;sig=0cc5131&amp;sid=2402&amp;ppid=40016911&amp;vpid=115414488&amp;ct=offers" TargetMode="External"/><Relationship Id="rId119" Type="http://schemas.openxmlformats.org/officeDocument/2006/relationships/hyperlink" Target="https://octopart.com/click/track?ak=2663fc37&amp;sig=09c7b30&amp;sid=10022&amp;ppid=40016911&amp;vpid=123383091&amp;ct=offers" TargetMode="External"/><Relationship Id="rId120" Type="http://schemas.openxmlformats.org/officeDocument/2006/relationships/hyperlink" Target="https://octopart.com/click/track?ak=2663fc37&amp;sig=08f8f4b&amp;sid=1106&amp;ppid=55421021&amp;vpid=473399098&amp;ct=offers" TargetMode="External"/><Relationship Id="rId121" Type="http://schemas.openxmlformats.org/officeDocument/2006/relationships/hyperlink" Target="https://octopart.com/click/track?ak=2663fc37&amp;sig=0939e4c&amp;sid=459&amp;ppid=55421021&amp;vpid=188059630&amp;ct=offers" TargetMode="External"/><Relationship Id="rId122" Type="http://schemas.openxmlformats.org/officeDocument/2006/relationships/hyperlink" Target="https://octopart.com/click/track?ak=2663fc37&amp;sig=0f6238a&amp;sid=2401&amp;ppid=55421021&amp;vpid=187839162&amp;ct=offers" TargetMode="External"/><Relationship Id="rId123" Type="http://schemas.openxmlformats.org/officeDocument/2006/relationships/hyperlink" Target="https://octopart.com/click/track?ak=2663fc37&amp;sig=0836c7f&amp;sid=2402&amp;ppid=55421021&amp;vpid=191369682&amp;ct=offers" TargetMode="External"/><Relationship Id="rId124" Type="http://schemas.openxmlformats.org/officeDocument/2006/relationships/hyperlink" Target="https://octopart.com/click/track?c=1&amp;ak=2663fc37&amp;sig=081c80f&amp;sid=459&amp;ppid=21879938&amp;vpid=276343980&amp;ct=offers" TargetMode="External"/><Relationship Id="rId125" Type="http://schemas.openxmlformats.org/officeDocument/2006/relationships/hyperlink" Target="https://octopart.com/click/track?ak=2663fc37&amp;sig=0e020da&amp;sid=1106&amp;ppid=55421046&amp;vpid=473399138&amp;ct=offers" TargetMode="External"/><Relationship Id="rId126" Type="http://schemas.openxmlformats.org/officeDocument/2006/relationships/hyperlink" Target="https://octopart.com/click/track?ak=2663fc37&amp;sig=069c25b&amp;sid=459&amp;ppid=55421046&amp;vpid=188059677&amp;ct=offers" TargetMode="External"/><Relationship Id="rId127" Type="http://schemas.openxmlformats.org/officeDocument/2006/relationships/hyperlink" Target="https://octopart.com/click/track?ak=2663fc37&amp;sig=01b6069&amp;sid=819&amp;ppid=55421046&amp;vpid=139314465&amp;ct=offers" TargetMode="External"/><Relationship Id="rId128" Type="http://schemas.openxmlformats.org/officeDocument/2006/relationships/hyperlink" Target="https://octopart.com/click/track?ak=2663fc37&amp;sig=00ce879&amp;sid=2401&amp;ppid=55421046&amp;vpid=187839192&amp;ct=offers" TargetMode="External"/><Relationship Id="rId129" Type="http://schemas.openxmlformats.org/officeDocument/2006/relationships/hyperlink" Target="https://octopart.com/click/track?ak=2663fc37&amp;sig=08e7116&amp;sid=2402&amp;ppid=55421046&amp;vpid=190851290&amp;ct=offers" TargetMode="External"/><Relationship Id="rId130" Type="http://schemas.openxmlformats.org/officeDocument/2006/relationships/hyperlink" Target="https://octopart.com/click/track?ak=2663fc37&amp;sig=0f56c01&amp;sid=10022&amp;ppid=55421046&amp;vpid=268459939&amp;ct=offers" TargetMode="External"/><Relationship Id="rId131" Type="http://schemas.openxmlformats.org/officeDocument/2006/relationships/hyperlink" Target="https://octopart.com/click/track?c=1&amp;ak=2663fc37&amp;sig=0dd8f03&amp;sid=1106&amp;ppid=55434392&amp;vpid=473549664&amp;ct=offers" TargetMode="External"/><Relationship Id="rId132" Type="http://schemas.openxmlformats.org/officeDocument/2006/relationships/hyperlink" Target="https://octopart.com/click/track?ak=2663fc37&amp;sig=00684f9&amp;sid=459&amp;ppid=55434392&amp;vpid=188128819&amp;ct=offers" TargetMode="External"/><Relationship Id="rId133" Type="http://schemas.openxmlformats.org/officeDocument/2006/relationships/hyperlink" Target="https://octopart.com/click/track?ak=2663fc37&amp;sig=0ff65c7&amp;sid=819&amp;ppid=55434392&amp;vpid=489917845&amp;ct=offers" TargetMode="External"/><Relationship Id="rId134" Type="http://schemas.openxmlformats.org/officeDocument/2006/relationships/hyperlink" Target="https://octopart.com/click/track?ak=2663fc37&amp;sig=0c7999a&amp;sid=2401&amp;ppid=55434392&amp;vpid=187885218&amp;ct=offers" TargetMode="External"/><Relationship Id="rId135" Type="http://schemas.openxmlformats.org/officeDocument/2006/relationships/hyperlink" Target="https://octopart.com/click/track?ak=2663fc37&amp;sig=092451d&amp;sid=2402&amp;ppid=55434392&amp;vpid=20051789&amp;ct=offers" TargetMode="External"/><Relationship Id="rId136" Type="http://schemas.openxmlformats.org/officeDocument/2006/relationships/hyperlink" Target="https://octopart.com/click/track?ak=2663fc37&amp;sig=087f53c&amp;sid=10022&amp;ppid=95365263&amp;vpid=498658870&amp;ct=offers" TargetMode="External"/><Relationship Id="rId137" Type="http://schemas.openxmlformats.org/officeDocument/2006/relationships/hyperlink" Target="https://octopart.com/click/track?ak=2663fc37&amp;sig=0319d89&amp;sid=1532&amp;ppid=55434392&amp;vpid=187873457&amp;ct=offers" TargetMode="External"/><Relationship Id="rId138" Type="http://schemas.openxmlformats.org/officeDocument/2006/relationships/hyperlink" Target="https://octopart.com/click/track?c=1&amp;ak=2663fc37&amp;sig=0ed7327&amp;sid=1106&amp;ppid=39831592&amp;vpid=486275496&amp;ct=offers" TargetMode="External"/><Relationship Id="rId139" Type="http://schemas.openxmlformats.org/officeDocument/2006/relationships/hyperlink" Target="https://octopart.com/click/track?c=1&amp;ak=2663fc37&amp;sig=0f22f65&amp;sid=459&amp;ppid=39831592&amp;vpid=119628008&amp;ct=offers" TargetMode="External"/><Relationship Id="rId140" Type="http://schemas.openxmlformats.org/officeDocument/2006/relationships/hyperlink" Target="https://octopart.com/click/track?ak=2663fc37&amp;sig=05acd66&amp;sid=819&amp;ppid=39831592&amp;vpid=249360872&amp;ct=offers" TargetMode="External"/><Relationship Id="rId141" Type="http://schemas.openxmlformats.org/officeDocument/2006/relationships/hyperlink" Target="https://octopart.com/click/track?ak=2663fc37&amp;sig=0ac6173&amp;sid=2401&amp;ppid=39831592&amp;vpid=114828559&amp;ct=offers" TargetMode="External"/><Relationship Id="rId142" Type="http://schemas.openxmlformats.org/officeDocument/2006/relationships/hyperlink" Target="https://octopart.com/click/track?c=1&amp;ak=2663fc37&amp;sig=0817e1f&amp;sid=2402&amp;ppid=39831592&amp;vpid=115414543&amp;ct=offers" TargetMode="External"/><Relationship Id="rId143" Type="http://schemas.openxmlformats.org/officeDocument/2006/relationships/hyperlink" Target="https://octopart.com/click/track?ak=2663fc37&amp;sig=0e5829a&amp;sid=10022&amp;ppid=39831592&amp;vpid=116595046&amp;ct=offers" TargetMode="External"/><Relationship Id="rId144" Type="http://schemas.openxmlformats.org/officeDocument/2006/relationships/hyperlink" Target="https://octopart.com/click/track?ak=2663fc37&amp;sig=026d78c&amp;sid=459&amp;ppid=40298764&amp;vpid=114977627&amp;ct=offers" TargetMode="External"/><Relationship Id="rId145" Type="http://schemas.openxmlformats.org/officeDocument/2006/relationships/hyperlink" Target="https://octopart.com/click/track?ak=2663fc37&amp;sig=0e980f1&amp;sid=819&amp;ppid=40298764&amp;vpid=249360714&amp;ct=offers" TargetMode="External"/><Relationship Id="rId146" Type="http://schemas.openxmlformats.org/officeDocument/2006/relationships/hyperlink" Target="https://octopart.com/click/track?ak=2663fc37&amp;sig=0c5d18e&amp;sid=2401&amp;ppid=40298764&amp;vpid=114828526&amp;ct=offers" TargetMode="External"/><Relationship Id="rId147" Type="http://schemas.openxmlformats.org/officeDocument/2006/relationships/hyperlink" Target="https://octopart.com/click/track?ak=2663fc37&amp;sig=03fb283&amp;sid=2402&amp;ppid=40298764&amp;vpid=115414250&amp;ct=offers" TargetMode="External"/><Relationship Id="rId148" Type="http://schemas.openxmlformats.org/officeDocument/2006/relationships/hyperlink" Target="https://octopart.com/click/track?ak=2663fc37&amp;sig=01dbe5b&amp;sid=10022&amp;ppid=40298764&amp;vpid=115069787&amp;ct=offers" TargetMode="External"/><Relationship Id="rId149" Type="http://schemas.openxmlformats.org/officeDocument/2006/relationships/hyperlink" Target="https://octopart.com/click/track?ak=2663fc37&amp;sig=050dc95&amp;sid=819&amp;ppid=22097482&amp;vpid=139074236&amp;ct=offers" TargetMode="External"/><Relationship Id="rId150" Type="http://schemas.openxmlformats.org/officeDocument/2006/relationships/hyperlink" Target="https://octopart.com/click/track?ak=2663fc37&amp;sig=0f35bf0&amp;sid=2402&amp;ppid=22097482&amp;vpid=49950358&amp;ct=offers" TargetMode="External"/><Relationship Id="rId151" Type="http://schemas.openxmlformats.org/officeDocument/2006/relationships/hyperlink" Target="https://octopart.com/click/track?c=1&amp;ak=2663fc37&amp;sig=09aa144&amp;sid=459&amp;ppid=39455035&amp;vpid=114977617&amp;ct=offers" TargetMode="External"/><Relationship Id="rId152" Type="http://schemas.openxmlformats.org/officeDocument/2006/relationships/hyperlink" Target="https://octopart.com/click/track?c=1&amp;ak=2663fc37&amp;sig=080bacf&amp;sid=819&amp;ppid=39455035&amp;vpid=249360698&amp;ct=offers" TargetMode="External"/><Relationship Id="rId153" Type="http://schemas.openxmlformats.org/officeDocument/2006/relationships/hyperlink" Target="https://octopart.com/click/track?ak=2663fc37&amp;sig=0794674&amp;sid=2401&amp;ppid=39455035&amp;vpid=114828524&amp;ct=offers" TargetMode="External"/><Relationship Id="rId154" Type="http://schemas.openxmlformats.org/officeDocument/2006/relationships/hyperlink" Target="https://octopart.com/click/track?c=1&amp;ak=2663fc37&amp;sig=028ce71&amp;sid=2402&amp;ppid=39455035&amp;vpid=115414231&amp;ct=offers" TargetMode="External"/><Relationship Id="rId155" Type="http://schemas.openxmlformats.org/officeDocument/2006/relationships/hyperlink" Target="https://octopart.com/click/track?ak=2663fc37&amp;sig=0aff038&amp;sid=10022&amp;ppid=39455035&amp;vpid=115069786&amp;ct=offers" TargetMode="External"/><Relationship Id="rId156" Type="http://schemas.openxmlformats.org/officeDocument/2006/relationships/hyperlink" Target="https://octopart.com/click/track?ak=2663fc37&amp;sig=0b25da6&amp;sid=1106&amp;ppid=30038882&amp;vpid=473423061&amp;ct=offers" TargetMode="External"/><Relationship Id="rId157" Type="http://schemas.openxmlformats.org/officeDocument/2006/relationships/hyperlink" Target="https://octopart.com/click/track?ak=2663fc37&amp;sig=05d3d7f&amp;sid=459&amp;ppid=30038882&amp;vpid=438816136&amp;ct=offers" TargetMode="External"/><Relationship Id="rId158" Type="http://schemas.openxmlformats.org/officeDocument/2006/relationships/hyperlink" Target="https://octopart.com/click/track?ak=2663fc37&amp;sig=0ef4a58&amp;sid=819&amp;ppid=30038882&amp;vpid=139691109&amp;ct=offers" TargetMode="External"/><Relationship Id="rId159" Type="http://schemas.openxmlformats.org/officeDocument/2006/relationships/hyperlink" Target="https://octopart.com/click/track?ak=2663fc37&amp;sig=05e78c7&amp;sid=2401&amp;ppid=30038882&amp;vpid=209018123&amp;ct=offers" TargetMode="External"/><Relationship Id="rId160" Type="http://schemas.openxmlformats.org/officeDocument/2006/relationships/hyperlink" Target="https://octopart.com/click/track?ak=2663fc37&amp;sig=0ede2f9&amp;sid=2402&amp;ppid=30038882&amp;vpid=120976274&amp;ct=offers" TargetMode="External"/><Relationship Id="rId161" Type="http://schemas.openxmlformats.org/officeDocument/2006/relationships/hyperlink" Target="https://octopart.com/click/track?ak=2663fc37&amp;sig=0f64211&amp;sid=10022&amp;ppid=30038882&amp;vpid=114074411&amp;ct=offers" TargetMode="External"/><Relationship Id="rId162" Type="http://schemas.openxmlformats.org/officeDocument/2006/relationships/hyperlink" Target="https://octopart.com/click/track?ak=2663fc37&amp;sig=0561aa1&amp;sid=1532&amp;ppid=30038882&amp;vpid=227718651&amp;ct=offers" TargetMode="External"/><Relationship Id="rId163" Type="http://schemas.openxmlformats.org/officeDocument/2006/relationships/hyperlink" Target="https://octopart.com/click/track?ak=2663fc37&amp;sig=0161660&amp;sid=1106&amp;ppid=53586202&amp;vpid=476784316&amp;ct=offers" TargetMode="External"/><Relationship Id="rId164" Type="http://schemas.openxmlformats.org/officeDocument/2006/relationships/hyperlink" Target="https://octopart.com/click/track?ak=2663fc37&amp;sig=0440269&amp;sid=459&amp;ppid=53586202&amp;vpid=193014652&amp;ct=offers" TargetMode="External"/><Relationship Id="rId165" Type="http://schemas.openxmlformats.org/officeDocument/2006/relationships/hyperlink" Target="https://octopart.com/click/track?ak=2663fc37&amp;sig=01984da&amp;sid=2401&amp;ppid=53586202&amp;vpid=195073732&amp;ct=offers" TargetMode="External"/><Relationship Id="rId166" Type="http://schemas.openxmlformats.org/officeDocument/2006/relationships/hyperlink" Target="https://octopart.com/click/track?ak=2663fc37&amp;sig=009cc9c&amp;sid=10022&amp;ppid=53586202&amp;vpid=438404887&amp;ct=offers" TargetMode="External"/><Relationship Id="rId167" Type="http://schemas.openxmlformats.org/officeDocument/2006/relationships/hyperlink" Target="https://octopart.com/click/track?ak=2663fc37&amp;sig=0d35e66&amp;sid=1106&amp;ppid=38944647&amp;vpid=473093153&amp;ct=offers" TargetMode="External"/><Relationship Id="rId168" Type="http://schemas.openxmlformats.org/officeDocument/2006/relationships/hyperlink" Target="https://octopart.com/click/track?ak=2663fc37&amp;sig=089ba2e&amp;sid=459&amp;ppid=38944647&amp;vpid=113502664&amp;ct=offers" TargetMode="External"/><Relationship Id="rId169" Type="http://schemas.openxmlformats.org/officeDocument/2006/relationships/hyperlink" Target="https://octopart.com/click/track?ak=2663fc37&amp;sig=03949b8&amp;sid=819&amp;ppid=38944647&amp;vpid=138109921&amp;ct=offers" TargetMode="External"/><Relationship Id="rId170" Type="http://schemas.openxmlformats.org/officeDocument/2006/relationships/hyperlink" Target="https://octopart.com/click/track?ak=2663fc37&amp;sig=0d33050&amp;sid=2402&amp;ppid=38944647&amp;vpid=268460504&amp;ct=offers" TargetMode="External"/><Relationship Id="rId171" Type="http://schemas.openxmlformats.org/officeDocument/2006/relationships/hyperlink" Target="https://octopart.com/click/track?ak=2663fc37&amp;sig=0795529&amp;sid=1532&amp;ppid=38944647&amp;vpid=430000663&amp;ct=offers" TargetMode="External"/><Relationship Id="rId172" Type="http://schemas.openxmlformats.org/officeDocument/2006/relationships/hyperlink" Target="https://octopart.com/click/track?ak=2663fc37&amp;sig=0199f82&amp;sid=1106&amp;ppid=20573438&amp;vpid=473146498&amp;ct=offers" TargetMode="External"/><Relationship Id="rId173" Type="http://schemas.openxmlformats.org/officeDocument/2006/relationships/hyperlink" Target="https://octopart.com/click/track?ak=2663fc37&amp;sig=0f9977c&amp;sid=459&amp;ppid=20573438&amp;vpid=78808880&amp;ct=offers" TargetMode="External"/><Relationship Id="rId174" Type="http://schemas.openxmlformats.org/officeDocument/2006/relationships/hyperlink" Target="https://octopart.com/click/track?ak=2663fc37&amp;sig=0faba38&amp;sid=819&amp;ppid=20573438&amp;vpid=202969446&amp;ct=offers" TargetMode="External"/><Relationship Id="rId175" Type="http://schemas.openxmlformats.org/officeDocument/2006/relationships/hyperlink" Target="https://octopart.com/click/track?ak=2663fc37&amp;sig=0edf7f2&amp;sid=2401&amp;ppid=20573438&amp;vpid=87602748&amp;ct=offers" TargetMode="External"/><Relationship Id="rId176" Type="http://schemas.openxmlformats.org/officeDocument/2006/relationships/hyperlink" Target="https://octopart.com/click/track?ak=2663fc37&amp;sig=0c9ded7&amp;sid=10022&amp;ppid=20573438&amp;vpid=168845500&amp;ct=offers" TargetMode="External"/><Relationship Id="rId177" Type="http://schemas.openxmlformats.org/officeDocument/2006/relationships/hyperlink" Target="https://octopart.com/click/track?ak=2663fc37&amp;sig=08326b8&amp;sid=1106&amp;ppid=77758564&amp;vpid=473292559&amp;ct=offers" TargetMode="External"/><Relationship Id="rId178" Type="http://schemas.openxmlformats.org/officeDocument/2006/relationships/hyperlink" Target="https://octopart.com/click/track?ak=2663fc37&amp;sig=0171f4f&amp;sid=459&amp;ppid=77758564&amp;vpid=433698466&amp;ct=offers" TargetMode="External"/><Relationship Id="rId179" Type="http://schemas.openxmlformats.org/officeDocument/2006/relationships/hyperlink" Target="https://octopart.com/click/track?ak=2663fc37&amp;sig=05e5bf9&amp;sid=2401&amp;ppid=77758564&amp;vpid=450786096&amp;ct=offers" TargetMode="External"/><Relationship Id="rId180" Type="http://schemas.openxmlformats.org/officeDocument/2006/relationships/hyperlink" Target="https://octopart.com/click/track?c=1&amp;ak=2663fc37&amp;sig=0150c66&amp;sid=2402&amp;ppid=77758564&amp;vpid=438491958&amp;ct=offers" TargetMode="External"/><Relationship Id="rId181" Type="http://schemas.openxmlformats.org/officeDocument/2006/relationships/hyperlink" Target="https://octopart.com/click/track?ak=2663fc37&amp;sig=030e6df&amp;sid=1106&amp;ppid=20973702&amp;vpid=477055575&amp;ct=offers" TargetMode="External"/><Relationship Id="rId182" Type="http://schemas.openxmlformats.org/officeDocument/2006/relationships/hyperlink" Target="https://octopart.com/click/track?ak=2663fc37&amp;sig=0fb7619&amp;sid=459&amp;ppid=20973702&amp;vpid=100956628&amp;ct=offers" TargetMode="External"/><Relationship Id="rId183" Type="http://schemas.openxmlformats.org/officeDocument/2006/relationships/hyperlink" Target="https://octopart.com/click/track?ak=2663fc37&amp;sig=0930e9e&amp;sid=819&amp;ppid=20973702&amp;vpid=478815719&amp;ct=offers" TargetMode="External"/><Relationship Id="rId184" Type="http://schemas.openxmlformats.org/officeDocument/2006/relationships/hyperlink" Target="https://octopart.com/click/track?ak=2663fc37&amp;sig=05ad441&amp;sid=2401&amp;ppid=20973702&amp;vpid=210395159&amp;ct=offers" TargetMode="External"/><Relationship Id="rId185" Type="http://schemas.openxmlformats.org/officeDocument/2006/relationships/hyperlink" Target="https://octopart.com/click/track?ak=2663fc37&amp;sig=0aed290&amp;sid=2402&amp;ppid=20973702&amp;vpid=480434600&amp;ct=offers" TargetMode="External"/><Relationship Id="rId186" Type="http://schemas.openxmlformats.org/officeDocument/2006/relationships/hyperlink" Target="https://octopart.com/click/track?ak=2663fc37&amp;sig=0622442&amp;sid=1106&amp;ppid=19667474&amp;vpid=473475423&amp;ct=offers" TargetMode="External"/><Relationship Id="rId187" Type="http://schemas.openxmlformats.org/officeDocument/2006/relationships/hyperlink" Target="https://octopart.com/click/track?ak=2663fc37&amp;sig=00ea444&amp;sid=459&amp;ppid=19667474&amp;vpid=37345503&amp;ct=offers" TargetMode="External"/><Relationship Id="rId188" Type="http://schemas.openxmlformats.org/officeDocument/2006/relationships/hyperlink" Target="https://octopart.com/click/track?ak=2663fc37&amp;sig=0920228&amp;sid=819&amp;ppid=19667474&amp;vpid=139760645&amp;ct=offers" TargetMode="External"/><Relationship Id="rId189" Type="http://schemas.openxmlformats.org/officeDocument/2006/relationships/hyperlink" Target="https://octopart.com/click/track?ak=2663fc37&amp;sig=07abb86&amp;sid=2401&amp;ppid=19667474&amp;vpid=240467546&amp;ct=offers" TargetMode="External"/><Relationship Id="rId190" Type="http://schemas.openxmlformats.org/officeDocument/2006/relationships/hyperlink" Target="https://octopart.com/click/track?ak=2663fc37&amp;sig=0ac0461&amp;sid=2402&amp;ppid=19667474&amp;vpid=35062595&amp;ct=offers" TargetMode="External"/><Relationship Id="rId191" Type="http://schemas.openxmlformats.org/officeDocument/2006/relationships/vmlDrawing" Target="../drawings/vmlDrawing1.vml"/><Relationship Id="rId19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2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</cols>
  <sheetData>
    <row r="1" spans="1:42">
      <c r="A1" s="2" t="s">
        <v>84</v>
      </c>
      <c r="B1" s="3" t="s">
        <v>85</v>
      </c>
      <c r="F1" s="4" t="s">
        <v>89</v>
      </c>
      <c r="G1" s="4">
        <v>100</v>
      </c>
    </row>
    <row r="2" spans="1:42">
      <c r="A2" s="2" t="s">
        <v>86</v>
      </c>
      <c r="B2" s="3"/>
      <c r="F2" s="2" t="s">
        <v>91</v>
      </c>
      <c r="G2" s="5">
        <f>TotalCost/BoardQty</f>
        <v>0</v>
      </c>
    </row>
    <row r="3" spans="1:42">
      <c r="A3" s="2" t="s">
        <v>87</v>
      </c>
      <c r="B3" s="3" t="s">
        <v>88</v>
      </c>
      <c r="F3" s="2" t="s">
        <v>90</v>
      </c>
      <c r="G3" s="6">
        <f>SUM(G7:G43)</f>
        <v>0</v>
      </c>
      <c r="K3" s="6">
        <f>SUM(K7:K43)</f>
        <v>0</v>
      </c>
      <c r="L3" s="7">
        <f>(ROWS(K7:K43)-COUNTBLANK(K7:K43))&amp;" of "&amp;ROWS(K7:K43)&amp;" parts found"</f>
        <v>0</v>
      </c>
      <c r="P3" s="6">
        <f>SUM(P7:P43)</f>
        <v>0</v>
      </c>
      <c r="Q3" s="7">
        <f>(ROWS(P7:P43)-COUNTBLANK(P7:P43))&amp;" of "&amp;ROWS(P7:P43)&amp;" parts found"</f>
        <v>0</v>
      </c>
      <c r="U3" s="6">
        <f>SUM(U7:U43)</f>
        <v>0</v>
      </c>
      <c r="V3" s="7">
        <f>(ROWS(U7:U43)-COUNTBLANK(U7:U43))&amp;" of "&amp;ROWS(U7:U43)&amp;" parts found"</f>
        <v>0</v>
      </c>
      <c r="Z3" s="6">
        <f>SUM(Z7:Z43)</f>
        <v>0</v>
      </c>
      <c r="AA3" s="7">
        <f>(ROWS(Z7:Z43)-COUNTBLANK(Z7:Z43))&amp;" of "&amp;ROWS(Z7:Z43)&amp;" parts found"</f>
        <v>0</v>
      </c>
      <c r="AE3" s="6">
        <f>SUM(AE7:AE43)</f>
        <v>0</v>
      </c>
      <c r="AF3" s="7">
        <f>(ROWS(AE7:AE43)-COUNTBLANK(AE7:AE43))&amp;" of "&amp;ROWS(AE7:AE43)&amp;" parts found"</f>
        <v>0</v>
      </c>
      <c r="AJ3" s="6">
        <f>SUM(AJ7:AJ43)</f>
        <v>0</v>
      </c>
      <c r="AK3" s="7">
        <f>(ROWS(AJ7:AJ43)-COUNTBLANK(AJ7:AJ43))&amp;" of "&amp;ROWS(AJ7:AJ43)&amp;" parts found"</f>
        <v>0</v>
      </c>
      <c r="AO3" s="6">
        <f>SUM(AO7:AO43)</f>
        <v>0</v>
      </c>
      <c r="AP3" s="7">
        <f>(ROWS(AO7:AO43)-COUNTBLANK(AO7:AO43))&amp;" of "&amp;ROWS(AO7:AO43)&amp;" parts found"</f>
        <v>0</v>
      </c>
    </row>
    <row r="4" spans="1:42">
      <c r="A4" s="2" t="s">
        <v>92</v>
      </c>
      <c r="B4" s="3" t="s">
        <v>93</v>
      </c>
    </row>
    <row r="5" spans="1:42">
      <c r="A5" s="8" t="s">
        <v>0</v>
      </c>
      <c r="B5" s="8"/>
      <c r="C5" s="8"/>
      <c r="D5" s="8"/>
      <c r="E5" s="8"/>
      <c r="F5" s="8"/>
      <c r="G5" s="8"/>
      <c r="H5" s="9" t="s">
        <v>94</v>
      </c>
      <c r="I5" s="9"/>
      <c r="J5" s="9"/>
      <c r="K5" s="9"/>
      <c r="L5" s="9"/>
      <c r="M5" s="10" t="s">
        <v>112</v>
      </c>
      <c r="N5" s="10"/>
      <c r="O5" s="10"/>
      <c r="P5" s="10"/>
      <c r="Q5" s="10"/>
      <c r="R5" s="11" t="s">
        <v>148</v>
      </c>
      <c r="S5" s="11"/>
      <c r="T5" s="11"/>
      <c r="U5" s="11"/>
      <c r="V5" s="11"/>
      <c r="W5" s="12" t="s">
        <v>178</v>
      </c>
      <c r="X5" s="12"/>
      <c r="Y5" s="12"/>
      <c r="Z5" s="12"/>
      <c r="AA5" s="12"/>
      <c r="AB5" s="13" t="s">
        <v>210</v>
      </c>
      <c r="AC5" s="13"/>
      <c r="AD5" s="13"/>
      <c r="AE5" s="13"/>
      <c r="AF5" s="13"/>
      <c r="AG5" s="14" t="s">
        <v>241</v>
      </c>
      <c r="AH5" s="14"/>
      <c r="AI5" s="14"/>
      <c r="AJ5" s="14"/>
      <c r="AK5" s="14"/>
      <c r="AL5" s="15" t="s">
        <v>266</v>
      </c>
      <c r="AM5" s="15"/>
      <c r="AN5" s="15"/>
      <c r="AO5" s="15"/>
      <c r="AP5" s="15"/>
    </row>
    <row r="6" spans="1:42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95</v>
      </c>
      <c r="I6" s="16" t="s">
        <v>96</v>
      </c>
      <c r="J6" s="16" t="s">
        <v>6</v>
      </c>
      <c r="K6" s="16" t="s">
        <v>7</v>
      </c>
      <c r="L6" s="16" t="s">
        <v>97</v>
      </c>
      <c r="M6" s="16" t="s">
        <v>95</v>
      </c>
      <c r="N6" s="16" t="s">
        <v>96</v>
      </c>
      <c r="O6" s="16" t="s">
        <v>6</v>
      </c>
      <c r="P6" s="16" t="s">
        <v>7</v>
      </c>
      <c r="Q6" s="16" t="s">
        <v>97</v>
      </c>
      <c r="R6" s="16" t="s">
        <v>95</v>
      </c>
      <c r="S6" s="16" t="s">
        <v>96</v>
      </c>
      <c r="T6" s="16" t="s">
        <v>6</v>
      </c>
      <c r="U6" s="16" t="s">
        <v>7</v>
      </c>
      <c r="V6" s="16" t="s">
        <v>97</v>
      </c>
      <c r="W6" s="16" t="s">
        <v>95</v>
      </c>
      <c r="X6" s="16" t="s">
        <v>96</v>
      </c>
      <c r="Y6" s="16" t="s">
        <v>6</v>
      </c>
      <c r="Z6" s="16" t="s">
        <v>7</v>
      </c>
      <c r="AA6" s="16" t="s">
        <v>97</v>
      </c>
      <c r="AB6" s="16" t="s">
        <v>95</v>
      </c>
      <c r="AC6" s="16" t="s">
        <v>96</v>
      </c>
      <c r="AD6" s="16" t="s">
        <v>6</v>
      </c>
      <c r="AE6" s="16" t="s">
        <v>7</v>
      </c>
      <c r="AF6" s="16" t="s">
        <v>97</v>
      </c>
      <c r="AG6" s="16" t="s">
        <v>95</v>
      </c>
      <c r="AH6" s="16" t="s">
        <v>96</v>
      </c>
      <c r="AI6" s="16" t="s">
        <v>6</v>
      </c>
      <c r="AJ6" s="16" t="s">
        <v>7</v>
      </c>
      <c r="AK6" s="16" t="s">
        <v>97</v>
      </c>
      <c r="AL6" s="16" t="s">
        <v>95</v>
      </c>
      <c r="AM6" s="16" t="s">
        <v>96</v>
      </c>
      <c r="AN6" s="16" t="s">
        <v>6</v>
      </c>
      <c r="AO6" s="16" t="s">
        <v>7</v>
      </c>
      <c r="AP6" s="16" t="s">
        <v>97</v>
      </c>
    </row>
    <row r="7" spans="1:42">
      <c r="A7" s="17" t="s">
        <v>8</v>
      </c>
      <c r="B7" s="17" t="s">
        <v>9</v>
      </c>
      <c r="C7" s="17" t="s">
        <v>10</v>
      </c>
      <c r="D7" s="17" t="s">
        <v>11</v>
      </c>
      <c r="E7" s="17">
        <f>BoardQty*1</f>
        <v>0</v>
      </c>
      <c r="F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8">
        <f>iferror(E7*F7,"")</f>
        <v>0</v>
      </c>
      <c r="H7" s="19" t="s">
        <v>98</v>
      </c>
      <c r="J7" s="18">
        <f>iferror(lookup(if(I7="",E7,I7),{0,1,3000,3001,300000,30000000},{0.0,0.5082,0.5082,0.2926,0.3465,0.279}),"")</f>
        <v>0</v>
      </c>
      <c r="K7" s="18">
        <f>iferror(if(I7="",E7,I7)*J7,"")</f>
        <v>0</v>
      </c>
      <c r="L7" s="20" t="s">
        <v>11</v>
      </c>
      <c r="M7" s="17">
        <v>99881</v>
      </c>
      <c r="O7" s="18">
        <f>iferror(lookup(if(N7="",E7,N7),{0,1,10,25,100,250,500,1000,3000,6000,15000,30000},{0.0,0.99,0.865,0.7664,0.6674,0.5809200000000001,0.4944,0.39552,0.348,0.324,0.312,0.3}),"")</f>
        <v>0</v>
      </c>
      <c r="P7" s="18">
        <f>iferror(if(N7="",E7,N7)*O7,"")</f>
        <v>0</v>
      </c>
      <c r="Q7" s="20" t="s">
        <v>113</v>
      </c>
      <c r="R7" s="17">
        <v>1554</v>
      </c>
      <c r="T7" s="18">
        <f>iferror(lookup(if(S7="",E7,S7),{0,1,5,50,250,500,1500,3000,15000},{0.0,0.9425984823933037,0.9425984823933037,0.671617625694266,0.5665963367343517,0.4745406390040566,0.442126660930009,0.37989182302783764,0.37211246829006617}),"")</f>
        <v>0</v>
      </c>
      <c r="U7" s="18">
        <f>iferror(if(S7="",E7,S7)*T7,"")</f>
        <v>0</v>
      </c>
      <c r="V7" s="20" t="s">
        <v>149</v>
      </c>
      <c r="W7" s="17">
        <v>41222</v>
      </c>
      <c r="Y7" s="18">
        <f>iferror(lookup(if(X7="",E7,X7),{0,1,10,50,100,1000,10000},{0.0,1.0,0.766,0.766,0.581,0.39599999999999996,0.312}),"")</f>
        <v>0</v>
      </c>
      <c r="Z7" s="18">
        <f>iferror(if(X7="",E7,X7)*Y7,"")</f>
        <v>0</v>
      </c>
      <c r="AA7" s="20" t="s">
        <v>179</v>
      </c>
      <c r="AB7" s="17">
        <v>1519</v>
      </c>
      <c r="AD7" s="18">
        <f>iferror(lookup(if(AC7="",E7,AC7),{0,1,5,10,25,50,100,250,500,1000},{0.0,1.0,1.0,0.766,0.704,0.6430000000000001,0.581,0.538,0.494,0.39599999999999996}),"")</f>
        <v>0</v>
      </c>
      <c r="AE7" s="18">
        <f>iferror(if(AC7="",E7,AC7)*AD7,"")</f>
        <v>0</v>
      </c>
      <c r="AF7" s="20" t="s">
        <v>211</v>
      </c>
    </row>
    <row r="8" spans="1:42">
      <c r="A8" s="17" t="s">
        <v>12</v>
      </c>
      <c r="B8" s="17" t="s">
        <v>9</v>
      </c>
      <c r="C8" s="17" t="s">
        <v>10</v>
      </c>
      <c r="D8" s="17" t="s">
        <v>13</v>
      </c>
      <c r="E8" s="17">
        <f>BoardQty*1</f>
        <v>0</v>
      </c>
      <c r="F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8">
        <f>iferror(E8*F8,"")</f>
        <v>0</v>
      </c>
      <c r="H8" s="19" t="s">
        <v>98</v>
      </c>
      <c r="J8" s="18">
        <f>iferror(lookup(if(I8="",E8,I8),{0,1,4000,40000,4000000},{0.0,0.54,0.54,0.5142,0.2965}),"")</f>
        <v>0</v>
      </c>
      <c r="K8" s="18">
        <f>iferror(if(I8="",E8,I8)*J8,"")</f>
        <v>0</v>
      </c>
      <c r="L8" s="20" t="s">
        <v>13</v>
      </c>
      <c r="M8" s="17">
        <v>209102</v>
      </c>
      <c r="O8" s="18">
        <f>iferror(lookup(if(N8="",E8,N8),{0,1,10,25,100,250,500,1000,4000,8000,12000,28000},{0.0,0.94,0.83,0.7496,0.6560000000000001,0.57568,0.50872,0.40163,0.357,0.33914999999999995,0.32513,0.3162}),"")</f>
        <v>0</v>
      </c>
      <c r="P8" s="18">
        <f>iferror(if(N8="",E8,N8)*O8,"")</f>
        <v>0</v>
      </c>
      <c r="Q8" s="20" t="s">
        <v>114</v>
      </c>
      <c r="R8" s="17">
        <v>3775</v>
      </c>
      <c r="T8" s="18">
        <f>iferror(lookup(if(S8="",E8,S8),{0,1,10,100,500,1000,2000,4000,20000},{0.0,0.8738808488763228,0.8738808488763228,0.6392036476202183,0.5238098856766089,0.4226782740855805,0.3941539733804186,0.36433311355229486,0.35655375881452345}),"")</f>
        <v>0</v>
      </c>
      <c r="U8" s="18">
        <f>iferror(if(S8="",E8,S8)*T8,"")</f>
        <v>0</v>
      </c>
      <c r="V8" s="20" t="s">
        <v>150</v>
      </c>
      <c r="W8" s="17">
        <v>5367</v>
      </c>
      <c r="Y8" s="18">
        <f>iferror(lookup(if(X8="",E8,X8),{0,1,10,50,100,1000,10000},{0.0,1.4700000000000002,0.867,0.867,0.712,0.495,0.404}),"")</f>
        <v>0</v>
      </c>
      <c r="Z8" s="18">
        <f>iferror(if(X8="",E8,X8)*Y8,"")</f>
        <v>0</v>
      </c>
      <c r="AA8" s="20" t="s">
        <v>180</v>
      </c>
      <c r="AB8" s="17">
        <v>3045</v>
      </c>
      <c r="AD8" s="18">
        <f>iferror(lookup(if(AC8="",E8,AC8),{0,1,10,25,50,100,250,500},{0.0,0.867,0.867,0.815,0.764,0.712,0.705,0.6979999999999998}),"")</f>
        <v>0</v>
      </c>
      <c r="AE8" s="18">
        <f>iferror(if(AC8="",E8,AC8)*AD8,"")</f>
        <v>0</v>
      </c>
      <c r="AF8" s="20" t="s">
        <v>212</v>
      </c>
    </row>
    <row r="9" spans="1:42">
      <c r="A9" s="17" t="s">
        <v>14</v>
      </c>
      <c r="B9" s="17" t="s">
        <v>9</v>
      </c>
      <c r="C9" s="17" t="s">
        <v>10</v>
      </c>
      <c r="D9" s="17" t="s">
        <v>15</v>
      </c>
      <c r="E9" s="17">
        <f>BoardQty*2</f>
        <v>0</v>
      </c>
      <c r="F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8">
        <f>iferror(E9*F9,"")</f>
        <v>0</v>
      </c>
      <c r="H9" s="19" t="s">
        <v>98</v>
      </c>
      <c r="J9" s="18">
        <f>iferror(lookup(if(I9="",E9,I9),{0,1,10000,10001},{0.0,0.0131,0.0131,0.0066}),"")</f>
        <v>0</v>
      </c>
      <c r="K9" s="18">
        <f>iferror(if(I9="",E9,I9)*J9,"")</f>
        <v>0</v>
      </c>
      <c r="L9" s="20" t="s">
        <v>15</v>
      </c>
      <c r="M9" s="19" t="s">
        <v>98</v>
      </c>
      <c r="O9" s="18">
        <f>iferror(lookup(if(N9="",E9,N9),{0,1,10,100,500,1000,2500,5000,10000},{0.0,0.1,0.06,0.0268,0.01912,0.01502,0.01366,0.01256,0.00998}),"")</f>
        <v>0</v>
      </c>
      <c r="P9" s="18">
        <f>iferror(if(N9="",E9,N9)*O9,"")</f>
        <v>0</v>
      </c>
      <c r="Q9" s="20" t="s">
        <v>115</v>
      </c>
      <c r="R9" s="19" t="s">
        <v>98</v>
      </c>
      <c r="T9" s="18">
        <f>iferror(lookup(if(S9="",E9,S9),{0,1,10,100,150,500,2500,10000},{0.0,0.05665963367343517,0.05665963367343517,0.03267328989863996,0.03267328989863996,0.02463462333627616,0.018411139546059028,0.012965591229619032}),"")</f>
        <v>0</v>
      </c>
      <c r="U9" s="18">
        <f>iferror(if(S9="",E9,S9)*T9,"")</f>
        <v>0</v>
      </c>
      <c r="V9" s="20" t="s">
        <v>151</v>
      </c>
      <c r="W9" s="17">
        <v>32259</v>
      </c>
      <c r="Y9" s="18">
        <f>iferror(lookup(if(X9="",E9,X9),{0,1,10,50,100,1000,10000},{0.0,0.13,0.029,0.029,0.018,0.011999999999999999,0.008}),"")</f>
        <v>0</v>
      </c>
      <c r="Z9" s="18">
        <f>iferror(if(X9="",E9,X9)*Y9,"")</f>
        <v>0</v>
      </c>
      <c r="AA9" s="20" t="s">
        <v>181</v>
      </c>
      <c r="AB9" s="19" t="s">
        <v>98</v>
      </c>
      <c r="AD9" s="18">
        <f>iferror(lookup(if(AC9="",E9,AC9),{0,1,10,25,100,250,500,1000,2500,10000},{0.0,0.13,0.13,0.029,0.018,0.017,0.015,0.011999999999999999,0.01,0.008}),"")</f>
        <v>0</v>
      </c>
      <c r="AE9" s="18">
        <f>iferror(if(AC9="",E9,AC9)*AD9,"")</f>
        <v>0</v>
      </c>
      <c r="AF9" s="20" t="s">
        <v>213</v>
      </c>
      <c r="AG9" s="17">
        <v>3950</v>
      </c>
      <c r="AK9" s="20" t="s">
        <v>242</v>
      </c>
      <c r="AL9" s="19" t="s">
        <v>98</v>
      </c>
      <c r="AN9" s="18">
        <f>iferror(lookup(if(AM9="",E9,AM9),{0,1,100,1000,10000,40000},{0.0,0.0296,0.0296,0.01219,0.00705,0.00596}),"")</f>
        <v>0</v>
      </c>
      <c r="AO9" s="18">
        <f>iferror(if(AM9="",E9,AM9)*AN9,"")</f>
        <v>0</v>
      </c>
      <c r="AP9" s="20" t="s">
        <v>267</v>
      </c>
    </row>
    <row r="10" spans="1:42">
      <c r="A10" s="17" t="s">
        <v>16</v>
      </c>
      <c r="B10" s="17" t="s">
        <v>9</v>
      </c>
      <c r="C10" s="17" t="s">
        <v>10</v>
      </c>
      <c r="D10" s="17" t="s">
        <v>17</v>
      </c>
      <c r="E10" s="17">
        <f>BoardQty*3</f>
        <v>0</v>
      </c>
      <c r="F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8">
        <f>iferror(E10*F10,"")</f>
        <v>0</v>
      </c>
      <c r="M10" s="17">
        <v>1700</v>
      </c>
      <c r="O10" s="18">
        <f>iferror(lookup(if(N10="",E10,N10),{0,1,10,100,500,1000,4000},{0.0,0.21,0.142,0.0721,0.04934,0.04363999999999999,0.03548}),"")</f>
        <v>0</v>
      </c>
      <c r="P10" s="18">
        <f>iferror(if(N10="",E10,N10)*O10,"")</f>
        <v>0</v>
      </c>
      <c r="Q10" s="20" t="s">
        <v>116</v>
      </c>
      <c r="R10" s="19" t="s">
        <v>98</v>
      </c>
      <c r="T10" s="18">
        <f>iferror(lookup(if(S10="",E10,S10),{0,1,4000,20000},{0.0,0.011020752545176178,0.011020752545176178,0.009075913860733323}),"")</f>
        <v>0</v>
      </c>
      <c r="U10" s="18">
        <f>iferror(if(S10="",E10,S10)*T10,"")</f>
        <v>0</v>
      </c>
      <c r="V10" s="20" t="s">
        <v>152</v>
      </c>
      <c r="W10" s="19" t="s">
        <v>98</v>
      </c>
      <c r="Y10" s="18">
        <f>iferror(lookup(if(X10="",E10,X10),{0,1,10,50,100,1000,10000},{0.0,0.19,0.125,0.125,0.063,0.038000000000000006,0.028}),"")</f>
        <v>0</v>
      </c>
      <c r="Z10" s="18">
        <f>iferror(if(X10="",E10,X10)*Y10,"")</f>
        <v>0</v>
      </c>
      <c r="AA10" s="20" t="s">
        <v>182</v>
      </c>
      <c r="AB10" s="19" t="s">
        <v>98</v>
      </c>
      <c r="AD10" s="18">
        <f>iferror(lookup(if(AC10="",E10,AC10),{0,1,4000,8000,16000,24000,40000},{0.0,0.125,0.125,0.123,0.122,0.12,0.11900000000000001}),"")</f>
        <v>0</v>
      </c>
      <c r="AE10" s="18">
        <f>iferror(if(AC10="",E10,AC10)*AD10,"")</f>
        <v>0</v>
      </c>
      <c r="AF10" s="20" t="s">
        <v>214</v>
      </c>
      <c r="AG10" s="19" t="s">
        <v>98</v>
      </c>
      <c r="AK10" s="20" t="s">
        <v>243</v>
      </c>
    </row>
    <row r="11" spans="1:42">
      <c r="A11" s="17" t="s">
        <v>18</v>
      </c>
      <c r="B11" s="17" t="s">
        <v>9</v>
      </c>
      <c r="C11" s="17" t="s">
        <v>10</v>
      </c>
      <c r="D11" s="17" t="s">
        <v>19</v>
      </c>
      <c r="E11" s="17">
        <f>BoardQty*1</f>
        <v>0</v>
      </c>
      <c r="F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8">
        <f>iferror(E11*F11,"")</f>
        <v>0</v>
      </c>
      <c r="H11" s="19" t="s">
        <v>98</v>
      </c>
      <c r="J11" s="18">
        <f>iferror(lookup(if(I11="",E11,I11),{0,1,10000,100000,1000000,5000000},{0.0,0.0029,0.0029,0.0027999999999999995,0.0021,0.0017}),"")</f>
        <v>0</v>
      </c>
      <c r="K11" s="18">
        <f>iferror(if(I11="",E11,I11)*J11,"")</f>
        <v>0</v>
      </c>
      <c r="L11" s="20" t="s">
        <v>19</v>
      </c>
      <c r="M11" s="19" t="s">
        <v>98</v>
      </c>
      <c r="O11" s="18">
        <f>iferror(lookup(if(N11="",E11,N11),{0,1,10,100,500,1000,2500,5000,10000},{0.0,0.1,0.025,0.0113,0.00806,0.00633,0.00575,0.00529,0.0042}),"")</f>
        <v>0</v>
      </c>
      <c r="P11" s="18">
        <f>iferror(if(N11="",E11,N11)*O11,"")</f>
        <v>0</v>
      </c>
      <c r="Q11" s="20" t="s">
        <v>117</v>
      </c>
      <c r="R11" s="19" t="s">
        <v>98</v>
      </c>
      <c r="T11" s="18">
        <f>iferror(lookup(if(S11="",E11,S11),{0,1,10,100,150,500,2500,5000,10000,50000},{0.0,0.01763320407228188,0.01763320407228188,0.010502128895991416,0.010502128895991416,0.007131075176290467,0.005056580579551422,0.004797268754959042,0.0040193332811819,0.0033710537197009483}),"")</f>
        <v>0</v>
      </c>
      <c r="U11" s="18">
        <f>iferror(if(S11="",E11,S11)*T11,"")</f>
        <v>0</v>
      </c>
      <c r="V11" s="20" t="s">
        <v>153</v>
      </c>
      <c r="W11" s="17">
        <v>467</v>
      </c>
      <c r="Y11" s="18">
        <f>iferror(lookup(if(X11="",E11,X11),{0,1,10,50,100,1000,10000},{0.0,0.1,0.018,0.018,0.011,0.007,0.005}),"")</f>
        <v>0</v>
      </c>
      <c r="Z11" s="18">
        <f>iferror(if(X11="",E11,X11)*Y11,"")</f>
        <v>0</v>
      </c>
      <c r="AA11" s="20" t="s">
        <v>183</v>
      </c>
      <c r="AB11" s="19" t="s">
        <v>98</v>
      </c>
      <c r="AD11" s="18">
        <f>iferror(lookup(if(AC11="",E11,AC11),{0,1,10,25,100,250,500,1000,2500,10000},{0.0,0.1,0.1,0.018,0.011,0.01,0.009,0.007,0.005999999999999999,0.005}),"")</f>
        <v>0</v>
      </c>
      <c r="AE11" s="18">
        <f>iferror(if(AC11="",E11,AC11)*AD11,"")</f>
        <v>0</v>
      </c>
      <c r="AF11" s="20" t="s">
        <v>215</v>
      </c>
      <c r="AG11" s="19" t="s">
        <v>98</v>
      </c>
      <c r="AK11" s="20" t="s">
        <v>244</v>
      </c>
      <c r="AL11" s="19" t="s">
        <v>98</v>
      </c>
      <c r="AN11" s="18">
        <f>iferror(lookup(if(AM11="",E11,AM11),{0,1,100,1000,10000,40000},{0.0,0.0157,0.0157,0.005950000000000001,0.0034,0.00304}),"")</f>
        <v>0</v>
      </c>
      <c r="AO11" s="18">
        <f>iferror(if(AM11="",E11,AM11)*AN11,"")</f>
        <v>0</v>
      </c>
      <c r="AP11" s="20" t="s">
        <v>268</v>
      </c>
    </row>
    <row r="12" spans="1:42">
      <c r="A12" s="17" t="s">
        <v>20</v>
      </c>
      <c r="B12" s="17" t="s">
        <v>9</v>
      </c>
      <c r="C12" s="17" t="s">
        <v>10</v>
      </c>
      <c r="D12" s="17" t="s">
        <v>21</v>
      </c>
      <c r="E12" s="17">
        <f>BoardQty*1</f>
        <v>0</v>
      </c>
      <c r="F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8">
        <f>iferror(E12*F12,"")</f>
        <v>0</v>
      </c>
      <c r="H12" s="19" t="s">
        <v>98</v>
      </c>
      <c r="J12" s="18">
        <f>iferror(lookup(if(I12="",E12,I12),{0,1,10,100,500},{0.0,0.0034,0.0031999999999999997,0.0022,0.0015999999999999999}),"")</f>
        <v>0</v>
      </c>
      <c r="K12" s="18">
        <f>iferror(if(I12="",E12,I12)*J12,"")</f>
        <v>0</v>
      </c>
      <c r="L12" s="20" t="s">
        <v>21</v>
      </c>
      <c r="M12" s="19" t="s">
        <v>98</v>
      </c>
      <c r="O12" s="18">
        <f>iferror(lookup(if(N12="",E12,N12),{0,1,10,100,500,1000,2500,5000,10000},{0.0,0.1,0.04100000000000001,0.0183,0.01308,0.01028,0.00934,0.0086,0.00683}),"")</f>
        <v>0</v>
      </c>
      <c r="P12" s="18">
        <f>iferror(if(N12="",E12,N12)*O12,"")</f>
        <v>0</v>
      </c>
      <c r="Q12" s="20" t="s">
        <v>118</v>
      </c>
      <c r="R12" s="17">
        <v>8090</v>
      </c>
      <c r="T12" s="18">
        <f>iferror(lookup(if(S12="",E12,S12),{0,1,10,100,150,500,2500,5000,10000,50000},{0.0,0.02113391370427902,0.02113391370427902,0.012187655755841891,0.012187655755841891,0.008297978386956182,0.007260731088586657,0.006871763351698088,0.005445548316439994,0.005186236491847613}),"")</f>
        <v>0</v>
      </c>
      <c r="U12" s="18">
        <f>iferror(if(S12="",E12,S12)*T12,"")</f>
        <v>0</v>
      </c>
      <c r="V12" s="20" t="s">
        <v>154</v>
      </c>
      <c r="W12" s="19" t="s">
        <v>98</v>
      </c>
      <c r="Y12" s="18">
        <f>iferror(lookup(if(X12="",E12,X12),{0,1,10,50,100,1000,10000},{0.0,0.1,0.02,0.02,0.011999999999999999,0.008,0.005999999999999999}),"")</f>
        <v>0</v>
      </c>
      <c r="Z12" s="18">
        <f>iferror(if(X12="",E12,X12)*Y12,"")</f>
        <v>0</v>
      </c>
      <c r="AA12" s="20" t="s">
        <v>184</v>
      </c>
      <c r="AB12" s="17">
        <v>240</v>
      </c>
      <c r="AD12" s="18">
        <f>iferror(lookup(if(AC12="",E12,AC12),{0,1,10,25,100,250,500,1000,2500,10000},{0.0,0.129,0.108,0.021,0.014,0.014,0.013,0.01,0.009,0.009}),"")</f>
        <v>0</v>
      </c>
      <c r="AE12" s="18">
        <f>iferror(if(AC12="",E12,AC12)*AD12,"")</f>
        <v>0</v>
      </c>
      <c r="AF12" s="20" t="s">
        <v>216</v>
      </c>
      <c r="AG12" s="17">
        <v>1000</v>
      </c>
      <c r="AK12" s="20" t="s">
        <v>245</v>
      </c>
      <c r="AL12" s="19" t="s">
        <v>98</v>
      </c>
      <c r="AN12" s="18">
        <f>iferror(lookup(if(AM12="",E12,AM12),{0,1,100,1000,10000,40000},{0.0,0.0134,0.0134,0.00733,0.00434,0.00388}),"")</f>
        <v>0</v>
      </c>
      <c r="AO12" s="18">
        <f>iferror(if(AM12="",E12,AM12)*AN12,"")</f>
        <v>0</v>
      </c>
      <c r="AP12" s="20" t="s">
        <v>269</v>
      </c>
    </row>
    <row r="13" spans="1:42">
      <c r="A13" s="17" t="s">
        <v>22</v>
      </c>
      <c r="B13" s="17" t="s">
        <v>9</v>
      </c>
      <c r="C13" s="17" t="s">
        <v>10</v>
      </c>
      <c r="D13" s="17" t="s">
        <v>23</v>
      </c>
      <c r="E13" s="17">
        <f>BoardQty*1</f>
        <v>0</v>
      </c>
      <c r="F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8">
        <f>iferror(E13*F13,"")</f>
        <v>0</v>
      </c>
      <c r="H13" s="19" t="s">
        <v>98</v>
      </c>
      <c r="J13" s="18">
        <f>iferror(lookup(if(I13="",E13,I13),{0,1,10000,10001,100000,1000000,5000000},{0.0,0.0164,0.0164,0.0113,0.0155,0.010399999999999998,0.0076}),"")</f>
        <v>0</v>
      </c>
      <c r="K13" s="18">
        <f>iferror(if(I13="",E13,I13)*J13,"")</f>
        <v>0</v>
      </c>
      <c r="L13" s="20" t="s">
        <v>23</v>
      </c>
      <c r="M13" s="19" t="s">
        <v>98</v>
      </c>
      <c r="O13" s="18">
        <f>iferror(lookup(if(N13="",E13,N13),{0,1,10,100,500,1000,2500,5000,10000},{0.0,0.13,0.09899999999999999,0.0439,0.03138,0.02465,0.02241,0.02062,0.01638}),"")</f>
        <v>0</v>
      </c>
      <c r="P13" s="18">
        <f>iferror(if(N13="",E13,N13)*O13,"")</f>
        <v>0</v>
      </c>
      <c r="Q13" s="20" t="s">
        <v>119</v>
      </c>
      <c r="R13" s="17">
        <v>8987</v>
      </c>
      <c r="T13" s="18">
        <f>iferror(lookup(if(S13="",E13,S13),{0,1,10,100,150,500,2500,5000},{0.0,0.22949096476425684,0.22949096476425684,0.11059649318865035,0.11059649318865035,0.07286662271045895,0.038248494127376145,0.034618128583082816}),"")</f>
        <v>0</v>
      </c>
      <c r="U13" s="18">
        <f>iferror(if(S13="",E13,S13)*T13,"")</f>
        <v>0</v>
      </c>
      <c r="V13" s="20" t="s">
        <v>155</v>
      </c>
      <c r="W13" s="17">
        <v>1546</v>
      </c>
      <c r="Y13" s="18">
        <f>iferror(lookup(if(X13="",E13,X13),{0,1,10,50,100,1000,10000},{0.0,0.35000000000000003,0.043,0.043,0.03,0.02,0.014}),"")</f>
        <v>0</v>
      </c>
      <c r="Z13" s="18">
        <f>iferror(if(X13="",E13,X13)*Y13,"")</f>
        <v>0</v>
      </c>
      <c r="AA13" s="20" t="s">
        <v>185</v>
      </c>
      <c r="AB13" s="19" t="s">
        <v>98</v>
      </c>
      <c r="AD13" s="18">
        <f>iferror(lookup(if(AC13="",E13,AC13),{0,1,25,100,250,500,1000,2500,10000,20000,30000,50000},{0.0,0.35000000000000003,0.043,0.03,0.028,0.026,0.02,0.017,0.016,0.016,0.015,0.011}),"")</f>
        <v>0</v>
      </c>
      <c r="AE13" s="18">
        <f>iferror(if(AC13="",E13,AC13)*AD13,"")</f>
        <v>0</v>
      </c>
      <c r="AF13" s="20" t="s">
        <v>217</v>
      </c>
      <c r="AG13" s="19" t="s">
        <v>98</v>
      </c>
      <c r="AK13" s="20" t="s">
        <v>246</v>
      </c>
    </row>
    <row r="14" spans="1:42">
      <c r="A14" s="17" t="s">
        <v>24</v>
      </c>
      <c r="B14" s="17" t="s">
        <v>9</v>
      </c>
      <c r="C14" s="17" t="s">
        <v>10</v>
      </c>
      <c r="D14" s="17" t="s">
        <v>25</v>
      </c>
      <c r="E14" s="17">
        <f>BoardQty*3</f>
        <v>0</v>
      </c>
      <c r="F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8">
        <f>iferror(E14*F14,"")</f>
        <v>0</v>
      </c>
      <c r="H14" s="19" t="s">
        <v>98</v>
      </c>
      <c r="J14" s="18">
        <f>iferror(lookup(if(I14="",E14,I14),{0,1,40000,4000000,400000000},{0.0,0.0254,0.0254,0.011900000000000003,0.0062}),"")</f>
        <v>0</v>
      </c>
      <c r="K14" s="18">
        <f>iferror(if(I14="",E14,I14)*J14,"")</f>
        <v>0</v>
      </c>
      <c r="L14" s="20" t="s">
        <v>25</v>
      </c>
      <c r="M14" s="17">
        <v>40000</v>
      </c>
      <c r="O14" s="18">
        <f>iferror(lookup(if(N14="",E14,N14),{0,1,10,100,500,1000,4000},{0.0,0.15,0.109,0.0513,0.036,0.0298,0.02537}),"")</f>
        <v>0</v>
      </c>
      <c r="P14" s="18">
        <f>iferror(if(N14="",E14,N14)*O14,"")</f>
        <v>0</v>
      </c>
      <c r="Q14" s="20" t="s">
        <v>120</v>
      </c>
      <c r="AL14" s="17">
        <v>13100</v>
      </c>
      <c r="AN14" s="18">
        <f>iferror(lookup(if(AM14="",E14,AM14),{0,1,100,300,1000,4000,20000},{0.0,0.0791,0.0791,0.05007,0.0283,0.01887,0.01596}),"")</f>
        <v>0</v>
      </c>
      <c r="AO14" s="18">
        <f>iferror(if(AM14="",E14,AM14)*AN14,"")</f>
        <v>0</v>
      </c>
      <c r="AP14" s="20" t="s">
        <v>25</v>
      </c>
    </row>
    <row r="15" spans="1:42">
      <c r="A15" s="17" t="s">
        <v>26</v>
      </c>
      <c r="B15" s="17" t="s">
        <v>9</v>
      </c>
      <c r="C15" s="17" t="s">
        <v>10</v>
      </c>
      <c r="D15" s="17" t="s">
        <v>27</v>
      </c>
      <c r="E15" s="17">
        <f>BoardQty*2</f>
        <v>0</v>
      </c>
      <c r="F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5" s="18">
        <f>iferror(E15*F15,"")</f>
        <v>0</v>
      </c>
      <c r="H15" s="19" t="s">
        <v>98</v>
      </c>
      <c r="J15" s="18">
        <f>iferror(lookup(if(I15="",E15,I15),{0,1,10000,100000,1000000,5000000},{0.0,0.005999999999999999,0.005999999999999999,0.0057,0.0041,0.0033}),"")</f>
        <v>0</v>
      </c>
      <c r="K15" s="18">
        <f>iferror(if(I15="",E15,I15)*J15,"")</f>
        <v>0</v>
      </c>
      <c r="L15" s="20" t="s">
        <v>27</v>
      </c>
      <c r="M15" s="19" t="s">
        <v>98</v>
      </c>
      <c r="O15" s="18">
        <f>iferror(lookup(if(N15="",E15,N15),{0,1,10,100,500,1000,2500,5000,10000},{0.0,0.1,0.044,0.0197,0.01408,0.01107,0.010059999999999998,0.009259999999999997,0.00735}),"")</f>
        <v>0</v>
      </c>
      <c r="P15" s="18">
        <f>iferror(if(N15="",E15,N15)*O15,"")</f>
        <v>0</v>
      </c>
      <c r="Q15" s="20" t="s">
        <v>121</v>
      </c>
      <c r="R15" s="19" t="s">
        <v>98</v>
      </c>
      <c r="T15" s="18">
        <f>iferror(lookup(if(S15="",E15,S15),{0,1,10,100,150,500,2500,10000},{0.0,0.02476427924857235,0.02476427924857235,0.011669032106657129,0.011669032106657129,0.009594537509918084,0.007520042913179038,0.005575204228736184}),"")</f>
        <v>0</v>
      </c>
      <c r="U15" s="18">
        <f>iferror(if(S15="",E15,S15)*T15,"")</f>
        <v>0</v>
      </c>
      <c r="V15" s="20" t="s">
        <v>156</v>
      </c>
      <c r="W15" s="17">
        <v>3900</v>
      </c>
      <c r="Y15" s="18">
        <f>iferror(lookup(if(X15="",E15,X15),{0,1,10,50,100,1000,10000},{0.0,0.11,0.044,0.044,0.019000000000000003,0.011,0.007}),"")</f>
        <v>0</v>
      </c>
      <c r="Z15" s="18">
        <f>iferror(if(X15="",E15,X15)*Y15,"")</f>
        <v>0</v>
      </c>
      <c r="AA15" s="20" t="s">
        <v>186</v>
      </c>
      <c r="AB15" s="19" t="s">
        <v>98</v>
      </c>
      <c r="AD15" s="18">
        <f>iferror(lookup(if(AC15="",E15,AC15),{0,1,10,10000},{0.0,0.034,0.034,0.005999999999999999}),"")</f>
        <v>0</v>
      </c>
      <c r="AE15" s="18">
        <f>iferror(if(AC15="",E15,AC15)*AD15,"")</f>
        <v>0</v>
      </c>
      <c r="AF15" s="20" t="s">
        <v>218</v>
      </c>
      <c r="AG15" s="17">
        <v>12</v>
      </c>
      <c r="AK15" s="20" t="s">
        <v>247</v>
      </c>
      <c r="AL15" s="19" t="s">
        <v>98</v>
      </c>
      <c r="AN15" s="18">
        <f>iferror(lookup(if(AM15="",E15,AM15),{0,1,100,1000,10000,40000},{0.0,0.0168,0.0168,0.00574,0.0026900000000000006,0.00265}),"")</f>
        <v>0</v>
      </c>
      <c r="AO15" s="18">
        <f>iferror(if(AM15="",E15,AM15)*AN15,"")</f>
        <v>0</v>
      </c>
      <c r="AP15" s="20" t="s">
        <v>27</v>
      </c>
    </row>
    <row r="16" spans="1:42">
      <c r="A16" s="17" t="s">
        <v>28</v>
      </c>
      <c r="B16" s="17" t="s">
        <v>9</v>
      </c>
      <c r="C16" s="17" t="s">
        <v>10</v>
      </c>
      <c r="D16" s="17" t="s">
        <v>29</v>
      </c>
      <c r="E16" s="17">
        <f>BoardQty*1</f>
        <v>0</v>
      </c>
      <c r="F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6" s="18">
        <f>iferror(E16*F16,"")</f>
        <v>0</v>
      </c>
      <c r="H16" s="19" t="s">
        <v>98</v>
      </c>
      <c r="J16" s="18">
        <f>iferror(lookup(if(I16="",E16,I16),{0,1,4000,40000,400000,2000000},{0.0,0.1756,0.0371,0.0352,0.0244,0.019000000000000003}),"")</f>
        <v>0</v>
      </c>
      <c r="K16" s="18">
        <f>iferror(if(I16="",E16,I16)*J16,"")</f>
        <v>0</v>
      </c>
      <c r="L16" s="20" t="s">
        <v>29</v>
      </c>
      <c r="M16" s="19" t="s">
        <v>98</v>
      </c>
      <c r="O16" s="18">
        <f>iferror(lookup(if(N16="",E16,N16),{0,1,10,100,500,1000,4000},{0.0,0.26,0.176,0.0891,0.06094,0.05391,0.04075}),"")</f>
        <v>0</v>
      </c>
      <c r="P16" s="18">
        <f>iferror(if(N16="",E16,N16)*O16,"")</f>
        <v>0</v>
      </c>
      <c r="Q16" s="20" t="s">
        <v>122</v>
      </c>
      <c r="R16" s="19" t="s">
        <v>98</v>
      </c>
      <c r="T16" s="18">
        <f>iferror(lookup(if(S16="",E16,S16),{0,1,10,100,150,500,1000,4000},{0.0,0.1957804275672474,0.1957804275672474,0.1085219985919113,0.1085219985919113,0.0683286657800923,0.05756722505950851,0.043953354268408525}),"")</f>
        <v>0</v>
      </c>
      <c r="U16" s="18">
        <f>iferror(if(S16="",E16,S16)*T16,"")</f>
        <v>0</v>
      </c>
      <c r="V16" s="20" t="s">
        <v>157</v>
      </c>
      <c r="W16" s="17">
        <v>6135</v>
      </c>
      <c r="Y16" s="18">
        <f>iferror(lookup(if(X16="",E16,X16),{0,1,10,50,100,1000,10000},{0.0,0.26,0.17,0.17,0.086,0.052,0.04}),"")</f>
        <v>0</v>
      </c>
      <c r="Z16" s="18">
        <f>iferror(if(X16="",E16,X16)*Y16,"")</f>
        <v>0</v>
      </c>
      <c r="AA16" s="20" t="s">
        <v>187</v>
      </c>
      <c r="AB16" s="19" t="s">
        <v>98</v>
      </c>
      <c r="AD16" s="18">
        <f>iferror(lookup(if(AC16="",E16,AC16),{0,1,10,25,50,100,250,500,1000},{0.0,0.138,0.138,0.116,0.094,0.07300000000000001,0.063,0.052,0.047}),"")</f>
        <v>0</v>
      </c>
      <c r="AE16" s="18">
        <f>iferror(if(AC16="",E16,AC16)*AD16,"")</f>
        <v>0</v>
      </c>
      <c r="AF16" s="20" t="s">
        <v>219</v>
      </c>
      <c r="AG16" s="19" t="s">
        <v>98</v>
      </c>
      <c r="AK16" s="20" t="s">
        <v>248</v>
      </c>
    </row>
    <row r="17" spans="1:42">
      <c r="A17" s="17" t="s">
        <v>30</v>
      </c>
      <c r="B17" s="17" t="s">
        <v>9</v>
      </c>
      <c r="C17" s="17" t="s">
        <v>10</v>
      </c>
      <c r="D17" s="17" t="s">
        <v>31</v>
      </c>
      <c r="E17" s="17">
        <f>BoardQty*8</f>
        <v>0</v>
      </c>
      <c r="F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7" s="18">
        <f>iferror(E17*F17,"")</f>
        <v>0</v>
      </c>
      <c r="M17" s="17">
        <v>4000</v>
      </c>
      <c r="O17" s="18">
        <f>iferror(lookup(if(N17="",E17,N17),{0,1,10,100,500,1000,4000},{0.0,0.2,0.145,0.0682,0.047799999999999995,0.03958,0.0293}),"")</f>
        <v>0</v>
      </c>
      <c r="P17" s="18">
        <f>iferror(if(N17="",E17,N17)*O17,"")</f>
        <v>0</v>
      </c>
      <c r="Q17" s="20" t="s">
        <v>123</v>
      </c>
      <c r="R17" s="19" t="s">
        <v>98</v>
      </c>
      <c r="T17" s="18">
        <f>iferror(lookup(if(S17="",E17,S17),{0,1,10,100,150,500,1000},{0.0,0.14780774001765695,0.14780774001765695,0.09192604181799895,0.09192604181799895,0.07066247220142373,0.05380720360291898}),"")</f>
        <v>0</v>
      </c>
      <c r="U17" s="18">
        <f>iferror(if(S17="",E17,S17)*T17,"")</f>
        <v>0</v>
      </c>
      <c r="V17" s="20" t="s">
        <v>158</v>
      </c>
      <c r="W17" s="19" t="s">
        <v>98</v>
      </c>
      <c r="Y17" s="18">
        <f>iferror(lookup(if(X17="",E17,X17),{0,1,10,50,100,1000,10000},{0.0,0.22,0.07600000000000001,0.07600000000000001,0.052,0.035,0.035}),"")</f>
        <v>0</v>
      </c>
      <c r="Z17" s="18">
        <f>iferror(if(X17="",E17,X17)*Y17,"")</f>
        <v>0</v>
      </c>
      <c r="AA17" s="20" t="s">
        <v>188</v>
      </c>
      <c r="AB17" s="19" t="s">
        <v>98</v>
      </c>
      <c r="AD17" s="18">
        <f>iferror(lookup(if(AC17="",E17,AC17),{0,1,4000},{0.0,0.039,0.039}),"")</f>
        <v>0</v>
      </c>
      <c r="AE17" s="18">
        <f>iferror(if(AC17="",E17,AC17)*AD17,"")</f>
        <v>0</v>
      </c>
      <c r="AF17" s="20" t="s">
        <v>220</v>
      </c>
      <c r="AG17" s="17">
        <v>4</v>
      </c>
      <c r="AK17" s="20" t="s">
        <v>249</v>
      </c>
      <c r="AL17" s="19" t="s">
        <v>98</v>
      </c>
      <c r="AN17" s="18">
        <f>iferror(lookup(if(AM17="",E17,AM17),{0,1,4000},{0.0,0.03551,0.03551}),"")</f>
        <v>0</v>
      </c>
      <c r="AO17" s="18">
        <f>iferror(if(AM17="",E17,AM17)*AN17,"")</f>
        <v>0</v>
      </c>
      <c r="AP17" s="20" t="s">
        <v>270</v>
      </c>
    </row>
    <row r="18" spans="1:42">
      <c r="A18" s="17" t="s">
        <v>32</v>
      </c>
      <c r="B18" s="17" t="s">
        <v>9</v>
      </c>
      <c r="C18" s="17" t="s">
        <v>10</v>
      </c>
      <c r="D18" s="17" t="s">
        <v>33</v>
      </c>
      <c r="E18" s="17">
        <f>BoardQty*2</f>
        <v>0</v>
      </c>
      <c r="F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8" s="18">
        <f>iferror(E18*F18,"")</f>
        <v>0</v>
      </c>
      <c r="H18" s="17">
        <v>1805</v>
      </c>
      <c r="J18" s="18">
        <f>iferror(lookup(if(I18="",E18,I18),{0,1,10,25,100,250,500,1000,3000,6000,15000,30000,75000},{0.0,0.45,0.3244,0.2622,0.2075,0.17319999999999997,0.14600000000000002,0.1092,0.1015,0.0955,0.0834,0.0796,0.0733}),"")</f>
        <v>0</v>
      </c>
      <c r="K18" s="18">
        <f>iferror(if(I18="",E18,I18)*J18,"")</f>
        <v>0</v>
      </c>
      <c r="L18" s="20" t="s">
        <v>99</v>
      </c>
      <c r="M18" s="17">
        <v>50052</v>
      </c>
      <c r="O18" s="18">
        <f>iferror(lookup(if(N18="",E18,N18),{0,1,10,25,100,250,500,1000,3000,6000,15000,30000,75000},{0.0,0.5,0.364,0.29719999999999996,0.2376,0.20048,0.17078,0.13365,0.11138,0.10125,0.0945,0.09113,0.08775}),"")</f>
        <v>0</v>
      </c>
      <c r="P18" s="18">
        <f>iferror(if(N18="",E18,N18)*O18,"")</f>
        <v>0</v>
      </c>
      <c r="Q18" s="20" t="s">
        <v>124</v>
      </c>
    </row>
    <row r="19" spans="1:42">
      <c r="A19" s="17" t="s">
        <v>34</v>
      </c>
      <c r="B19" s="17" t="s">
        <v>9</v>
      </c>
      <c r="C19" s="17" t="s">
        <v>10</v>
      </c>
      <c r="D19" s="17" t="s">
        <v>35</v>
      </c>
      <c r="E19" s="17">
        <f>BoardQty*1</f>
        <v>0</v>
      </c>
      <c r="F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9" s="18">
        <f>iferror(E19*F19,"")</f>
        <v>0</v>
      </c>
      <c r="M19" s="17">
        <v>64120</v>
      </c>
      <c r="O19" s="18">
        <f>iferror(lookup(if(N19="",E19,N19),{0,1,10,25,100,250,500,1000},{0.0,1.55,1.263,0.9712,0.8741999999999999,0.77704,0.66048,0.49448}),"")</f>
        <v>0</v>
      </c>
      <c r="P19" s="18">
        <f>iferror(if(N19="",E19,N19)*O19,"")</f>
        <v>0</v>
      </c>
      <c r="Q19" s="20" t="s">
        <v>125</v>
      </c>
      <c r="W19" s="17">
        <v>32780</v>
      </c>
      <c r="Y19" s="18">
        <f>iferror(lookup(if(X19="",E19,X19),{0,1,10,50,100,1000,10000},{0.0,0.99,0.838,0.838,0.6430000000000001,0.449,0.443}),"")</f>
        <v>0</v>
      </c>
      <c r="Z19" s="18">
        <f>iferror(if(X19="",E19,X19)*Y19,"")</f>
        <v>0</v>
      </c>
      <c r="AA19" s="20" t="s">
        <v>189</v>
      </c>
      <c r="AB19" s="17">
        <v>10000</v>
      </c>
      <c r="AD19" s="18">
        <f>iferror(lookup(if(AC19="",E19,AC19),{0,1,1000,2000,4000,6000,10000},{0.0,0.536,0.536,0.534,0.533,0.531,0.529}),"")</f>
        <v>0</v>
      </c>
      <c r="AE19" s="18">
        <f>iferror(if(AC19="",E19,AC19)*AD19,"")</f>
        <v>0</v>
      </c>
      <c r="AF19" s="20" t="s">
        <v>221</v>
      </c>
      <c r="AG19" s="17">
        <v>370</v>
      </c>
      <c r="AK19" s="20" t="s">
        <v>250</v>
      </c>
    </row>
    <row r="20" spans="1:42">
      <c r="A20" s="17" t="s">
        <v>36</v>
      </c>
      <c r="B20" s="17" t="s">
        <v>9</v>
      </c>
      <c r="C20" s="17" t="s">
        <v>10</v>
      </c>
      <c r="D20" s="17" t="s">
        <v>37</v>
      </c>
      <c r="E20" s="17">
        <f>BoardQty*1</f>
        <v>0</v>
      </c>
      <c r="F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0" s="18">
        <f>iferror(E20*F20,"")</f>
        <v>0</v>
      </c>
      <c r="H20" s="19" t="s">
        <v>98</v>
      </c>
      <c r="J20" s="18">
        <f>iferror(lookup(if(I20="",E20,I20),{0,1,4500,9000,18000,36000,72000,180000},{0.0,0.4602,0.21890000000000004,0.204,0.1983,0.1956,0.1916,0.178}),"")</f>
        <v>0</v>
      </c>
      <c r="K20" s="18">
        <f>iferror(if(I20="",E20,I20)*J20,"")</f>
        <v>0</v>
      </c>
      <c r="L20" s="20" t="s">
        <v>100</v>
      </c>
      <c r="M20" s="17">
        <v>73892</v>
      </c>
      <c r="O20" s="18">
        <f>iferror(lookup(if(N20="",E20,N20),{0,1,10,100,500,1000,4500,9000,13500,31500},{0.0,0.58,0.54,0.4142,0.36014,0.29712,0.25785,0.23207,0.22862999999999997,0.22347}),"")</f>
        <v>0</v>
      </c>
      <c r="P20" s="18">
        <f>iferror(if(N20="",E20,N20)*O20,"")</f>
        <v>0</v>
      </c>
      <c r="Q20" s="20" t="s">
        <v>126</v>
      </c>
      <c r="R20" s="17">
        <v>3645</v>
      </c>
      <c r="T20" s="18">
        <f>iferror(lookup(if(S20="",E20,S20),{0,1,10,100,500,1000,2500,5000},{0.0,0.4356438653151995,0.4356438653151995,0.38118838215079953,0.32932601723232346,0.27227741582199966,0.2398634377479521,0.22689784651833306}),"")</f>
        <v>0</v>
      </c>
      <c r="U20" s="18">
        <f>iferror(if(S20="",E20,S20)*T20,"")</f>
        <v>0</v>
      </c>
      <c r="V20" s="20" t="s">
        <v>159</v>
      </c>
      <c r="W20" s="17">
        <v>39349</v>
      </c>
      <c r="Y20" s="18">
        <f>iferror(lookup(if(X20="",E20,X20),{0,1,10,50,100,1000,10000},{0.0,0.55,0.45400000000000007,0.45400000000000007,0.398,0.284,0.23300000000000004}),"")</f>
        <v>0</v>
      </c>
      <c r="Z20" s="18">
        <f>iferror(if(X20="",E20,X20)*Y20,"")</f>
        <v>0</v>
      </c>
      <c r="AA20" s="20" t="s">
        <v>190</v>
      </c>
      <c r="AB20" s="19" t="s">
        <v>98</v>
      </c>
      <c r="AD20" s="18">
        <f>iferror(lookup(if(AC20="",E20,AC20),{0,1,25,50,100,250,500,1000,2500},{0.0,0.182,0.182,0.182,0.182,0.182,0.182,0.182,0.182}),"")</f>
        <v>0</v>
      </c>
      <c r="AE20" s="18">
        <f>iferror(if(AC20="",E20,AC20)*AD20,"")</f>
        <v>0</v>
      </c>
      <c r="AF20" s="20" t="s">
        <v>222</v>
      </c>
      <c r="AG20" s="17">
        <v>1137</v>
      </c>
      <c r="AK20" s="20" t="s">
        <v>251</v>
      </c>
      <c r="AL20" s="19" t="s">
        <v>98</v>
      </c>
      <c r="AN20" s="18">
        <f>iferror(lookup(if(AM20="",E20,AM20),{0,1,4500},{0.0,0.2990999999999999,0.2990999999999999}),"")</f>
        <v>0</v>
      </c>
      <c r="AO20" s="18">
        <f>iferror(if(AM20="",E20,AM20)*AN20,"")</f>
        <v>0</v>
      </c>
      <c r="AP20" s="20" t="s">
        <v>271</v>
      </c>
    </row>
    <row r="21" spans="1:42">
      <c r="A21" s="17" t="s">
        <v>38</v>
      </c>
      <c r="B21" s="17" t="s">
        <v>9</v>
      </c>
      <c r="C21" s="17" t="s">
        <v>10</v>
      </c>
      <c r="D21" s="17" t="s">
        <v>39</v>
      </c>
      <c r="E21" s="17">
        <f>BoardQty*2</f>
        <v>0</v>
      </c>
      <c r="F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1" s="18">
        <f>iferror(E21*F21,"")</f>
        <v>0</v>
      </c>
      <c r="M21" s="17">
        <v>814</v>
      </c>
      <c r="O21" s="18">
        <f>iferror(lookup(if(N21="",E21,N21),{0,1,30,120,510,1020},{0.0,1.43,1.219,1.113,0.92751,0.795}),"")</f>
        <v>0</v>
      </c>
      <c r="P21" s="18">
        <f>iferror(if(N21="",E21,N21)*O21,"")</f>
        <v>0</v>
      </c>
      <c r="Q21" s="20" t="s">
        <v>127</v>
      </c>
      <c r="R21" s="17">
        <v>27</v>
      </c>
      <c r="T21" s="18">
        <f>iferror(lookup(if(S21="",E21,S21),{0,1,50,100,250,500,1000},{0.0,1.2615520266419318,1.1720894471575607,1.0813303085502273,0.9750124604673512,0.9011085904585228,0.7727492372852943}),"")</f>
        <v>0</v>
      </c>
      <c r="U21" s="18">
        <f>iferror(if(S21="",E21,S21)*T21,"")</f>
        <v>0</v>
      </c>
      <c r="V21" s="20" t="s">
        <v>160</v>
      </c>
      <c r="W21" s="17">
        <v>287</v>
      </c>
      <c r="Y21" s="18">
        <f>iferror(lookup(if(X21="",E21,X21),{0,1,10,50,100,1000,10000},{0.0,1.43,1.28,1.17,1.12,0.795,0.69}),"")</f>
        <v>0</v>
      </c>
      <c r="Z21" s="18">
        <f>iferror(if(X21="",E21,X21)*Y21,"")</f>
        <v>0</v>
      </c>
      <c r="AA21" s="20" t="s">
        <v>191</v>
      </c>
      <c r="AG21" s="19" t="s">
        <v>98</v>
      </c>
      <c r="AK21" s="20" t="s">
        <v>252</v>
      </c>
    </row>
    <row r="22" spans="1:42">
      <c r="A22" s="17" t="s">
        <v>40</v>
      </c>
      <c r="B22" s="17" t="s">
        <v>9</v>
      </c>
      <c r="C22" s="17" t="s">
        <v>10</v>
      </c>
      <c r="D22" s="17" t="s">
        <v>41</v>
      </c>
      <c r="E22" s="17">
        <f>BoardQty*1</f>
        <v>0</v>
      </c>
      <c r="F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2" s="18">
        <f>iferror(E22*F22,"")</f>
        <v>0</v>
      </c>
      <c r="H22" s="17">
        <v>1719</v>
      </c>
      <c r="J22" s="18">
        <f>iferror(lookup(if(I22="",E22,I22),{0,1,10,100,500,1000,1250,2500,3000,5000,6000,10000},{0.0,1.057,0.7715,0.6845,0.6279,0.6192999999999999,0.5593,0.4349,1.057,0.4011,1.004,0.3936}),"")</f>
        <v>0</v>
      </c>
      <c r="K22" s="18">
        <f>iferror(if(I22="",E22,I22)*J22,"")</f>
        <v>0</v>
      </c>
      <c r="L22" s="20" t="s">
        <v>101</v>
      </c>
      <c r="M22" s="17">
        <v>8240</v>
      </c>
      <c r="O22" s="18">
        <f>iferror(lookup(if(N22="",E22,N22),{0,1,10,100,500,3000,6000,12000},{0.0,1.14,1.004,0.8659,0.70848,0.57072,0.55104,0.51168}),"")</f>
        <v>0</v>
      </c>
      <c r="P22" s="18">
        <f>iferror(if(N22="",E22,N22)*O22,"")</f>
        <v>0</v>
      </c>
      <c r="Q22" s="20" t="s">
        <v>128</v>
      </c>
      <c r="R22" s="17">
        <v>2280</v>
      </c>
      <c r="T22" s="18">
        <f>iferror(lookup(if(S22="",E22,S22),{0,1,50,100,250,500,1000},{0.0,0.9387088050244179,0.8738808488763228,0.8090528927282276,0.736445581842361,0.6625417118335326,0.602899992177285}),"")</f>
        <v>0</v>
      </c>
      <c r="U22" s="18">
        <f>iferror(if(S22="",E22,S22)*T22,"")</f>
        <v>0</v>
      </c>
      <c r="V22" s="20" t="s">
        <v>161</v>
      </c>
      <c r="W22" s="17">
        <v>4190</v>
      </c>
      <c r="Y22" s="18">
        <f>iferror(lookup(if(X22="",E22,X22),{0,1,10,50,100,1000,10000},{0.0,1.14,0.996,0.996,0.867,0.6299999999999999,0.571}),"")</f>
        <v>0</v>
      </c>
      <c r="Z22" s="18">
        <f>iferror(if(X22="",E22,X22)*Y22,"")</f>
        <v>0</v>
      </c>
      <c r="AA22" s="20" t="s">
        <v>192</v>
      </c>
      <c r="AB22" s="17">
        <v>1005</v>
      </c>
      <c r="AD22" s="18">
        <f>iferror(lookup(if(AC22="",E22,AC22),{0,1,10,25,50,100,250,500,1000},{0.0,1.11,0.975,0.931,0.886,0.842,0.765,0.689,0.612}),"")</f>
        <v>0</v>
      </c>
      <c r="AE22" s="18">
        <f>iferror(if(AC22="",E22,AC22)*AD22,"")</f>
        <v>0</v>
      </c>
      <c r="AF22" s="20" t="s">
        <v>223</v>
      </c>
      <c r="AG22" s="19" t="s">
        <v>98</v>
      </c>
      <c r="AK22" s="20" t="s">
        <v>253</v>
      </c>
    </row>
    <row r="23" spans="1:42">
      <c r="A23" s="17" t="s">
        <v>42</v>
      </c>
      <c r="B23" s="17" t="s">
        <v>9</v>
      </c>
      <c r="C23" s="17" t="s">
        <v>10</v>
      </c>
      <c r="D23" s="17" t="s">
        <v>43</v>
      </c>
      <c r="E23" s="17">
        <f>BoardQty*1</f>
        <v>0</v>
      </c>
      <c r="F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3" s="18">
        <f>iferror(E23*F23,"")</f>
        <v>0</v>
      </c>
      <c r="H23" s="17">
        <v>4614</v>
      </c>
      <c r="J23" s="18">
        <f>iferror(lookup(if(I23="",E23,I23),{0,1,10,100,500},{0.0,0.7665,0.7211,0.6217,0.5323}),"")</f>
        <v>0</v>
      </c>
      <c r="K23" s="18">
        <f>iferror(if(I23="",E23,I23)*J23,"")</f>
        <v>0</v>
      </c>
      <c r="L23" s="20" t="s">
        <v>102</v>
      </c>
      <c r="M23" s="17">
        <v>4984</v>
      </c>
      <c r="O23" s="18">
        <f>iferror(lookup(if(N23="",E23,N23),{0,1,10,100,500,3000,6000,12000},{0.0,1.03,0.903,0.7795,0.6377400000000001,0.51374,0.49602,0.46059}),"")</f>
        <v>0</v>
      </c>
      <c r="P23" s="18">
        <f>iferror(if(N23="",E23,N23)*O23,"")</f>
        <v>0</v>
      </c>
      <c r="Q23" s="20" t="s">
        <v>129</v>
      </c>
      <c r="R23" s="17">
        <v>2443</v>
      </c>
      <c r="T23" s="18">
        <f>iferror(lookup(if(S23="",E23,S23),{0,1,50,100,250,500,1000},{0.0,0.7416318183342085,0.6949556899075802,0.6469830023579897,0.6210518198987516,0.5951206374395136,0.5834516053328566}),"")</f>
        <v>0</v>
      </c>
      <c r="U23" s="18">
        <f>iferror(if(S23="",E23,S23)*T23,"")</f>
        <v>0</v>
      </c>
      <c r="V23" s="20" t="s">
        <v>162</v>
      </c>
      <c r="W23" s="17">
        <v>2374</v>
      </c>
      <c r="Y23" s="18">
        <f>iferror(lookup(if(X23="",E23,X23),{0,1,10,50,100,1000,10000},{0.0,1.03,0.897,0.897,0.78,0.567,0.472}),"")</f>
        <v>0</v>
      </c>
      <c r="Z23" s="18">
        <f>iferror(if(X23="",E23,X23)*Y23,"")</f>
        <v>0</v>
      </c>
      <c r="AA23" s="20" t="s">
        <v>193</v>
      </c>
      <c r="AB23" s="17">
        <v>2765</v>
      </c>
      <c r="AD23" s="18">
        <f>iferror(lookup(if(AC23="",E23,AC23),{0,1,10,25,50,100,250,500,1000},{0.0,0.877,0.7919999999999999,0.7569999999999999,0.723,0.689,0.62,0.551,0.516}),"")</f>
        <v>0</v>
      </c>
      <c r="AE23" s="18">
        <f>iferror(if(AC23="",E23,AC23)*AD23,"")</f>
        <v>0</v>
      </c>
      <c r="AF23" s="20" t="s">
        <v>224</v>
      </c>
      <c r="AG23" s="19" t="s">
        <v>98</v>
      </c>
      <c r="AK23" s="20" t="s">
        <v>254</v>
      </c>
      <c r="AL23" s="17">
        <v>50</v>
      </c>
      <c r="AN23" s="18">
        <f>iferror(lookup(if(AM23="",E23,AM23),{0,1,50,100,300},{0.0,1.11267,1.0014,0.80921,0.70807}),"")</f>
        <v>0</v>
      </c>
      <c r="AO23" s="18">
        <f>iferror(if(AM23="",E23,AM23)*AN23,"")</f>
        <v>0</v>
      </c>
      <c r="AP23" s="20" t="s">
        <v>272</v>
      </c>
    </row>
    <row r="24" spans="1:42">
      <c r="A24" s="17" t="s">
        <v>44</v>
      </c>
      <c r="B24" s="17" t="s">
        <v>9</v>
      </c>
      <c r="C24" s="17" t="s">
        <v>10</v>
      </c>
      <c r="D24" s="17" t="s">
        <v>45</v>
      </c>
      <c r="E24" s="17">
        <f>BoardQty*1</f>
        <v>0</v>
      </c>
      <c r="F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4" s="18">
        <f>iferror(E24*F24,"")</f>
        <v>0</v>
      </c>
      <c r="H24" s="17">
        <v>35744</v>
      </c>
      <c r="J24" s="18">
        <f>iferror(lookup(if(I24="",E24,I24),{0,1,10,25,100,250,500,1000,3000,4500,6000,9000,15000,18000,30000,36000},{0.0,0.5607,0.5248,0.5192,0.4126,0.4084,0.4011,0.3938,0.3864,0.2589,0.379,0.2453,0.3716,0.2395,0.3643,0.2303}),"")</f>
        <v>0</v>
      </c>
      <c r="K24" s="18">
        <f>iferror(if(I24="",E24,I24)*J24,"")</f>
        <v>0</v>
      </c>
      <c r="L24" s="20" t="s">
        <v>103</v>
      </c>
      <c r="M24" s="17">
        <v>72715</v>
      </c>
      <c r="O24" s="18">
        <f>iferror(lookup(if(N24="",E24,N24),{0,1,10,100,500,1000,4500,9000,13500,31500},{0.0,0.62,0.579,0.4438,0.38588,0.31835,0.2763,0.24867000000000003,0.24499,0.23946}),"")</f>
        <v>0</v>
      </c>
      <c r="P24" s="18">
        <f>iferror(if(N24="",E24,N24)*O24,"")</f>
        <v>0</v>
      </c>
      <c r="Q24" s="20" t="s">
        <v>130</v>
      </c>
      <c r="R24" s="17">
        <v>32764</v>
      </c>
      <c r="T24" s="18">
        <f>iferror(lookup(if(S24="",E24,S24),{0,1,10,100,500,1000,2500,5000},{0.0,0.4654647251433232,0.4654647251433232,0.4084161237329995,0.3526640814456377,0.2917258026664283,0.255422147223495,0.2385668786249902}),"")</f>
        <v>0</v>
      </c>
      <c r="U24" s="18">
        <f>iferror(if(S24="",E24,S24)*T24,"")</f>
        <v>0</v>
      </c>
      <c r="V24" s="20" t="s">
        <v>163</v>
      </c>
      <c r="W24" s="17">
        <v>32409</v>
      </c>
      <c r="Y24" s="18">
        <f>iferror(lookup(if(X24="",E24,X24),{0,1,10,50,100,1000,10000},{0.0,0.59,0.48699999999999993,0.48699999999999993,0.426,0.30400000000000005,0.249}),"")</f>
        <v>0</v>
      </c>
      <c r="Z24" s="18">
        <f>iferror(if(X24="",E24,X24)*Y24,"")</f>
        <v>0</v>
      </c>
      <c r="AA24" s="20" t="s">
        <v>194</v>
      </c>
      <c r="AB24" s="17">
        <v>408</v>
      </c>
      <c r="AD24" s="18">
        <f>iferror(lookup(if(AC24="",E24,AC24),{0,1,10,25,50,100,250,500,1000,36000,45000,81000},{0.0,0.626,0.516,0.496,0.47600000000000003,0.455,0.427,0.398,0.335,0.23800000000000002,0.235,0.232}),"")</f>
        <v>0</v>
      </c>
      <c r="AE24" s="18">
        <f>iferror(if(AC24="",E24,AC24)*AD24,"")</f>
        <v>0</v>
      </c>
      <c r="AF24" s="20" t="s">
        <v>225</v>
      </c>
      <c r="AG24" s="17">
        <v>11130</v>
      </c>
      <c r="AK24" s="20" t="s">
        <v>255</v>
      </c>
      <c r="AL24" s="19" t="s">
        <v>98</v>
      </c>
      <c r="AN24" s="18">
        <f>iferror(lookup(if(AM24="",E24,AM24),{0,1,4500},{0.0,0.2714,0.2714}),"")</f>
        <v>0</v>
      </c>
      <c r="AO24" s="18">
        <f>iferror(if(AM24="",E24,AM24)*AN24,"")</f>
        <v>0</v>
      </c>
      <c r="AP24" s="20" t="s">
        <v>273</v>
      </c>
    </row>
    <row r="25" spans="1:42">
      <c r="A25" s="17" t="s">
        <v>46</v>
      </c>
      <c r="B25" s="17" t="s">
        <v>9</v>
      </c>
      <c r="C25" s="17" t="s">
        <v>10</v>
      </c>
      <c r="D25" s="17" t="s">
        <v>47</v>
      </c>
      <c r="E25" s="17">
        <f>BoardQty*4</f>
        <v>0</v>
      </c>
      <c r="F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5" s="18">
        <f>iferror(E25*F25,"")</f>
        <v>0</v>
      </c>
      <c r="H25" s="17">
        <v>6</v>
      </c>
      <c r="J25" s="18">
        <f>iferror(lookup(if(I25="",E25,I25),{0,1},{0.0,0.0124}),"")</f>
        <v>0</v>
      </c>
      <c r="K25" s="18">
        <f>iferror(if(I25="",E25,I25)*J25,"")</f>
        <v>0</v>
      </c>
      <c r="L25" s="20" t="s">
        <v>47</v>
      </c>
      <c r="M25" s="19" t="s">
        <v>98</v>
      </c>
      <c r="O25" s="18">
        <f>iferror(lookup(if(N25="",E25,N25),{0,1,10,100,500,1000,3000,6000,15000,30000,75000,150000},{0.0,0.15,0.134,0.0729,0.04486,0.03059,0.02525,0.02277,0.0198,0.01782,0.01584,0.01317}),"")</f>
        <v>0</v>
      </c>
      <c r="P25" s="18">
        <f>iferror(if(N25="",E25,N25)*O25,"")</f>
        <v>0</v>
      </c>
      <c r="Q25" s="20" t="s">
        <v>131</v>
      </c>
      <c r="R25" s="19" t="s">
        <v>98</v>
      </c>
      <c r="T25" s="18">
        <f>iferror(lookup(if(S25="",E25,S25),{0,1,5,50,100,150,500,1500,3000,9000},{0.0,0.13224903054211412,0.13224903054211412,0.1274517617871551,0.04537956930366662,0.04537956930366662,0.02865395661745806,0.02748705340679235,0.021004257791982832,0.015688365387839028}),"")</f>
        <v>0</v>
      </c>
      <c r="U25" s="18">
        <f>iferror(if(S25="",E25,S25)*T25,"")</f>
        <v>0</v>
      </c>
      <c r="V25" s="20" t="s">
        <v>164</v>
      </c>
      <c r="W25" s="17">
        <v>11112</v>
      </c>
      <c r="Y25" s="18">
        <f>iferror(lookup(if(X25="",E25,X25),{0,1,10,50,100,1000,10000},{0.0,0.13,0.116,0.116,0.04100000000000001,0.028,0.018}),"")</f>
        <v>0</v>
      </c>
      <c r="Z25" s="18">
        <f>iferror(if(X25="",E25,X25)*Y25,"")</f>
        <v>0</v>
      </c>
      <c r="AA25" s="20" t="s">
        <v>195</v>
      </c>
      <c r="AB25" s="19" t="s">
        <v>98</v>
      </c>
      <c r="AD25" s="18">
        <f>iferror(lookup(if(AC25="",E25,AC25),{0,1,5,25,50,100,250,500,1000,3000,6000,12000,18000,30000},{0.0,0.148,0.11900000000000001,0.105,0.09599999999999999,0.089,0.081,0.075,0.07,0.061,0.057,0.055,0.053,0.052}),"")</f>
        <v>0</v>
      </c>
      <c r="AE25" s="18">
        <f>iferror(if(AC25="",E25,AC25)*AD25,"")</f>
        <v>0</v>
      </c>
      <c r="AF25" s="20" t="s">
        <v>226</v>
      </c>
      <c r="AG25" s="17">
        <v>150</v>
      </c>
      <c r="AK25" s="20" t="s">
        <v>256</v>
      </c>
      <c r="AL25" s="17">
        <v>246151</v>
      </c>
      <c r="AN25" s="18">
        <f>iferror(lookup(if(AM25="",E25,AM25),{0,1,25,100,500,3000,12000},{0.0,0.0321,0.0321,0.0181,0.015,0.0133,0.0118}),"")</f>
        <v>0</v>
      </c>
      <c r="AO25" s="18">
        <f>iferror(if(AM25="",E25,AM25)*AN25,"")</f>
        <v>0</v>
      </c>
      <c r="AP25" s="20" t="s">
        <v>47</v>
      </c>
    </row>
    <row r="26" spans="1:42">
      <c r="A26" s="17" t="s">
        <v>48</v>
      </c>
      <c r="B26" s="17" t="s">
        <v>9</v>
      </c>
      <c r="C26" s="17" t="s">
        <v>10</v>
      </c>
      <c r="D26" s="17" t="s">
        <v>49</v>
      </c>
      <c r="E26" s="17">
        <f>BoardQty*2</f>
        <v>0</v>
      </c>
      <c r="F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6" s="18">
        <f>iferror(E26*F26,"")</f>
        <v>0</v>
      </c>
      <c r="H26" s="17">
        <v>19591</v>
      </c>
      <c r="J26" s="18">
        <f>iferror(lookup(if(I26="",E26,I26),{0,1,10,25,100,250,500,1000,3000,6000,10000,15000,100000,1000000,5000000},{0.0,0.0294,0.0108,0.0097,0.0036,0.0031999999999999997,0.0027999999999999995,0.0027,0.0025999999999999994,0.0023,0.0017,0.0019,0.0015999999999999999,0.0011,0.0009}),"")</f>
        <v>0</v>
      </c>
      <c r="K26" s="18">
        <f>iferror(if(I26="",E26,I26)*J26,"")</f>
        <v>0</v>
      </c>
      <c r="L26" s="20" t="s">
        <v>49</v>
      </c>
      <c r="M26" s="17">
        <v>1097445</v>
      </c>
      <c r="O26" s="18">
        <f>iferror(lookup(if(N26="",E26,N26),{0,1,10,100,1000,2500,5000,10000,30000,50000,100000},{0.0,0.1,0.018,0.0073,0.00329,0.0028600000000000006,0.00236,0.00186,0.00163,0.0014999999999999998,0.00147}),"")</f>
        <v>0</v>
      </c>
      <c r="P26" s="18">
        <f>iferror(if(N26="",E26,N26)*O26,"")</f>
        <v>0</v>
      </c>
      <c r="Q26" s="20" t="s">
        <v>132</v>
      </c>
      <c r="R26" s="17">
        <v>8980</v>
      </c>
      <c r="T26" s="18">
        <f>iferror(lookup(if(S26="",E26,S26),{0,1,10,100,500,2500,5000,10000,50000},{0.0,0.018151827721466646,0.018151827721466646,0.01594767721243141,0.013613870791099984,0.006871763351698088,0.005704860141032374,0.004537956930366661,0.0033710537197009483}),"")</f>
        <v>0</v>
      </c>
      <c r="U26" s="18">
        <f>iferror(if(S26="",E26,S26)*T26,"")</f>
        <v>0</v>
      </c>
      <c r="V26" s="20" t="s">
        <v>165</v>
      </c>
      <c r="W26" s="17">
        <v>82675</v>
      </c>
      <c r="Y26" s="18">
        <f>iferror(lookup(if(X26="",E26,X26),{0,1,10,50,100,1000,10000},{0.0,0.1,0.011999999999999999,0.011999999999999999,0.004,0.0029999999999999996,0.0029999999999999996}),"")</f>
        <v>0</v>
      </c>
      <c r="Z26" s="18">
        <f>iferror(if(X26="",E26,X26)*Y26,"")</f>
        <v>0</v>
      </c>
      <c r="AA26" s="20" t="s">
        <v>196</v>
      </c>
      <c r="AB26" s="17">
        <v>6270</v>
      </c>
      <c r="AD26" s="18">
        <f>iferror(lookup(if(AC26="",E26,AC26),{0,1,10,25,50,100,250,500,1000},{0.0,0.011999999999999999,0.011999999999999999,0.009,0.007,0.004,0.004,0.0029999999999999996,0.0029999999999999996}),"")</f>
        <v>0</v>
      </c>
      <c r="AE26" s="18">
        <f>iferror(if(AC26="",E26,AC26)*AD26,"")</f>
        <v>0</v>
      </c>
      <c r="AF26" s="20" t="s">
        <v>227</v>
      </c>
    </row>
    <row r="27" spans="1:42">
      <c r="A27" s="17" t="s">
        <v>50</v>
      </c>
      <c r="B27" s="17" t="s">
        <v>9</v>
      </c>
      <c r="C27" s="17" t="s">
        <v>10</v>
      </c>
      <c r="D27" s="17" t="s">
        <v>51</v>
      </c>
      <c r="E27" s="17">
        <f>BoardQty*2</f>
        <v>0</v>
      </c>
      <c r="F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7" s="18">
        <f>iferror(E27*F27,"")</f>
        <v>0</v>
      </c>
      <c r="H27" s="19" t="s">
        <v>98</v>
      </c>
      <c r="J27" s="18">
        <f>iferror(lookup(if(I27="",E27,I27),{0,1,10000,10001},{0.0,0.0039,0.0039,0.0129}),"")</f>
        <v>0</v>
      </c>
      <c r="K27" s="18">
        <f>iferror(if(I27="",E27,I27)*J27,"")</f>
        <v>0</v>
      </c>
      <c r="L27" s="20" t="s">
        <v>51</v>
      </c>
      <c r="M27" s="19" t="s">
        <v>98</v>
      </c>
      <c r="O27" s="18">
        <f>iferror(lookup(if(N27="",E27,N27),{0,1,10,100,1000,2500,5000,10000,30000},{0.0,0.1,0.044,0.0178,0.00802,0.00696,0.00575,0.00454,0.00425}),"")</f>
        <v>0</v>
      </c>
      <c r="P27" s="18">
        <f>iferror(if(N27="",E27,N27)*O27,"")</f>
        <v>0</v>
      </c>
      <c r="Q27" s="20" t="s">
        <v>133</v>
      </c>
      <c r="R27" s="17">
        <v>19599</v>
      </c>
      <c r="T27" s="18">
        <f>iferror(lookup(if(S27="",E27,S27),{0,1,10,100,150,500,2500,10000},{0.0,0.021522881441167593,0.021522881441167593,0.016595956773912363,0.016595956773912363,0.010372472983695227,0.009075913860733323,0.006482795614809516}),"")</f>
        <v>0</v>
      </c>
      <c r="U27" s="18">
        <f>iferror(if(S27="",E27,S27)*T27,"")</f>
        <v>0</v>
      </c>
      <c r="V27" s="20" t="s">
        <v>166</v>
      </c>
      <c r="W27" s="17">
        <v>3141</v>
      </c>
      <c r="Y27" s="18">
        <f>iferror(lookup(if(X27="",E27,X27),{0,1,10,50,100,1000,10000},{0.0,0.1,0.044,0.044,0.018,0.005999999999999999,0.005}),"")</f>
        <v>0</v>
      </c>
      <c r="Z27" s="18">
        <f>iferror(if(X27="",E27,X27)*Y27,"")</f>
        <v>0</v>
      </c>
      <c r="AA27" s="20" t="s">
        <v>197</v>
      </c>
      <c r="AB27" s="17">
        <v>2094</v>
      </c>
      <c r="AD27" s="18">
        <f>iferror(lookup(if(AC27="",E27,AC27),{0,1,25,100,250,500,1000,10000},{0.0,0.12,0.053,0.022,0.017,0.011999999999999999,0.007,0.005999999999999999}),"")</f>
        <v>0</v>
      </c>
      <c r="AE27" s="18">
        <f>iferror(if(AC27="",E27,AC27)*AD27,"")</f>
        <v>0</v>
      </c>
      <c r="AF27" s="20" t="s">
        <v>228</v>
      </c>
      <c r="AG27" s="17">
        <v>13950</v>
      </c>
      <c r="AK27" s="20" t="s">
        <v>257</v>
      </c>
    </row>
    <row r="28" spans="1:42">
      <c r="A28" s="17" t="s">
        <v>52</v>
      </c>
      <c r="B28" s="17" t="s">
        <v>9</v>
      </c>
      <c r="C28" s="17" t="s">
        <v>10</v>
      </c>
      <c r="D28" s="17" t="s">
        <v>53</v>
      </c>
      <c r="E28" s="17">
        <f>BoardQty*1</f>
        <v>0</v>
      </c>
      <c r="F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8" s="18">
        <f>iferror(E28*F28,"")</f>
        <v>0</v>
      </c>
      <c r="H28" s="17">
        <v>44350</v>
      </c>
      <c r="J28" s="18">
        <f>iferror(lookup(if(I28="",E28,I28),{0,1,10,25,100,250,500,1000,3000,6000,15000,30000,50000,5000000,500000000},{0.0,0.0893,0.0234,0.0211,0.0135,0.0122,0.0108,0.0076,0.0066,0.0057,0.0047,0.0039,0.01,0.0057,0.0036}),"")</f>
        <v>0</v>
      </c>
      <c r="K28" s="18">
        <f>iferror(if(I28="",E28,I28)*J28,"")</f>
        <v>0</v>
      </c>
      <c r="L28" s="20" t="s">
        <v>104</v>
      </c>
      <c r="M28" s="17">
        <v>527571</v>
      </c>
      <c r="O28" s="18">
        <f>iferror(lookup(if(N28="",E28,N28),{0,1,10,100,1000,2500,5000,10000,30000,50000,100000},{0.0,0.1,0.045,0.0184,0.00826,0.00717,0.00593,0.00468,0.00411,0.00377,0.0037}),"")</f>
        <v>0</v>
      </c>
      <c r="P28" s="18">
        <f>iferror(if(N28="",E28,N28)*O28,"")</f>
        <v>0</v>
      </c>
      <c r="Q28" s="20" t="s">
        <v>134</v>
      </c>
      <c r="W28" s="17">
        <v>11846</v>
      </c>
      <c r="Y28" s="18">
        <f>iferror(lookup(if(X28="",E28,X28),{0,1,10,50,100,1000,10000},{0.0,0.18,0.026,0.026,0.015,0.009,0.007}),"")</f>
        <v>0</v>
      </c>
      <c r="Z28" s="18">
        <f>iferror(if(X28="",E28,X28)*Y28,"")</f>
        <v>0</v>
      </c>
      <c r="AA28" s="20" t="s">
        <v>198</v>
      </c>
      <c r="AB28" s="17">
        <v>34006</v>
      </c>
      <c r="AD28" s="18">
        <f>iferror(lookup(if(AC28="",E28,AC28),{0,1,50000},{0.0,0.0029999999999999996,0.0029999999999999996}),"")</f>
        <v>0</v>
      </c>
      <c r="AE28" s="18">
        <f>iferror(if(AC28="",E28,AC28)*AD28,"")</f>
        <v>0</v>
      </c>
      <c r="AF28" s="20" t="s">
        <v>229</v>
      </c>
    </row>
    <row r="29" spans="1:42">
      <c r="A29" s="17" t="s">
        <v>54</v>
      </c>
      <c r="B29" s="17" t="s">
        <v>9</v>
      </c>
      <c r="C29" s="17" t="s">
        <v>10</v>
      </c>
      <c r="D29" s="17" t="s">
        <v>55</v>
      </c>
      <c r="E29" s="17">
        <f>BoardQty*1</f>
        <v>0</v>
      </c>
      <c r="F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9" s="18">
        <f>iferror(E29*F29,"")</f>
        <v>0</v>
      </c>
      <c r="M29" s="19" t="s">
        <v>98</v>
      </c>
      <c r="O29" s="18">
        <f>iferror(lookup(if(N29="",E29,N29),{0,1,10000},{0.0,0.05236,0.05236}),"")</f>
        <v>0</v>
      </c>
      <c r="P29" s="18">
        <f>iferror(if(N29="",E29,N29)*O29,"")</f>
        <v>0</v>
      </c>
      <c r="Q29" s="20" t="s">
        <v>135</v>
      </c>
    </row>
    <row r="30" spans="1:42">
      <c r="A30" s="17" t="s">
        <v>56</v>
      </c>
      <c r="B30" s="17" t="s">
        <v>9</v>
      </c>
      <c r="C30" s="17" t="s">
        <v>10</v>
      </c>
      <c r="D30" s="17" t="s">
        <v>57</v>
      </c>
      <c r="E30" s="17">
        <f>BoardQty*1</f>
        <v>0</v>
      </c>
      <c r="F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0" s="18">
        <f>iferror(E30*F30,"")</f>
        <v>0</v>
      </c>
      <c r="H30" s="17">
        <v>40460</v>
      </c>
      <c r="J30" s="18">
        <f>iferror(lookup(if(I30="",E30,I30),{0,1,10,25,100,250,500,1000,3000,6000,10000,15000,30000,50000,100000},{0.0,0.0893,0.0234,0.0211,0.0135,0.0122,0.0108,0.0076,0.007,0.0059,0.0047,0.0046,0.0039,0.0039,0.0038}),"")</f>
        <v>0</v>
      </c>
      <c r="K30" s="18">
        <f>iferror(if(I30="",E30,I30)*J30,"")</f>
        <v>0</v>
      </c>
      <c r="L30" s="20" t="s">
        <v>105</v>
      </c>
      <c r="M30" s="17">
        <v>2107066</v>
      </c>
      <c r="O30" s="18">
        <f>iferror(lookup(if(N30="",E30,N30),{0,1,10,100,1000,2500,5000,10000,30000,50000,100000},{0.0,0.1,0.045,0.0184,0.00826,0.00717,0.00593,0.00468,0.00411,0.00377,0.0037}),"")</f>
        <v>0</v>
      </c>
      <c r="P30" s="18">
        <f>iferror(if(N30="",E30,N30)*O30,"")</f>
        <v>0</v>
      </c>
      <c r="Q30" s="20" t="s">
        <v>136</v>
      </c>
      <c r="R30" s="17">
        <v>58661</v>
      </c>
      <c r="T30" s="18">
        <f>iferror(lookup(if(S30="",E30,S30),{0,1,10,100,500,2500,10000},{0.0,0.029431892091235208,0.029431892091235208,0.017244236335393313,0.014651118089469506,0.01153937619436094,0.008946257948437132}),"")</f>
        <v>0</v>
      </c>
      <c r="U30" s="18">
        <f>iferror(if(S30="",E30,S30)*T30,"")</f>
        <v>0</v>
      </c>
      <c r="V30" s="20" t="s">
        <v>167</v>
      </c>
      <c r="W30" s="17">
        <v>356348</v>
      </c>
      <c r="Y30" s="18">
        <f>iferror(lookup(if(X30="",E30,X30),{0,1,10,50,100,1000,10000},{0.0,0.18,0.026,0.026,0.015,0.009,0.007}),"")</f>
        <v>0</v>
      </c>
      <c r="Z30" s="18">
        <f>iferror(if(X30="",E30,X30)*Y30,"")</f>
        <v>0</v>
      </c>
      <c r="AA30" s="20" t="s">
        <v>199</v>
      </c>
      <c r="AB30" s="17">
        <v>51371</v>
      </c>
      <c r="AD30" s="18">
        <f>iferror(lookup(if(AC30="",E30,AC30),{0,1,25,100,250,500,1000,2500,5000},{0.0,0.18,0.026,0.015,0.014,0.011999999999999999,0.009,0.008,0.007}),"")</f>
        <v>0</v>
      </c>
      <c r="AE30" s="18">
        <f>iferror(if(AC30="",E30,AC30)*AD30,"")</f>
        <v>0</v>
      </c>
      <c r="AF30" s="20" t="s">
        <v>230</v>
      </c>
      <c r="AG30" s="17">
        <v>11</v>
      </c>
      <c r="AK30" s="20" t="s">
        <v>258</v>
      </c>
    </row>
    <row r="31" spans="1:42">
      <c r="A31" s="17" t="s">
        <v>58</v>
      </c>
      <c r="B31" s="17" t="s">
        <v>9</v>
      </c>
      <c r="C31" s="17" t="s">
        <v>10</v>
      </c>
      <c r="D31" s="17" t="s">
        <v>59</v>
      </c>
      <c r="E31" s="17">
        <f>BoardQty*1</f>
        <v>0</v>
      </c>
      <c r="F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1" s="18">
        <f>iferror(E31*F31,"")</f>
        <v>0</v>
      </c>
      <c r="H31" s="19" t="s">
        <v>98</v>
      </c>
      <c r="J31" s="18">
        <f>iferror(lookup(if(I31="",E31,I31),{0,1,10000,10001,30000,50000,100000,100001,1000000,5000000},{0.0,0.0015999999999999999,0.0015999999999999999,0.0018,0.0014999999999999998,0.0013999999999999998,0.0014999999999999998,0.0011999999999999997,0.001,0.0006999999999999999}),"")</f>
        <v>0</v>
      </c>
      <c r="K31" s="18">
        <f>iferror(if(I31="",E31,I31)*J31,"")</f>
        <v>0</v>
      </c>
      <c r="L31" s="20" t="s">
        <v>106</v>
      </c>
      <c r="M31" s="17">
        <v>32234580</v>
      </c>
      <c r="O31" s="18">
        <f>iferror(lookup(if(N31="",E31,N31),{0,1,10,25,50,100,250,500,1000,5000,10000,30000,50000,100000},{0.0,0.1,0.014,0.01,0.0078,0.0057,0.00436,0.00348,0.00257,0.00184,0.00145,0.00128,0.00117,0.00115}),"")</f>
        <v>0</v>
      </c>
      <c r="P31" s="18">
        <f>iferror(if(N31="",E31,N31)*O31,"")</f>
        <v>0</v>
      </c>
      <c r="Q31" s="20" t="s">
        <v>137</v>
      </c>
      <c r="R31" s="17">
        <v>116371</v>
      </c>
      <c r="T31" s="18">
        <f>iferror(lookup(if(S31="",E31,S31),{0,1,10,25,100,250,500,1000,2500,5000,10000,50000},{0.0,0.09892746108199323,0.013743526703396175,0.009853849334510464,0.006482795614809516,0.006093827877920946,0.005575204228736184,0.004797268754959042,0.006871763351698088,0.005186236491847613,0.003500709631997139,0.0025931182459238067}),"")</f>
        <v>0</v>
      </c>
      <c r="U31" s="18">
        <f>iferror(if(S31="",E31,S31)*T31,"")</f>
        <v>0</v>
      </c>
      <c r="V31" s="20" t="s">
        <v>168</v>
      </c>
      <c r="W31" s="17">
        <v>6371243</v>
      </c>
      <c r="Y31" s="18">
        <f>iferror(lookup(if(X31="",E31,X31),{0,1,10,50,100,1000,10000},{0.0,0.1,0.01,0.01,0.004,0.0029999999999999996,0.002}),"")</f>
        <v>0</v>
      </c>
      <c r="Z31" s="18">
        <f>iferror(if(X31="",E31,X31)*Y31,"")</f>
        <v>0</v>
      </c>
      <c r="AA31" s="20" t="s">
        <v>200</v>
      </c>
      <c r="AB31" s="17">
        <v>192590</v>
      </c>
      <c r="AD31" s="18">
        <f>iferror(lookup(if(AC31="",E31,AC31),{0,1,10,25,50,100,250,500,1000,2500,10000},{0.0,0.12,0.01,0.011999999999999999,0.005999999999999999,0.005,0.005,0.004,0.004,0.002,0.002}),"")</f>
        <v>0</v>
      </c>
      <c r="AE31" s="18">
        <f>iferror(if(AC31="",E31,AC31)*AD31,"")</f>
        <v>0</v>
      </c>
      <c r="AF31" s="20" t="s">
        <v>231</v>
      </c>
      <c r="AG31" s="17">
        <v>7230000</v>
      </c>
      <c r="AK31" s="20" t="s">
        <v>259</v>
      </c>
      <c r="AL31" s="17">
        <v>38300</v>
      </c>
      <c r="AN31" s="18">
        <f>iferror(lookup(if(AM31="",E31,AM31),{0,1,100,1000,10000,50000,100000},{0.0,0.01543,0.01543,0.00431,0.00147,0.0012999999999999997,0.00129}),"")</f>
        <v>0</v>
      </c>
      <c r="AO31" s="18">
        <f>iferror(if(AM31="",E31,AM31)*AN31,"")</f>
        <v>0</v>
      </c>
      <c r="AP31" s="20" t="s">
        <v>274</v>
      </c>
    </row>
    <row r="32" spans="1:42">
      <c r="A32" s="17" t="s">
        <v>60</v>
      </c>
      <c r="B32" s="17" t="s">
        <v>9</v>
      </c>
      <c r="C32" s="17" t="s">
        <v>10</v>
      </c>
      <c r="D32" s="17" t="s">
        <v>61</v>
      </c>
      <c r="E32" s="17">
        <f>BoardQty*1</f>
        <v>0</v>
      </c>
      <c r="F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2" s="18">
        <f>iferror(E32*F32,"")</f>
        <v>0</v>
      </c>
      <c r="H32" s="19" t="s">
        <v>98</v>
      </c>
      <c r="J32" s="18">
        <f>iferror(lookup(if(I32="",E32,I32),{0,1,10000,10001,30000},{0.0,0.0041,0.0041,0.012799999999999999,0.0034}),"")</f>
        <v>0</v>
      </c>
      <c r="K32" s="18">
        <f>iferror(if(I32="",E32,I32)*J32,"")</f>
        <v>0</v>
      </c>
      <c r="L32" s="20" t="s">
        <v>61</v>
      </c>
      <c r="M32" s="19" t="s">
        <v>98</v>
      </c>
      <c r="O32" s="18">
        <f>iferror(lookup(if(N32="",E32,N32),{0,1,10,100,1000,2500,5000,10000,30000},{0.0,0.1,0.044,0.0178,0.00802,0.00696,0.00575,0.00454,0.00425}),"")</f>
        <v>0</v>
      </c>
      <c r="P32" s="18">
        <f>iferror(if(N32="",E32,N32)*O32,"")</f>
        <v>0</v>
      </c>
      <c r="Q32" s="20" t="s">
        <v>138</v>
      </c>
      <c r="R32" s="17">
        <v>39089</v>
      </c>
      <c r="T32" s="18">
        <f>iferror(lookup(if(S32="",E32,S32),{0,1,10,100,150,500,2500,10000},{0.0,0.01892976319524379,0.01892976319524379,0.014521462177173315,0.014521462177173315,0.01179868801895332,0.008946257948437132,0.005704860141032374}),"")</f>
        <v>0</v>
      </c>
      <c r="U32" s="18">
        <f>iferror(if(S32="",E32,S32)*T32,"")</f>
        <v>0</v>
      </c>
      <c r="V32" s="20" t="s">
        <v>169</v>
      </c>
      <c r="W32" s="17">
        <v>248</v>
      </c>
      <c r="Y32" s="18">
        <f>iferror(lookup(if(X32="",E32,X32),{0,1,10,50,100,1000,10000},{0.0,0.1,0.045,0.045,0.026,0.018,0.005999999999999999}),"")</f>
        <v>0</v>
      </c>
      <c r="Z32" s="18">
        <f>iferror(if(X32="",E32,X32)*Y32,"")</f>
        <v>0</v>
      </c>
      <c r="AA32" s="20" t="s">
        <v>201</v>
      </c>
      <c r="AB32" s="19" t="s">
        <v>98</v>
      </c>
      <c r="AD32" s="18">
        <f>iferror(lookup(if(AC32="",E32,AC32),{0,1,10,25,100,250,500,1000,10000},{0.0,0.1,0.1,0.045,0.026,0.023,0.021,0.018,0.007}),"")</f>
        <v>0</v>
      </c>
      <c r="AE32" s="18">
        <f>iferror(if(AC32="",E32,AC32)*AD32,"")</f>
        <v>0</v>
      </c>
      <c r="AF32" s="20" t="s">
        <v>232</v>
      </c>
      <c r="AG32" s="17">
        <v>15300</v>
      </c>
      <c r="AK32" s="20" t="s">
        <v>260</v>
      </c>
    </row>
    <row r="33" spans="1:42">
      <c r="A33" s="17" t="s">
        <v>62</v>
      </c>
      <c r="B33" s="17" t="s">
        <v>9</v>
      </c>
      <c r="C33" s="17" t="s">
        <v>10</v>
      </c>
      <c r="D33" s="17" t="s">
        <v>63</v>
      </c>
      <c r="E33" s="17">
        <f>BoardQty*6</f>
        <v>0</v>
      </c>
      <c r="F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3" s="18">
        <f>iferror(E33*F33,"")</f>
        <v>0</v>
      </c>
      <c r="M33" s="17">
        <v>729944</v>
      </c>
      <c r="O33" s="18">
        <f>iferror(lookup(if(N33="",E33,N33),{0,1,10,100,1000,2500,5000,10000,30000},{0.0,0.1,0.044,0.0178,0.00802,0.00696,0.00575,0.00454,0.00425}),"")</f>
        <v>0</v>
      </c>
      <c r="P33" s="18">
        <f>iferror(if(N33="",E33,N33)*O33,"")</f>
        <v>0</v>
      </c>
      <c r="Q33" s="20" t="s">
        <v>139</v>
      </c>
      <c r="R33" s="17">
        <v>887</v>
      </c>
      <c r="T33" s="18">
        <f>iferror(lookup(if(S33="",E33,S33),{0,1,10,100,150,500,2500,5000,10000,50000,100000},{0.0,0.019059419107539978,0.019059419107539978,0.014651118089469506,0.014651118089469506,0.01179868801895332,0.009075913860733323,0.007131075176290467,0.005704860141032374,0.005186236491847613,0.004667612842662852}),"")</f>
        <v>0</v>
      </c>
      <c r="U33" s="18">
        <f>iferror(if(S33="",E33,S33)*T33,"")</f>
        <v>0</v>
      </c>
      <c r="V33" s="20" t="s">
        <v>170</v>
      </c>
      <c r="W33" s="17">
        <v>17383</v>
      </c>
      <c r="Y33" s="18">
        <f>iferror(lookup(if(X33="",E33,X33),{0,1,10,50,100,1000,10000},{0.0,0.1,0.045,0.045,0.026,0.018,0.005999999999999999}),"")</f>
        <v>0</v>
      </c>
      <c r="Z33" s="18">
        <f>iferror(if(X33="",E33,X33)*Y33,"")</f>
        <v>0</v>
      </c>
      <c r="AA33" s="20" t="s">
        <v>202</v>
      </c>
      <c r="AB33" s="17">
        <v>7460</v>
      </c>
      <c r="AD33" s="18">
        <f>iferror(lookup(if(AC33="",E33,AC33),{0,1,10,25,50,100,250,500,1000,10000},{0.0,0.049,0.049,0.043,0.035,0.028,0.026,0.023,0.02,0.005999999999999999}),"")</f>
        <v>0</v>
      </c>
      <c r="AE33" s="18">
        <f>iferror(if(AC33="",E33,AC33)*AD33,"")</f>
        <v>0</v>
      </c>
      <c r="AF33" s="20" t="s">
        <v>233</v>
      </c>
      <c r="AG33" s="17">
        <v>14800</v>
      </c>
      <c r="AK33" s="20" t="s">
        <v>261</v>
      </c>
    </row>
    <row r="34" spans="1:42">
      <c r="A34" s="17" t="s">
        <v>64</v>
      </c>
      <c r="B34" s="17" t="s">
        <v>9</v>
      </c>
      <c r="C34" s="17" t="s">
        <v>10</v>
      </c>
      <c r="D34" s="17" t="s">
        <v>65</v>
      </c>
      <c r="E34" s="17">
        <f>BoardQty*3</f>
        <v>0</v>
      </c>
      <c r="F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4" s="18">
        <f>iferror(E34*F34,"")</f>
        <v>0</v>
      </c>
      <c r="R34" s="17">
        <v>1337</v>
      </c>
      <c r="T34" s="18">
        <f>iferror(lookup(if(S34="",E34,S34),{0,1,10,100,500,2500,5000},{0.0,0.010502128895991416,0.010502128895991416,0.006353139702513326,0.004537956930366661,0.003500709631997139,0.002852430070516187}),"")</f>
        <v>0</v>
      </c>
      <c r="U34" s="18">
        <f>iferror(if(S34="",E34,S34)*T34,"")</f>
        <v>0</v>
      </c>
      <c r="V34" s="20" t="s">
        <v>171</v>
      </c>
      <c r="AB34" s="17">
        <v>45</v>
      </c>
      <c r="AD34" s="18">
        <f>iferror(lookup(if(AC34="",E34,AC34),{0,1,10,25,50},{0.0,0.017,0.017,0.013,0.011999999999999999}),"")</f>
        <v>0</v>
      </c>
      <c r="AE34" s="18">
        <f>iferror(if(AC34="",E34,AC34)*AD34,"")</f>
        <v>0</v>
      </c>
      <c r="AF34" s="20" t="s">
        <v>234</v>
      </c>
    </row>
    <row r="35" spans="1:42">
      <c r="A35" s="17" t="s">
        <v>66</v>
      </c>
      <c r="B35" s="17" t="s">
        <v>9</v>
      </c>
      <c r="C35" s="17" t="s">
        <v>10</v>
      </c>
      <c r="D35" s="17" t="s">
        <v>67</v>
      </c>
      <c r="E35" s="17">
        <f>BoardQty*7</f>
        <v>0</v>
      </c>
      <c r="F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5" s="18">
        <f>iferror(E35*F35,"")</f>
        <v>0</v>
      </c>
      <c r="M35" s="19" t="s">
        <v>98</v>
      </c>
      <c r="O35" s="18">
        <f>iferror(lookup(if(N35="",E35,N35),{0,1,10,100,1000,2500,5000,10000,30000},{0.0,0.1,0.044,0.0178,0.00802,0.00696,0.00575,0.00454,0.00425}),"")</f>
        <v>0</v>
      </c>
      <c r="P35" s="18">
        <f>iferror(if(N35="",E35,N35)*O35,"")</f>
        <v>0</v>
      </c>
      <c r="Q35" s="20" t="s">
        <v>140</v>
      </c>
      <c r="R35" s="19" t="s">
        <v>98</v>
      </c>
      <c r="T35" s="18">
        <f>iferror(lookup(if(S35="",E35,S35),{0,1,10,150,250,1000,5000,10000},{0.0,0.02463462333627616,0.02463462333627616,0.02463462333627616,0.01646630086161617,0.010242817071399036,0.00790901065006761,0.005704860141032374}),"")</f>
        <v>0</v>
      </c>
      <c r="U35" s="18">
        <f>iferror(if(S35="",E35,S35)*T35,"")</f>
        <v>0</v>
      </c>
      <c r="V35" s="20" t="s">
        <v>172</v>
      </c>
      <c r="W35" s="17">
        <v>117001</v>
      </c>
      <c r="Y35" s="18">
        <f>iferror(lookup(if(X35="",E35,X35),{0,1,10,50,100,1000,10000},{0.0,0.1,0.045,0.045,0.026,0.018,0.005999999999999999}),"")</f>
        <v>0</v>
      </c>
      <c r="Z35" s="18">
        <f>iferror(if(X35="",E35,X35)*Y35,"")</f>
        <v>0</v>
      </c>
      <c r="AA35" s="20" t="s">
        <v>203</v>
      </c>
      <c r="AB35" s="19" t="s">
        <v>98</v>
      </c>
      <c r="AD35" s="18">
        <f>iferror(lookup(if(AC35="",E35,AC35),{0,1,10,25,50,100,250,500,1000,10000},{0.0,0.1,0.045,0.039,0.032,0.026,0.023,0.021,0.018,0.005999999999999999}),"")</f>
        <v>0</v>
      </c>
      <c r="AE35" s="18">
        <f>iferror(if(AC35="",E35,AC35)*AD35,"")</f>
        <v>0</v>
      </c>
      <c r="AF35" s="20" t="s">
        <v>235</v>
      </c>
      <c r="AG35" s="17">
        <v>28800</v>
      </c>
      <c r="AK35" s="20" t="s">
        <v>262</v>
      </c>
    </row>
    <row r="36" spans="1:42">
      <c r="A36" s="17" t="s">
        <v>68</v>
      </c>
      <c r="B36" s="17" t="s">
        <v>9</v>
      </c>
      <c r="C36" s="17" t="s">
        <v>10</v>
      </c>
      <c r="D36" s="17" t="s">
        <v>69</v>
      </c>
      <c r="E36" s="17">
        <f>BoardQty*1</f>
        <v>0</v>
      </c>
      <c r="F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6" s="18">
        <f>iferror(E36*F36,"")</f>
        <v>0</v>
      </c>
      <c r="H36" s="17">
        <v>948</v>
      </c>
      <c r="J36" s="18">
        <f>iferror(lookup(if(I36="",E36,I36),{0,1,10,260,520,1040,1560,15600,1560000},{0.0,2.127,1.924,1.659,1.5139999999999998,1.29,2.4,2.275,1.15}),"")</f>
        <v>0</v>
      </c>
      <c r="K36" s="18">
        <f>iferror(if(I36="",E36,I36)*J36,"")</f>
        <v>0</v>
      </c>
      <c r="L36" s="20" t="s">
        <v>69</v>
      </c>
      <c r="M36" s="17">
        <v>3147</v>
      </c>
      <c r="O36" s="18">
        <f>iferror(lookup(if(N36="",E36,N36),{0,1,10,260,520,1040},{0.0,2.92,2.621,1.9778099999999998,1.73058,1.4339}),"")</f>
        <v>0</v>
      </c>
      <c r="P36" s="18">
        <f>iferror(if(N36="",E36,N36)*O36,"")</f>
        <v>0</v>
      </c>
      <c r="Q36" s="20" t="s">
        <v>141</v>
      </c>
      <c r="R36" s="17">
        <v>3487</v>
      </c>
      <c r="T36" s="18">
        <f>iferror(lookup(if(S36="",E36,S36),{0,1,10,25,50,100,250,500,1000},{0.0,2.9691203915827584,2.476427924857235,2.424565559938759,2.3597376037906637,2.0485634142798075,1.931873093213236,1.7114580423097123,1.3484214878803795}),"")</f>
        <v>0</v>
      </c>
      <c r="U36" s="18">
        <f>iferror(if(S36="",E36,S36)*T36,"")</f>
        <v>0</v>
      </c>
      <c r="V36" s="20" t="s">
        <v>173</v>
      </c>
      <c r="W36" s="17">
        <v>2193</v>
      </c>
      <c r="Y36" s="18">
        <f>iferror(lookup(if(X36="",E36,X36),{0,1,10,50,100,1000,10000},{0.0,2.93,2.49,2.49,2.16,1.55,1.42}),"")</f>
        <v>0</v>
      </c>
      <c r="Z36" s="18">
        <f>iferror(if(X36="",E36,X36)*Y36,"")</f>
        <v>0</v>
      </c>
      <c r="AA36" s="20" t="s">
        <v>204</v>
      </c>
      <c r="AB36" s="17">
        <v>3487</v>
      </c>
      <c r="AD36" s="18">
        <f>iferror(lookup(if(AC36="",E36,AC36),{0,1,10,100,500,1000,2500,5000},{0.0,3.49,3.01,2.64,2.29,1.9699999999999998,1.88,1.82}),"")</f>
        <v>0</v>
      </c>
      <c r="AE36" s="18">
        <f>iferror(if(AC36="",E36,AC36)*AD36,"")</f>
        <v>0</v>
      </c>
      <c r="AF36" s="20" t="s">
        <v>236</v>
      </c>
      <c r="AG36" s="17">
        <v>989</v>
      </c>
      <c r="AK36" s="20" t="s">
        <v>263</v>
      </c>
      <c r="AL36" s="17">
        <v>165</v>
      </c>
      <c r="AN36" s="18">
        <f>iferror(lookup(if(AM36="",E36,AM36),{0,1,3,10,50},{0.0,2.7777,2.721,2.4716,2.0975}),"")</f>
        <v>0</v>
      </c>
      <c r="AO36" s="18">
        <f>iferror(if(AM36="",E36,AM36)*AN36,"")</f>
        <v>0</v>
      </c>
      <c r="AP36" s="20" t="s">
        <v>69</v>
      </c>
    </row>
    <row r="37" spans="1:42">
      <c r="A37" s="17" t="s">
        <v>70</v>
      </c>
      <c r="B37" s="17" t="s">
        <v>9</v>
      </c>
      <c r="C37" s="17" t="s">
        <v>10</v>
      </c>
      <c r="D37" s="17" t="s">
        <v>71</v>
      </c>
      <c r="E37" s="17">
        <f>BoardQty*1</f>
        <v>0</v>
      </c>
      <c r="F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7" s="18">
        <f>iferror(E37*F37,"")</f>
        <v>0</v>
      </c>
      <c r="H37" s="17">
        <v>1825</v>
      </c>
      <c r="J37" s="18">
        <f>iferror(lookup(if(I37="",E37,I37),{0,1,10,25,100,250,500,1000},{0.0,2.196,1.983,1.972,1.762,1.711,1.543,1.434}),"")</f>
        <v>0</v>
      </c>
      <c r="K37" s="18">
        <f>iferror(if(I37="",E37,I37)*J37,"")</f>
        <v>0</v>
      </c>
      <c r="L37" s="20" t="s">
        <v>71</v>
      </c>
      <c r="M37" s="17">
        <v>43292</v>
      </c>
      <c r="O37" s="18">
        <f>iferror(lookup(if(N37="",E37,N37),{0,1,10,100,500,5000},{0.0,3.0,2.6969999999999996,2.2094,1.8807799999999997,1.408}),"")</f>
        <v>0</v>
      </c>
      <c r="P37" s="18">
        <f>iferror(if(N37="",E37,N37)*O37,"")</f>
        <v>0</v>
      </c>
      <c r="Q37" s="20" t="s">
        <v>142</v>
      </c>
      <c r="W37" s="17">
        <v>34833</v>
      </c>
      <c r="Y37" s="18">
        <f>iferror(lookup(if(X37="",E37,X37),{0,1,10,50,100,1000,10000},{0.0,2.92,2.48,2.48,2.15,1.5400000000000003,1.41}),"")</f>
        <v>0</v>
      </c>
      <c r="Z37" s="18">
        <f>iferror(if(X37="",E37,X37)*Y37,"")</f>
        <v>0</v>
      </c>
      <c r="AA37" s="20" t="s">
        <v>205</v>
      </c>
      <c r="AG37" s="17">
        <v>3754</v>
      </c>
      <c r="AK37" s="20" t="s">
        <v>264</v>
      </c>
    </row>
    <row r="38" spans="1:42">
      <c r="A38" s="17" t="s">
        <v>72</v>
      </c>
      <c r="B38" s="17" t="s">
        <v>9</v>
      </c>
      <c r="C38" s="17" t="s">
        <v>10</v>
      </c>
      <c r="D38" s="17" t="s">
        <v>73</v>
      </c>
      <c r="E38" s="17">
        <f>BoardQty*1</f>
        <v>0</v>
      </c>
      <c r="F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8" s="18">
        <f>iferror(E38*F38,"")</f>
        <v>0</v>
      </c>
      <c r="H38" s="17">
        <v>4458</v>
      </c>
      <c r="J38" s="18">
        <f>iferror(lookup(if(I38="",E38,I38),{0,1,10,25,100,250,500,1000,3000,18000,180000,18000000},{0.0,1.0294,0.9811,0.9711000000000001,0.8409000000000001,0.8310999999999998,0.7483,0.6735,0.6061,0.67,0.6447,0.4302}),"")</f>
        <v>0</v>
      </c>
      <c r="K38" s="18">
        <f>iferror(if(I38="",E38,I38)*J38,"")</f>
        <v>0</v>
      </c>
      <c r="L38" s="20" t="s">
        <v>107</v>
      </c>
      <c r="M38" s="17">
        <v>37987</v>
      </c>
      <c r="O38" s="18">
        <f>iferror(lookup(if(N38="",E38,N38),{0,1,10,100,500,1500},{0.0,1.32,1.18,0.9204,0.7603,0.58275}),"")</f>
        <v>0</v>
      </c>
      <c r="P38" s="18">
        <f>iferror(if(N38="",E38,N38)*O38,"")</f>
        <v>0</v>
      </c>
      <c r="Q38" s="20" t="s">
        <v>143</v>
      </c>
      <c r="R38" s="17">
        <v>4102</v>
      </c>
      <c r="T38" s="18">
        <f>iferror(lookup(if(S38="",E38,S38),{0,1,25,50,100,250,500,1000,2500},{0.0,1.3743526703396174,1.20579998435457,1.073550953812456,0.9413019232703417,0.8596186985237418,0.777935473777142,0.5964171965624755,0.5834516053328566}),"")</f>
        <v>0</v>
      </c>
      <c r="U38" s="18">
        <f>iferror(if(S38="",E38,S38)*T38,"")</f>
        <v>0</v>
      </c>
      <c r="V38" s="20" t="s">
        <v>174</v>
      </c>
      <c r="AB38" s="17">
        <v>2288</v>
      </c>
      <c r="AD38" s="18">
        <f>iferror(lookup(if(AC38="",E38,AC38),{0,1,50,100,250,500},{0.0,1.94,1.75,1.39,1.28,1.17}),"")</f>
        <v>0</v>
      </c>
      <c r="AE38" s="18">
        <f>iferror(if(AC38="",E38,AC38)*AD38,"")</f>
        <v>0</v>
      </c>
      <c r="AF38" s="20" t="s">
        <v>237</v>
      </c>
      <c r="AL38" s="17">
        <v>828</v>
      </c>
      <c r="AN38" s="18">
        <f>iferror(lookup(if(AM38="",E38,AM38),{0,1,5,25,100,500},{0.0,1.13,0.98,0.78,0.71,0.66}),"")</f>
        <v>0</v>
      </c>
      <c r="AO38" s="18">
        <f>iferror(if(AM38="",E38,AM38)*AN38,"")</f>
        <v>0</v>
      </c>
      <c r="AP38" s="20" t="s">
        <v>107</v>
      </c>
    </row>
    <row r="39" spans="1:42">
      <c r="A39" s="17" t="s">
        <v>74</v>
      </c>
      <c r="B39" s="17" t="s">
        <v>9</v>
      </c>
      <c r="C39" s="17" t="s">
        <v>10</v>
      </c>
      <c r="D39" s="17" t="s">
        <v>75</v>
      </c>
      <c r="E39" s="17">
        <f>BoardQty*1</f>
        <v>0</v>
      </c>
      <c r="F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39" s="18">
        <f>iferror(E39*F39,"")</f>
        <v>0</v>
      </c>
      <c r="H39" s="17">
        <v>3329</v>
      </c>
      <c r="J39" s="18">
        <f>iferror(lookup(if(I39="",E39,I39),{0,1,10,25,100,250,500,1000,3000,30000,3000000},{0.0,0.7675,0.7086999999999999,0.6637,0.6081,0.5441,0.5134,0.4455,0.5775,0.56,0.4069}),"")</f>
        <v>0</v>
      </c>
      <c r="K39" s="18">
        <f>iferror(if(I39="",E39,I39)*J39,"")</f>
        <v>0</v>
      </c>
      <c r="L39" s="20" t="s">
        <v>108</v>
      </c>
      <c r="M39" s="17">
        <v>1326</v>
      </c>
      <c r="O39" s="18">
        <f>iferror(lookup(if(N39="",E39,N39),{0,1,10,100,500,1000,3000,6000},{0.0,1.1899999999999997,1.063,0.8292,0.68496,0.54075,0.49,0.4655}),"")</f>
        <v>0</v>
      </c>
      <c r="P39" s="18">
        <f>iferror(if(N39="",E39,N39)*O39,"")</f>
        <v>0</v>
      </c>
      <c r="Q39" s="20" t="s">
        <v>144</v>
      </c>
      <c r="R39" s="17">
        <v>473</v>
      </c>
      <c r="T39" s="18">
        <f>iferror(lookup(if(S39="",E39,S39),{0,1,50,100,250,500},{0.0,0.8635083758926275,0.4045264463641138,0.3772987047819138,0.3617399953063711,0.3461812858308282}),"")</f>
        <v>0</v>
      </c>
      <c r="U39" s="18">
        <f>iferror(if(S39="",E39,S39)*T39,"")</f>
        <v>0</v>
      </c>
      <c r="V39" s="20" t="s">
        <v>175</v>
      </c>
      <c r="W39" s="17">
        <v>77</v>
      </c>
      <c r="Y39" s="18">
        <f>iferror(lookup(if(X39="",E39,X39),{0,1,10,50,100,1000,10000},{0.0,1.11,0.976,0.8819999999999999,0.7700000000000001,0.48699999999999993,0.429}),"")</f>
        <v>0</v>
      </c>
      <c r="Z39" s="18">
        <f>iferror(if(X39="",E39,X39)*Y39,"")</f>
        <v>0</v>
      </c>
      <c r="AA39" s="20" t="s">
        <v>206</v>
      </c>
      <c r="AG39" s="17">
        <v>2970</v>
      </c>
      <c r="AK39" s="20" t="s">
        <v>265</v>
      </c>
    </row>
    <row r="40" spans="1:42">
      <c r="A40" s="17" t="s">
        <v>76</v>
      </c>
      <c r="B40" s="17" t="s">
        <v>9</v>
      </c>
      <c r="C40" s="17" t="s">
        <v>10</v>
      </c>
      <c r="D40" s="17" t="s">
        <v>77</v>
      </c>
      <c r="E40" s="17">
        <f>BoardQty*1</f>
        <v>0</v>
      </c>
      <c r="F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40" s="18">
        <f>iferror(E40*F40,"")</f>
        <v>0</v>
      </c>
      <c r="H40" s="17">
        <v>9998</v>
      </c>
      <c r="J40" s="18">
        <f>iferror(lookup(if(I40="",E40,I40),{0,1,10,25,100,250,500,1000,3000,6000,60000,6000000},{0.0,0.9146999999999998,0.9021,0.8442,0.8356999999999999,0.8272999999999999,0.8188,0.8104,0.8018,0.8446,0.8407,0.8022}),"")</f>
        <v>0</v>
      </c>
      <c r="K40" s="18">
        <f>iferror(if(I40="",E40,I40)*J40,"")</f>
        <v>0</v>
      </c>
      <c r="L40" s="20" t="s">
        <v>109</v>
      </c>
      <c r="M40" s="17">
        <v>5546</v>
      </c>
      <c r="O40" s="18">
        <f>iferror(lookup(if(N40="",E40,N40),{0,1,25,100,6000},{0.0,1.01,0.9272,0.8446,0.84461}),"")</f>
        <v>0</v>
      </c>
      <c r="P40" s="18">
        <f>iferror(if(N40="",E40,N40)*O40,"")</f>
        <v>0</v>
      </c>
      <c r="Q40" s="20" t="s">
        <v>145</v>
      </c>
      <c r="W40" s="17">
        <v>5732</v>
      </c>
      <c r="Y40" s="18">
        <f>iferror(lookup(if(X40="",E40,X40),{0,1,10,50,100,1000,10000},{0.0,1.01,0.995,0.927,0.845,0.845,0.845}),"")</f>
        <v>0</v>
      </c>
      <c r="Z40" s="18">
        <f>iferror(if(X40="",E40,X40)*Y40,"")</f>
        <v>0</v>
      </c>
      <c r="AA40" s="20" t="s">
        <v>207</v>
      </c>
      <c r="AB40" s="19" t="s">
        <v>98</v>
      </c>
      <c r="AD40" s="18">
        <f>iferror(lookup(if(AC40="",E40,AC40),{0,1,6000},{0.0,0.845,0.845}),"")</f>
        <v>0</v>
      </c>
      <c r="AE40" s="18">
        <f>iferror(if(AC40="",E40,AC40)*AD40,"")</f>
        <v>0</v>
      </c>
      <c r="AF40" s="20" t="s">
        <v>238</v>
      </c>
    </row>
    <row r="41" spans="1:42">
      <c r="A41" s="17" t="s">
        <v>78</v>
      </c>
      <c r="B41" s="17" t="s">
        <v>9</v>
      </c>
      <c r="C41" s="17" t="s">
        <v>10</v>
      </c>
      <c r="D41" s="17" t="s">
        <v>79</v>
      </c>
      <c r="E41" s="17">
        <f>BoardQty*1</f>
        <v>0</v>
      </c>
      <c r="F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41" s="18">
        <f>iferror(E41*F41,"")</f>
        <v>0</v>
      </c>
    </row>
    <row r="42" spans="1:42">
      <c r="A42" s="17" t="s">
        <v>80</v>
      </c>
      <c r="B42" s="17" t="s">
        <v>9</v>
      </c>
      <c r="C42" s="17" t="s">
        <v>10</v>
      </c>
      <c r="D42" s="17" t="s">
        <v>81</v>
      </c>
      <c r="E42" s="17">
        <f>BoardQty*1</f>
        <v>0</v>
      </c>
      <c r="F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42" s="18">
        <f>iferror(E42*F42,"")</f>
        <v>0</v>
      </c>
      <c r="H42" s="17">
        <v>1758</v>
      </c>
      <c r="J42" s="18">
        <f>iferror(lookup(if(I42="",E42,I42),{0,1,10,25,100,250,500,1000,1500,15000,1500000},{0.0,3.132,2.567,2.563,2.352,2.119,1.856,1.64,3.36,3.156,1.395}),"")</f>
        <v>0</v>
      </c>
      <c r="K42" s="18">
        <f>iferror(if(I42="",E42,I42)*J42,"")</f>
        <v>0</v>
      </c>
      <c r="L42" s="20" t="s">
        <v>110</v>
      </c>
      <c r="M42" s="17">
        <v>32438</v>
      </c>
      <c r="O42" s="18">
        <f>iferror(lookup(if(N42="",E42,N42),{0,1,10,25,100,250,500,1500,3000},{0.0,3.53,3.15,2.8352,2.583,2.331,2.0916,1.68,1.596}),"")</f>
        <v>0</v>
      </c>
      <c r="P42" s="18">
        <f>iferror(if(N42="",E42,N42)*O42,"")</f>
        <v>0</v>
      </c>
      <c r="Q42" s="20" t="s">
        <v>146</v>
      </c>
      <c r="R42" s="17">
        <v>894</v>
      </c>
      <c r="T42" s="18">
        <f>iferror(lookup(if(S42="",E42,S42),{0,1,10,25,50,100,250,500,1000},{0.0,3.4618128583082814,2.774636523138473,2.696842975760759,2.606083837153425,2.5282902897757116,2.2819440564129496,2.022632231820569,1.60773331247276}),"")</f>
        <v>0</v>
      </c>
      <c r="U42" s="18">
        <f>iferror(if(S42="",E42,S42)*T42,"")</f>
        <v>0</v>
      </c>
      <c r="V42" s="20" t="s">
        <v>176</v>
      </c>
      <c r="W42" s="17">
        <v>11649</v>
      </c>
      <c r="Y42" s="18">
        <f>iferror(lookup(if(X42="",E42,X42),{0,1,10,50,100,1000,10000},{0.0,3.36,2.7,2.7,2.46,1.67,1.45}),"")</f>
        <v>0</v>
      </c>
      <c r="Z42" s="18">
        <f>iferror(if(X42="",E42,X42)*Y42,"")</f>
        <v>0</v>
      </c>
      <c r="AA42" s="20" t="s">
        <v>208</v>
      </c>
      <c r="AB42" s="17">
        <v>894</v>
      </c>
      <c r="AD42" s="18">
        <f>iferror(lookup(if(AC42="",E42,AC42),{0,1,10,25,50,100,250,500,1000},{0.0,3.8299999999999996,3.37,3.09,2.8000000000000003,2.43,1.93,1.83,1.7200000000000002}),"")</f>
        <v>0</v>
      </c>
      <c r="AE42" s="18">
        <f>iferror(if(AC42="",E42,AC42)*AD42,"")</f>
        <v>0</v>
      </c>
      <c r="AF42" s="20" t="s">
        <v>239</v>
      </c>
    </row>
    <row r="43" spans="1:42">
      <c r="A43" s="17" t="s">
        <v>82</v>
      </c>
      <c r="B43" s="17" t="s">
        <v>9</v>
      </c>
      <c r="C43" s="17" t="s">
        <v>10</v>
      </c>
      <c r="D43" s="17" t="s">
        <v>83</v>
      </c>
      <c r="E43" s="17">
        <f>BoardQty*1</f>
        <v>0</v>
      </c>
      <c r="F4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43" s="18">
        <f>iferror(E43*F43,"")</f>
        <v>0</v>
      </c>
      <c r="H43" s="17">
        <v>288</v>
      </c>
      <c r="J43" s="18">
        <f>iferror(lookup(if(I43="",E43,I43),{0,1,10,25,100,250,3000,6000,12000,21000,51000},{0.0,0.7173,0.6471,0.6455,0.5482,0.5064,0.435,0.3198,0.24139999999999998,0.2292,0.2199}),"")</f>
        <v>0</v>
      </c>
      <c r="K43" s="18">
        <f>iferror(if(I43="",E43,I43)*J43,"")</f>
        <v>0</v>
      </c>
      <c r="L43" s="20" t="s">
        <v>111</v>
      </c>
      <c r="M43" s="17">
        <v>5601</v>
      </c>
      <c r="O43" s="18">
        <f>iferror(lookup(if(N43="",E43,N43),{0,1,10,50,100,500,1000,3000,6000,15000},{0.0,0.8600000000000001,0.759,0.7096,0.627,0.594,0.495,0.435,0.42,0.405}),"")</f>
        <v>0</v>
      </c>
      <c r="P43" s="18">
        <f>iferror(if(N43="",E43,N43)*O43,"")</f>
        <v>0</v>
      </c>
      <c r="Q43" s="20" t="s">
        <v>147</v>
      </c>
      <c r="R43" s="17">
        <v>2159</v>
      </c>
      <c r="T43" s="18">
        <f>iferror(lookup(if(S43="",E43,S43),{0,1,25,50,100,250,500,3000,6000},{0.0,0.9127776225651798,0.8077563336052657,0.7558939686867895,0.6677279483253802,0.6508726797268755,0.6314242928824468,0.7260731088586659,0.6016034330543231}),"")</f>
        <v>0</v>
      </c>
      <c r="U43" s="18">
        <f>iferror(if(S43="",E43,S43)*T43,"")</f>
        <v>0</v>
      </c>
      <c r="V43" s="20" t="s">
        <v>177</v>
      </c>
      <c r="W43" s="17">
        <v>3214</v>
      </c>
      <c r="Y43" s="18">
        <f>iferror(lookup(if(X43="",E43,X43),{0,1,10,50,100,1000,10000},{0.0,0.82,0.726,0.6779999999999999,0.6,0.474,0.405}),"")</f>
        <v>0</v>
      </c>
      <c r="Z43" s="18">
        <f>iferror(if(X43="",E43,X43)*Y43,"")</f>
        <v>0</v>
      </c>
      <c r="AA43" s="20" t="s">
        <v>209</v>
      </c>
      <c r="AB43" s="17">
        <v>2159</v>
      </c>
      <c r="AD43" s="18">
        <f>iferror(lookup(if(AC43="",E43,AC43),{0,1,25,50,100,250,500,1000,3000,6000,12000},{0.0,0.353,0.353,0.353,0.353,0.353,0.353,0.353,0.362,0.362,0.362}),"")</f>
        <v>0</v>
      </c>
      <c r="AE43" s="18">
        <f>iferror(if(AC43="",E43,AC43)*AD43,"")</f>
        <v>0</v>
      </c>
      <c r="AF43" s="20" t="s">
        <v>240</v>
      </c>
    </row>
    <row r="45" spans="1:42">
      <c r="A45" s="3" t="s">
        <v>275</v>
      </c>
      <c r="I45" s="7">
        <f>IFERROR(IF(OR(I7:I43),COUNTIF(I7:I43,"&gt;0")&amp;" of "&amp;ROWS(I7:I43)&amp;" parts purchased",""),"")</f>
        <v>0</v>
      </c>
      <c r="N45" s="7">
        <f>IFERROR(IF(OR(N7:N43),COUNTIF(N7:N43,"&gt;0")&amp;" of "&amp;ROWS(N7:N43)&amp;" parts purchased",""),"")</f>
        <v>0</v>
      </c>
      <c r="S45" s="7">
        <f>IFERROR(IF(OR(S7:S43),COUNTIF(S7:S43,"&gt;0")&amp;" of "&amp;ROWS(S7:S43)&amp;" parts purchased",""),"")</f>
        <v>0</v>
      </c>
      <c r="X45" s="7">
        <f>IFERROR(IF(OR(X7:X43),COUNTIF(X7:X43,"&gt;0")&amp;" of "&amp;ROWS(X7:X43)&amp;" parts purchased",""),"")</f>
        <v>0</v>
      </c>
      <c r="AC45" s="7">
        <f>IFERROR(IF(OR(AC7:AC43),COUNTIF(AC7:AC43,"&gt;0")&amp;" of "&amp;ROWS(AC7:AC43)&amp;" parts purchased",""),"")</f>
        <v>0</v>
      </c>
      <c r="AH45" s="7">
        <f>IFERROR(IF(OR(AH7:AH43),COUNTIF(AH7:AH43,"&gt;0")&amp;" of "&amp;ROWS(AH7:AH43)&amp;" parts purchased",""),"")</f>
        <v>0</v>
      </c>
      <c r="AM45" s="7">
        <f>IFERROR(IF(OR(AM7:AM43),COUNTIF(AM7:AM43,"&gt;0")&amp;" of "&amp;ROWS(AM7:AM43)&amp;" parts purchased",""),"")</f>
        <v>0</v>
      </c>
    </row>
    <row r="46" spans="1:42">
      <c r="I46">
        <f t="array" ref="I46">IFERROR(CONCATENATE((INDEX($L$7:$L$43,SMALL(IF($L$7:$L$43&lt;&gt;"",IF($I$7:$I$43&lt;&gt;"",ROW($I$7:$I$43)-MIN(ROW($I$7:$I$43))+1,""),""),ROW()-ROW(A$46)+1))),","),"")</f>
        <v>0</v>
      </c>
      <c r="J46">
        <f t="array" ref="J46">IFERROR(CONCATENATE(TEXT(INDEX($I$7:$I$43,SMALL(IF($L$7:$L$43&lt;&gt;"",IF($I$7:$I$43&lt;&gt;"",ROW($I$7:$I$43)-MIN(ROW($I$7:$I$43))+1,""),""),ROW()-ROW(A$46)+1)),"##0"),","),"")</f>
        <v>0</v>
      </c>
      <c r="K46">
        <f t="array" ref="K46">IFERROR(CONCATENATE((INDEX($A$7:$A$43,SMALL(IF($L$7:$L$43&lt;&gt;"",IF($I$7:$I$43&lt;&gt;"",ROW($I$7:$I$43)-MIN(ROW($I$7:$I$43))+1,""),""),ROW()-ROW(A$46)+1))),),"")</f>
        <v>0</v>
      </c>
      <c r="N46">
        <f t="array" ref="N46">IFERROR(CONCATENATE(TEXT(INDEX($N$7:$N$43,SMALL(IF($Q$7:$Q$43&lt;&gt;"",IF($N$7:$N$43&lt;&gt;"",ROW($N$7:$N$43)-MIN(ROW($N$7:$N$43))+1,""),""),ROW()-ROW(A$46)+1)),"##0"),","),"")</f>
        <v>0</v>
      </c>
      <c r="O46">
        <f t="array" ref="O46">IFERROR(CONCATENATE((INDEX($Q$7:$Q$43,SMALL(IF($Q$7:$Q$43&lt;&gt;"",IF($N$7:$N$43&lt;&gt;"",ROW($N$7:$N$43)-MIN(ROW($N$7:$N$43))+1,""),""),ROW()-ROW(A$46)+1))),","),"")</f>
        <v>0</v>
      </c>
      <c r="P46">
        <f t="array" ref="P46">IFERROR(CONCATENATE((INDEX($A$7:$A$43,SMALL(IF($Q$7:$Q$43&lt;&gt;"",IF($N$7:$N$43&lt;&gt;"",ROW($N$7:$N$43)-MIN(ROW($N$7:$N$43))+1,""),""),ROW()-ROW(A$46)+1))),),"")</f>
        <v>0</v>
      </c>
      <c r="S46">
        <f t="array" ref="S46">IFERROR(CONCATENATE((INDEX($V$7:$V$43,SMALL(IF($V$7:$V$43&lt;&gt;"",IF($S$7:$S$43&lt;&gt;"",ROW($S$7:$S$43)-MIN(ROW($S$7:$S$43))+1,""),""),ROW()-ROW(A$46)+1)))," "),"")</f>
        <v>0</v>
      </c>
      <c r="T46">
        <f t="array" ref="T46">IFERROR(CONCATENATE(TEXT(INDEX($S$7:$S$43,SMALL(IF($V$7:$V$43&lt;&gt;"",IF($S$7:$S$43&lt;&gt;"",ROW($S$7:$S$43)-MIN(ROW($S$7:$S$43))+1,""),""),ROW()-ROW(A$46)+1)),"##0")," "),"")</f>
        <v>0</v>
      </c>
      <c r="U46">
        <f t="array" ref="U46">IFERROR(CONCATENATE((INDEX($A$7:$A$43,SMALL(IF($V$7:$V$43&lt;&gt;"",IF($S$7:$S$43&lt;&gt;"",ROW($S$7:$S$43)-MIN(ROW($S$7:$S$43))+1,""),""),ROW()-ROW(A$46)+1))),),"")</f>
        <v>0</v>
      </c>
      <c r="X46">
        <f t="array" ref="X46">IFERROR(CONCATENATE((INDEX($AA$7:$AA$43,SMALL(IF($AA$7:$AA$43&lt;&gt;"",IF($X$7:$X$43&lt;&gt;"",ROW($X$7:$X$43)-MIN(ROW($X$7:$X$43))+1,""),""),ROW()-ROW(A$46)+1)))," "),"")</f>
        <v>0</v>
      </c>
      <c r="Y46">
        <f t="array" ref="Y46">IFERROR(CONCATENATE(TEXT(INDEX($X$7:$X$43,SMALL(IF($AA$7:$AA$43&lt;&gt;"",IF($X$7:$X$43&lt;&gt;"",ROW($X$7:$X$43)-MIN(ROW($X$7:$X$43))+1,""),""),ROW()-ROW(A$46)+1)),"##0")," "),"")</f>
        <v>0</v>
      </c>
      <c r="Z46">
        <f t="array" ref="Z46">IFERROR(CONCATENATE((INDEX($A$7:$A$43,SMALL(IF($AA$7:$AA$43&lt;&gt;"",IF($X$7:$X$43&lt;&gt;"",ROW($X$7:$X$43)-MIN(ROW($X$7:$X$43))+1,""),""),ROW()-ROW(A$46)+1))),),"")</f>
        <v>0</v>
      </c>
      <c r="AC46">
        <f t="array" ref="AC46">IFERROR(CONCATENATE((INDEX($AF$7:$AF$43,SMALL(IF($AF$7:$AF$43&lt;&gt;"",IF($AC$7:$AC$43&lt;&gt;"",ROW($AC$7:$AC$43)-MIN(ROW($AC$7:$AC$43))+1,""),""),ROW()-ROW(A$46)+1))),","),"")</f>
        <v>0</v>
      </c>
      <c r="AD46">
        <f t="array" ref="AD46">IFERROR(CONCATENATE(TEXT(INDEX($AC$7:$AC$43,SMALL(IF($AF$7:$AF$43&lt;&gt;"",IF($AC$7:$AC$43&lt;&gt;"",ROW($AC$7:$AC$43)-MIN(ROW($AC$7:$AC$43))+1,""),""),ROW()-ROW(A$46)+1)),"##0"),","),"")</f>
        <v>0</v>
      </c>
      <c r="AE46">
        <f t="array" ref="AE46">IFERROR(CONCATENATE((INDEX($A$7:$A$43,SMALL(IF($AF$7:$AF$43&lt;&gt;"",IF($AC$7:$AC$43&lt;&gt;"",ROW($AC$7:$AC$43)-MIN(ROW($AC$7:$AC$43))+1,""),""),ROW()-ROW(A$46)+1))),),"")</f>
        <v>0</v>
      </c>
      <c r="AH46">
        <f t="array" ref="AH46">IFERROR(CONCATENATE((INDEX($AK$7:$AK$43,SMALL(IF($AK$7:$AK$43&lt;&gt;"",IF($AH$7:$AH$43&lt;&gt;"",ROW($AH$7:$AH$43)-MIN(ROW($AH$7:$AH$43))+1,""),""),ROW()-ROW(A$46)+1)))," "),"")</f>
        <v>0</v>
      </c>
      <c r="AI46">
        <f t="array" ref="AI46">IFERROR(CONCATENATE(TEXT(INDEX($AH$7:$AH$43,SMALL(IF($AK$7:$AK$43&lt;&gt;"",IF($AH$7:$AH$43&lt;&gt;"",ROW($AH$7:$AH$43)-MIN(ROW($AH$7:$AH$43))+1,""),""),ROW()-ROW(A$46)+1)),"##0")," "),"")</f>
        <v>0</v>
      </c>
      <c r="AJ46">
        <f t="array" ref="AJ46">IFERROR(CONCATENATE((INDEX($A$7:$A$43,SMALL(IF($AK$7:$AK$43&lt;&gt;"",IF($AH$7:$AH$43&lt;&gt;"",ROW($AH$7:$AH$43)-MIN(ROW($AH$7:$AH$43))+1,""),""),ROW()-ROW(A$46)+1))),),"")</f>
        <v>0</v>
      </c>
      <c r="AM46">
        <f t="array" ref="AM46">IFERROR(CONCATENATE((INDEX($AP$7:$AP$43,SMALL(IF($AP$7:$AP$43&lt;&gt;"",IF($AM$7:$AM$43&lt;&gt;"",ROW($AM$7:$AM$43)-MIN(ROW($AM$7:$AM$43))+1,""),""),ROW()-ROW(A$46)+1)))," "),"")</f>
        <v>0</v>
      </c>
      <c r="AN46">
        <f t="array" ref="AN46">IFERROR(CONCATENATE(TEXT(INDEX($AM$7:$AM$43,SMALL(IF($AP$7:$AP$43&lt;&gt;"",IF($AM$7:$AM$43&lt;&gt;"",ROW($AM$7:$AM$43)-MIN(ROW($AM$7:$AM$43))+1,""),""),ROW()-ROW(A$46)+1)),"##0")," "),"")</f>
        <v>0</v>
      </c>
      <c r="AO46">
        <f t="array" ref="AO46">IFERROR(CONCATENATE((INDEX($A$7:$A$43,SMALL(IF($AP$7:$AP$43&lt;&gt;"",IF($AM$7:$AM$43&lt;&gt;"",ROW($AM$7:$AM$43)-MIN(ROW($AM$7:$AM$43))+1,""),""),ROW()-ROW(A$46)+1))),),"")</f>
        <v>0</v>
      </c>
    </row>
    <row r="47" spans="1:42">
      <c r="I47">
        <f t="array" ref="I47">IFERROR(CONCATENATE((INDEX($L$7:$L$43,SMALL(IF($L$7:$L$43&lt;&gt;"",IF($I$7:$I$43&lt;&gt;"",ROW($I$7:$I$43)-MIN(ROW($I$7:$I$43))+1,""),""),ROW()-ROW(A$46)+1))),","),"")</f>
        <v>0</v>
      </c>
      <c r="J47">
        <f t="array" ref="J47">IFERROR(CONCATENATE(TEXT(INDEX($I$7:$I$43,SMALL(IF($L$7:$L$43&lt;&gt;"",IF($I$7:$I$43&lt;&gt;"",ROW($I$7:$I$43)-MIN(ROW($I$7:$I$43))+1,""),""),ROW()-ROW(A$46)+1)),"##0"),","),"")</f>
        <v>0</v>
      </c>
      <c r="K47">
        <f t="array" ref="K47">IFERROR(CONCATENATE((INDEX($A$7:$A$43,SMALL(IF($L$7:$L$43&lt;&gt;"",IF($I$7:$I$43&lt;&gt;"",ROW($I$7:$I$43)-MIN(ROW($I$7:$I$43))+1,""),""),ROW()-ROW(A$46)+1))),),"")</f>
        <v>0</v>
      </c>
      <c r="N47">
        <f t="array" ref="N47">IFERROR(CONCATENATE(TEXT(INDEX($N$7:$N$43,SMALL(IF($Q$7:$Q$43&lt;&gt;"",IF($N$7:$N$43&lt;&gt;"",ROW($N$7:$N$43)-MIN(ROW($N$7:$N$43))+1,""),""),ROW()-ROW(A$46)+1)),"##0"),","),"")</f>
        <v>0</v>
      </c>
      <c r="O47">
        <f t="array" ref="O47">IFERROR(CONCATENATE((INDEX($Q$7:$Q$43,SMALL(IF($Q$7:$Q$43&lt;&gt;"",IF($N$7:$N$43&lt;&gt;"",ROW($N$7:$N$43)-MIN(ROW($N$7:$N$43))+1,""),""),ROW()-ROW(A$46)+1))),","),"")</f>
        <v>0</v>
      </c>
      <c r="P47">
        <f t="array" ref="P47">IFERROR(CONCATENATE((INDEX($A$7:$A$43,SMALL(IF($Q$7:$Q$43&lt;&gt;"",IF($N$7:$N$43&lt;&gt;"",ROW($N$7:$N$43)-MIN(ROW($N$7:$N$43))+1,""),""),ROW()-ROW(A$46)+1))),),"")</f>
        <v>0</v>
      </c>
      <c r="S47">
        <f t="array" ref="S47">IFERROR(CONCATENATE((INDEX($V$7:$V$43,SMALL(IF($V$7:$V$43&lt;&gt;"",IF($S$7:$S$43&lt;&gt;"",ROW($S$7:$S$43)-MIN(ROW($S$7:$S$43))+1,""),""),ROW()-ROW(A$46)+1)))," "),"")</f>
        <v>0</v>
      </c>
      <c r="T47">
        <f t="array" ref="T47">IFERROR(CONCATENATE(TEXT(INDEX($S$7:$S$43,SMALL(IF($V$7:$V$43&lt;&gt;"",IF($S$7:$S$43&lt;&gt;"",ROW($S$7:$S$43)-MIN(ROW($S$7:$S$43))+1,""),""),ROW()-ROW(A$46)+1)),"##0")," "),"")</f>
        <v>0</v>
      </c>
      <c r="U47">
        <f t="array" ref="U47">IFERROR(CONCATENATE((INDEX($A$7:$A$43,SMALL(IF($V$7:$V$43&lt;&gt;"",IF($S$7:$S$43&lt;&gt;"",ROW($S$7:$S$43)-MIN(ROW($S$7:$S$43))+1,""),""),ROW()-ROW(A$46)+1))),),"")</f>
        <v>0</v>
      </c>
      <c r="X47">
        <f t="array" ref="X47">IFERROR(CONCATENATE((INDEX($AA$7:$AA$43,SMALL(IF($AA$7:$AA$43&lt;&gt;"",IF($X$7:$X$43&lt;&gt;"",ROW($X$7:$X$43)-MIN(ROW($X$7:$X$43))+1,""),""),ROW()-ROW(A$46)+1)))," "),"")</f>
        <v>0</v>
      </c>
      <c r="Y47">
        <f t="array" ref="Y47">IFERROR(CONCATENATE(TEXT(INDEX($X$7:$X$43,SMALL(IF($AA$7:$AA$43&lt;&gt;"",IF($X$7:$X$43&lt;&gt;"",ROW($X$7:$X$43)-MIN(ROW($X$7:$X$43))+1,""),""),ROW()-ROW(A$46)+1)),"##0")," "),"")</f>
        <v>0</v>
      </c>
      <c r="Z47">
        <f t="array" ref="Z47">IFERROR(CONCATENATE((INDEX($A$7:$A$43,SMALL(IF($AA$7:$AA$43&lt;&gt;"",IF($X$7:$X$43&lt;&gt;"",ROW($X$7:$X$43)-MIN(ROW($X$7:$X$43))+1,""),""),ROW()-ROW(A$46)+1))),),"")</f>
        <v>0</v>
      </c>
      <c r="AC47">
        <f t="array" ref="AC47">IFERROR(CONCATENATE((INDEX($AF$7:$AF$43,SMALL(IF($AF$7:$AF$43&lt;&gt;"",IF($AC$7:$AC$43&lt;&gt;"",ROW($AC$7:$AC$43)-MIN(ROW($AC$7:$AC$43))+1,""),""),ROW()-ROW(A$46)+1))),","),"")</f>
        <v>0</v>
      </c>
      <c r="AD47">
        <f t="array" ref="AD47">IFERROR(CONCATENATE(TEXT(INDEX($AC$7:$AC$43,SMALL(IF($AF$7:$AF$43&lt;&gt;"",IF($AC$7:$AC$43&lt;&gt;"",ROW($AC$7:$AC$43)-MIN(ROW($AC$7:$AC$43))+1,""),""),ROW()-ROW(A$46)+1)),"##0"),","),"")</f>
        <v>0</v>
      </c>
      <c r="AE47">
        <f t="array" ref="AE47">IFERROR(CONCATENATE((INDEX($A$7:$A$43,SMALL(IF($AF$7:$AF$43&lt;&gt;"",IF($AC$7:$AC$43&lt;&gt;"",ROW($AC$7:$AC$43)-MIN(ROW($AC$7:$AC$43))+1,""),""),ROW()-ROW(A$46)+1))),),"")</f>
        <v>0</v>
      </c>
      <c r="AH47">
        <f t="array" ref="AH47">IFERROR(CONCATENATE((INDEX($AK$7:$AK$43,SMALL(IF($AK$7:$AK$43&lt;&gt;"",IF($AH$7:$AH$43&lt;&gt;"",ROW($AH$7:$AH$43)-MIN(ROW($AH$7:$AH$43))+1,""),""),ROW()-ROW(A$46)+1)))," "),"")</f>
        <v>0</v>
      </c>
      <c r="AI47">
        <f t="array" ref="AI47">IFERROR(CONCATENATE(TEXT(INDEX($AH$7:$AH$43,SMALL(IF($AK$7:$AK$43&lt;&gt;"",IF($AH$7:$AH$43&lt;&gt;"",ROW($AH$7:$AH$43)-MIN(ROW($AH$7:$AH$43))+1,""),""),ROW()-ROW(A$46)+1)),"##0")," "),"")</f>
        <v>0</v>
      </c>
      <c r="AJ47">
        <f t="array" ref="AJ47">IFERROR(CONCATENATE((INDEX($A$7:$A$43,SMALL(IF($AK$7:$AK$43&lt;&gt;"",IF($AH$7:$AH$43&lt;&gt;"",ROW($AH$7:$AH$43)-MIN(ROW($AH$7:$AH$43))+1,""),""),ROW()-ROW(A$46)+1))),),"")</f>
        <v>0</v>
      </c>
      <c r="AM47">
        <f t="array" ref="AM47">IFERROR(CONCATENATE((INDEX($AP$7:$AP$43,SMALL(IF($AP$7:$AP$43&lt;&gt;"",IF($AM$7:$AM$43&lt;&gt;"",ROW($AM$7:$AM$43)-MIN(ROW($AM$7:$AM$43))+1,""),""),ROW()-ROW(A$46)+1)))," "),"")</f>
        <v>0</v>
      </c>
      <c r="AN47">
        <f t="array" ref="AN47">IFERROR(CONCATENATE(TEXT(INDEX($AM$7:$AM$43,SMALL(IF($AP$7:$AP$43&lt;&gt;"",IF($AM$7:$AM$43&lt;&gt;"",ROW($AM$7:$AM$43)-MIN(ROW($AM$7:$AM$43))+1,""),""),ROW()-ROW(A$46)+1)),"##0")," "),"")</f>
        <v>0</v>
      </c>
      <c r="AO47">
        <f t="array" ref="AO47">IFERROR(CONCATENATE((INDEX($A$7:$A$43,SMALL(IF($AP$7:$AP$43&lt;&gt;"",IF($AM$7:$AM$43&lt;&gt;"",ROW($AM$7:$AM$43)-MIN(ROW($AM$7:$AM$43))+1,""),""),ROW()-ROW(A$46)+1))),),"")</f>
        <v>0</v>
      </c>
    </row>
    <row r="48" spans="1:42">
      <c r="I48">
        <f t="array" ref="I48">IFERROR(CONCATENATE((INDEX($L$7:$L$43,SMALL(IF($L$7:$L$43&lt;&gt;"",IF($I$7:$I$43&lt;&gt;"",ROW($I$7:$I$43)-MIN(ROW($I$7:$I$43))+1,""),""),ROW()-ROW(A$46)+1))),","),"")</f>
        <v>0</v>
      </c>
      <c r="J48">
        <f t="array" ref="J48">IFERROR(CONCATENATE(TEXT(INDEX($I$7:$I$43,SMALL(IF($L$7:$L$43&lt;&gt;"",IF($I$7:$I$43&lt;&gt;"",ROW($I$7:$I$43)-MIN(ROW($I$7:$I$43))+1,""),""),ROW()-ROW(A$46)+1)),"##0"),","),"")</f>
        <v>0</v>
      </c>
      <c r="K48">
        <f t="array" ref="K48">IFERROR(CONCATENATE((INDEX($A$7:$A$43,SMALL(IF($L$7:$L$43&lt;&gt;"",IF($I$7:$I$43&lt;&gt;"",ROW($I$7:$I$43)-MIN(ROW($I$7:$I$43))+1,""),""),ROW()-ROW(A$46)+1))),),"")</f>
        <v>0</v>
      </c>
      <c r="N48">
        <f t="array" ref="N48">IFERROR(CONCATENATE(TEXT(INDEX($N$7:$N$43,SMALL(IF($Q$7:$Q$43&lt;&gt;"",IF($N$7:$N$43&lt;&gt;"",ROW($N$7:$N$43)-MIN(ROW($N$7:$N$43))+1,""),""),ROW()-ROW(A$46)+1)),"##0"),","),"")</f>
        <v>0</v>
      </c>
      <c r="O48">
        <f t="array" ref="O48">IFERROR(CONCATENATE((INDEX($Q$7:$Q$43,SMALL(IF($Q$7:$Q$43&lt;&gt;"",IF($N$7:$N$43&lt;&gt;"",ROW($N$7:$N$43)-MIN(ROW($N$7:$N$43))+1,""),""),ROW()-ROW(A$46)+1))),","),"")</f>
        <v>0</v>
      </c>
      <c r="P48">
        <f t="array" ref="P48">IFERROR(CONCATENATE((INDEX($A$7:$A$43,SMALL(IF($Q$7:$Q$43&lt;&gt;"",IF($N$7:$N$43&lt;&gt;"",ROW($N$7:$N$43)-MIN(ROW($N$7:$N$43))+1,""),""),ROW()-ROW(A$46)+1))),),"")</f>
        <v>0</v>
      </c>
      <c r="S48">
        <f t="array" ref="S48">IFERROR(CONCATENATE((INDEX($V$7:$V$43,SMALL(IF($V$7:$V$43&lt;&gt;"",IF($S$7:$S$43&lt;&gt;"",ROW($S$7:$S$43)-MIN(ROW($S$7:$S$43))+1,""),""),ROW()-ROW(A$46)+1)))," "),"")</f>
        <v>0</v>
      </c>
      <c r="T48">
        <f t="array" ref="T48">IFERROR(CONCATENATE(TEXT(INDEX($S$7:$S$43,SMALL(IF($V$7:$V$43&lt;&gt;"",IF($S$7:$S$43&lt;&gt;"",ROW($S$7:$S$43)-MIN(ROW($S$7:$S$43))+1,""),""),ROW()-ROW(A$46)+1)),"##0")," "),"")</f>
        <v>0</v>
      </c>
      <c r="U48">
        <f t="array" ref="U48">IFERROR(CONCATENATE((INDEX($A$7:$A$43,SMALL(IF($V$7:$V$43&lt;&gt;"",IF($S$7:$S$43&lt;&gt;"",ROW($S$7:$S$43)-MIN(ROW($S$7:$S$43))+1,""),""),ROW()-ROW(A$46)+1))),),"")</f>
        <v>0</v>
      </c>
      <c r="X48">
        <f t="array" ref="X48">IFERROR(CONCATENATE((INDEX($AA$7:$AA$43,SMALL(IF($AA$7:$AA$43&lt;&gt;"",IF($X$7:$X$43&lt;&gt;"",ROW($X$7:$X$43)-MIN(ROW($X$7:$X$43))+1,""),""),ROW()-ROW(A$46)+1)))," "),"")</f>
        <v>0</v>
      </c>
      <c r="Y48">
        <f t="array" ref="Y48">IFERROR(CONCATENATE(TEXT(INDEX($X$7:$X$43,SMALL(IF($AA$7:$AA$43&lt;&gt;"",IF($X$7:$X$43&lt;&gt;"",ROW($X$7:$X$43)-MIN(ROW($X$7:$X$43))+1,""),""),ROW()-ROW(A$46)+1)),"##0")," "),"")</f>
        <v>0</v>
      </c>
      <c r="Z48">
        <f t="array" ref="Z48">IFERROR(CONCATENATE((INDEX($A$7:$A$43,SMALL(IF($AA$7:$AA$43&lt;&gt;"",IF($X$7:$X$43&lt;&gt;"",ROW($X$7:$X$43)-MIN(ROW($X$7:$X$43))+1,""),""),ROW()-ROW(A$46)+1))),),"")</f>
        <v>0</v>
      </c>
      <c r="AC48">
        <f t="array" ref="AC48">IFERROR(CONCATENATE((INDEX($AF$7:$AF$43,SMALL(IF($AF$7:$AF$43&lt;&gt;"",IF($AC$7:$AC$43&lt;&gt;"",ROW($AC$7:$AC$43)-MIN(ROW($AC$7:$AC$43))+1,""),""),ROW()-ROW(A$46)+1))),","),"")</f>
        <v>0</v>
      </c>
      <c r="AD48">
        <f t="array" ref="AD48">IFERROR(CONCATENATE(TEXT(INDEX($AC$7:$AC$43,SMALL(IF($AF$7:$AF$43&lt;&gt;"",IF($AC$7:$AC$43&lt;&gt;"",ROW($AC$7:$AC$43)-MIN(ROW($AC$7:$AC$43))+1,""),""),ROW()-ROW(A$46)+1)),"##0"),","),"")</f>
        <v>0</v>
      </c>
      <c r="AE48">
        <f t="array" ref="AE48">IFERROR(CONCATENATE((INDEX($A$7:$A$43,SMALL(IF($AF$7:$AF$43&lt;&gt;"",IF($AC$7:$AC$43&lt;&gt;"",ROW($AC$7:$AC$43)-MIN(ROW($AC$7:$AC$43))+1,""),""),ROW()-ROW(A$46)+1))),),"")</f>
        <v>0</v>
      </c>
      <c r="AH48">
        <f t="array" ref="AH48">IFERROR(CONCATENATE((INDEX($AK$7:$AK$43,SMALL(IF($AK$7:$AK$43&lt;&gt;"",IF($AH$7:$AH$43&lt;&gt;"",ROW($AH$7:$AH$43)-MIN(ROW($AH$7:$AH$43))+1,""),""),ROW()-ROW(A$46)+1)))," "),"")</f>
        <v>0</v>
      </c>
      <c r="AI48">
        <f t="array" ref="AI48">IFERROR(CONCATENATE(TEXT(INDEX($AH$7:$AH$43,SMALL(IF($AK$7:$AK$43&lt;&gt;"",IF($AH$7:$AH$43&lt;&gt;"",ROW($AH$7:$AH$43)-MIN(ROW($AH$7:$AH$43))+1,""),""),ROW()-ROW(A$46)+1)),"##0")," "),"")</f>
        <v>0</v>
      </c>
      <c r="AJ48">
        <f t="array" ref="AJ48">IFERROR(CONCATENATE((INDEX($A$7:$A$43,SMALL(IF($AK$7:$AK$43&lt;&gt;"",IF($AH$7:$AH$43&lt;&gt;"",ROW($AH$7:$AH$43)-MIN(ROW($AH$7:$AH$43))+1,""),""),ROW()-ROW(A$46)+1))),),"")</f>
        <v>0</v>
      </c>
      <c r="AM48">
        <f t="array" ref="AM48">IFERROR(CONCATENATE((INDEX($AP$7:$AP$43,SMALL(IF($AP$7:$AP$43&lt;&gt;"",IF($AM$7:$AM$43&lt;&gt;"",ROW($AM$7:$AM$43)-MIN(ROW($AM$7:$AM$43))+1,""),""),ROW()-ROW(A$46)+1)))," "),"")</f>
        <v>0</v>
      </c>
      <c r="AN48">
        <f t="array" ref="AN48">IFERROR(CONCATENATE(TEXT(INDEX($AM$7:$AM$43,SMALL(IF($AP$7:$AP$43&lt;&gt;"",IF($AM$7:$AM$43&lt;&gt;"",ROW($AM$7:$AM$43)-MIN(ROW($AM$7:$AM$43))+1,""),""),ROW()-ROW(A$46)+1)),"##0")," "),"")</f>
        <v>0</v>
      </c>
      <c r="AO48">
        <f t="array" ref="AO48">IFERROR(CONCATENATE((INDEX($A$7:$A$43,SMALL(IF($AP$7:$AP$43&lt;&gt;"",IF($AM$7:$AM$43&lt;&gt;"",ROW($AM$7:$AM$43)-MIN(ROW($AM$7:$AM$43))+1,""),""),ROW()-ROW(A$46)+1))),),"")</f>
        <v>0</v>
      </c>
    </row>
    <row r="49" spans="9:41">
      <c r="I49">
        <f t="array" ref="I49">IFERROR(CONCATENATE((INDEX($L$7:$L$43,SMALL(IF($L$7:$L$43&lt;&gt;"",IF($I$7:$I$43&lt;&gt;"",ROW($I$7:$I$43)-MIN(ROW($I$7:$I$43))+1,""),""),ROW()-ROW(A$46)+1))),","),"")</f>
        <v>0</v>
      </c>
      <c r="J49">
        <f t="array" ref="J49">IFERROR(CONCATENATE(TEXT(INDEX($I$7:$I$43,SMALL(IF($L$7:$L$43&lt;&gt;"",IF($I$7:$I$43&lt;&gt;"",ROW($I$7:$I$43)-MIN(ROW($I$7:$I$43))+1,""),""),ROW()-ROW(A$46)+1)),"##0"),","),"")</f>
        <v>0</v>
      </c>
      <c r="K49">
        <f t="array" ref="K49">IFERROR(CONCATENATE((INDEX($A$7:$A$43,SMALL(IF($L$7:$L$43&lt;&gt;"",IF($I$7:$I$43&lt;&gt;"",ROW($I$7:$I$43)-MIN(ROW($I$7:$I$43))+1,""),""),ROW()-ROW(A$46)+1))),),"")</f>
        <v>0</v>
      </c>
      <c r="N49">
        <f t="array" ref="N49">IFERROR(CONCATENATE(TEXT(INDEX($N$7:$N$43,SMALL(IF($Q$7:$Q$43&lt;&gt;"",IF($N$7:$N$43&lt;&gt;"",ROW($N$7:$N$43)-MIN(ROW($N$7:$N$43))+1,""),""),ROW()-ROW(A$46)+1)),"##0"),","),"")</f>
        <v>0</v>
      </c>
      <c r="O49">
        <f t="array" ref="O49">IFERROR(CONCATENATE((INDEX($Q$7:$Q$43,SMALL(IF($Q$7:$Q$43&lt;&gt;"",IF($N$7:$N$43&lt;&gt;"",ROW($N$7:$N$43)-MIN(ROW($N$7:$N$43))+1,""),""),ROW()-ROW(A$46)+1))),","),"")</f>
        <v>0</v>
      </c>
      <c r="P49">
        <f t="array" ref="P49">IFERROR(CONCATENATE((INDEX($A$7:$A$43,SMALL(IF($Q$7:$Q$43&lt;&gt;"",IF($N$7:$N$43&lt;&gt;"",ROW($N$7:$N$43)-MIN(ROW($N$7:$N$43))+1,""),""),ROW()-ROW(A$46)+1))),),"")</f>
        <v>0</v>
      </c>
      <c r="S49">
        <f t="array" ref="S49">IFERROR(CONCATENATE((INDEX($V$7:$V$43,SMALL(IF($V$7:$V$43&lt;&gt;"",IF($S$7:$S$43&lt;&gt;"",ROW($S$7:$S$43)-MIN(ROW($S$7:$S$43))+1,""),""),ROW()-ROW(A$46)+1)))," "),"")</f>
        <v>0</v>
      </c>
      <c r="T49">
        <f t="array" ref="T49">IFERROR(CONCATENATE(TEXT(INDEX($S$7:$S$43,SMALL(IF($V$7:$V$43&lt;&gt;"",IF($S$7:$S$43&lt;&gt;"",ROW($S$7:$S$43)-MIN(ROW($S$7:$S$43))+1,""),""),ROW()-ROW(A$46)+1)),"##0")," "),"")</f>
        <v>0</v>
      </c>
      <c r="U49">
        <f t="array" ref="U49">IFERROR(CONCATENATE((INDEX($A$7:$A$43,SMALL(IF($V$7:$V$43&lt;&gt;"",IF($S$7:$S$43&lt;&gt;"",ROW($S$7:$S$43)-MIN(ROW($S$7:$S$43))+1,""),""),ROW()-ROW(A$46)+1))),),"")</f>
        <v>0</v>
      </c>
      <c r="X49">
        <f t="array" ref="X49">IFERROR(CONCATENATE((INDEX($AA$7:$AA$43,SMALL(IF($AA$7:$AA$43&lt;&gt;"",IF($X$7:$X$43&lt;&gt;"",ROW($X$7:$X$43)-MIN(ROW($X$7:$X$43))+1,""),""),ROW()-ROW(A$46)+1)))," "),"")</f>
        <v>0</v>
      </c>
      <c r="Y49">
        <f t="array" ref="Y49">IFERROR(CONCATENATE(TEXT(INDEX($X$7:$X$43,SMALL(IF($AA$7:$AA$43&lt;&gt;"",IF($X$7:$X$43&lt;&gt;"",ROW($X$7:$X$43)-MIN(ROW($X$7:$X$43))+1,""),""),ROW()-ROW(A$46)+1)),"##0")," "),"")</f>
        <v>0</v>
      </c>
      <c r="Z49">
        <f t="array" ref="Z49">IFERROR(CONCATENATE((INDEX($A$7:$A$43,SMALL(IF($AA$7:$AA$43&lt;&gt;"",IF($X$7:$X$43&lt;&gt;"",ROW($X$7:$X$43)-MIN(ROW($X$7:$X$43))+1,""),""),ROW()-ROW(A$46)+1))),),"")</f>
        <v>0</v>
      </c>
      <c r="AC49">
        <f t="array" ref="AC49">IFERROR(CONCATENATE((INDEX($AF$7:$AF$43,SMALL(IF($AF$7:$AF$43&lt;&gt;"",IF($AC$7:$AC$43&lt;&gt;"",ROW($AC$7:$AC$43)-MIN(ROW($AC$7:$AC$43))+1,""),""),ROW()-ROW(A$46)+1))),","),"")</f>
        <v>0</v>
      </c>
      <c r="AD49">
        <f t="array" ref="AD49">IFERROR(CONCATENATE(TEXT(INDEX($AC$7:$AC$43,SMALL(IF($AF$7:$AF$43&lt;&gt;"",IF($AC$7:$AC$43&lt;&gt;"",ROW($AC$7:$AC$43)-MIN(ROW($AC$7:$AC$43))+1,""),""),ROW()-ROW(A$46)+1)),"##0"),","),"")</f>
        <v>0</v>
      </c>
      <c r="AE49">
        <f t="array" ref="AE49">IFERROR(CONCATENATE((INDEX($A$7:$A$43,SMALL(IF($AF$7:$AF$43&lt;&gt;"",IF($AC$7:$AC$43&lt;&gt;"",ROW($AC$7:$AC$43)-MIN(ROW($AC$7:$AC$43))+1,""),""),ROW()-ROW(A$46)+1))),),"")</f>
        <v>0</v>
      </c>
      <c r="AH49">
        <f t="array" ref="AH49">IFERROR(CONCATENATE((INDEX($AK$7:$AK$43,SMALL(IF($AK$7:$AK$43&lt;&gt;"",IF($AH$7:$AH$43&lt;&gt;"",ROW($AH$7:$AH$43)-MIN(ROW($AH$7:$AH$43))+1,""),""),ROW()-ROW(A$46)+1)))," "),"")</f>
        <v>0</v>
      </c>
      <c r="AI49">
        <f t="array" ref="AI49">IFERROR(CONCATENATE(TEXT(INDEX($AH$7:$AH$43,SMALL(IF($AK$7:$AK$43&lt;&gt;"",IF($AH$7:$AH$43&lt;&gt;"",ROW($AH$7:$AH$43)-MIN(ROW($AH$7:$AH$43))+1,""),""),ROW()-ROW(A$46)+1)),"##0")," "),"")</f>
        <v>0</v>
      </c>
      <c r="AJ49">
        <f t="array" ref="AJ49">IFERROR(CONCATENATE((INDEX($A$7:$A$43,SMALL(IF($AK$7:$AK$43&lt;&gt;"",IF($AH$7:$AH$43&lt;&gt;"",ROW($AH$7:$AH$43)-MIN(ROW($AH$7:$AH$43))+1,""),""),ROW()-ROW(A$46)+1))),),"")</f>
        <v>0</v>
      </c>
      <c r="AM49">
        <f t="array" ref="AM49">IFERROR(CONCATENATE((INDEX($AP$7:$AP$43,SMALL(IF($AP$7:$AP$43&lt;&gt;"",IF($AM$7:$AM$43&lt;&gt;"",ROW($AM$7:$AM$43)-MIN(ROW($AM$7:$AM$43))+1,""),""),ROW()-ROW(A$46)+1)))," "),"")</f>
        <v>0</v>
      </c>
      <c r="AN49">
        <f t="array" ref="AN49">IFERROR(CONCATENATE(TEXT(INDEX($AM$7:$AM$43,SMALL(IF($AP$7:$AP$43&lt;&gt;"",IF($AM$7:$AM$43&lt;&gt;"",ROW($AM$7:$AM$43)-MIN(ROW($AM$7:$AM$43))+1,""),""),ROW()-ROW(A$46)+1)),"##0")," "),"")</f>
        <v>0</v>
      </c>
      <c r="AO49">
        <f t="array" ref="AO49">IFERROR(CONCATENATE((INDEX($A$7:$A$43,SMALL(IF($AP$7:$AP$43&lt;&gt;"",IF($AM$7:$AM$43&lt;&gt;"",ROW($AM$7:$AM$43)-MIN(ROW($AM$7:$AM$43))+1,""),""),ROW()-ROW(A$46)+1))),),"")</f>
        <v>0</v>
      </c>
    </row>
    <row r="50" spans="9:41">
      <c r="I50">
        <f t="array" ref="I50">IFERROR(CONCATENATE((INDEX($L$7:$L$43,SMALL(IF($L$7:$L$43&lt;&gt;"",IF($I$7:$I$43&lt;&gt;"",ROW($I$7:$I$43)-MIN(ROW($I$7:$I$43))+1,""),""),ROW()-ROW(A$46)+1))),","),"")</f>
        <v>0</v>
      </c>
      <c r="J50">
        <f t="array" ref="J50">IFERROR(CONCATENATE(TEXT(INDEX($I$7:$I$43,SMALL(IF($L$7:$L$43&lt;&gt;"",IF($I$7:$I$43&lt;&gt;"",ROW($I$7:$I$43)-MIN(ROW($I$7:$I$43))+1,""),""),ROW()-ROW(A$46)+1)),"##0"),","),"")</f>
        <v>0</v>
      </c>
      <c r="K50">
        <f t="array" ref="K50">IFERROR(CONCATENATE((INDEX($A$7:$A$43,SMALL(IF($L$7:$L$43&lt;&gt;"",IF($I$7:$I$43&lt;&gt;"",ROW($I$7:$I$43)-MIN(ROW($I$7:$I$43))+1,""),""),ROW()-ROW(A$46)+1))),),"")</f>
        <v>0</v>
      </c>
      <c r="N50">
        <f t="array" ref="N50">IFERROR(CONCATENATE(TEXT(INDEX($N$7:$N$43,SMALL(IF($Q$7:$Q$43&lt;&gt;"",IF($N$7:$N$43&lt;&gt;"",ROW($N$7:$N$43)-MIN(ROW($N$7:$N$43))+1,""),""),ROW()-ROW(A$46)+1)),"##0"),","),"")</f>
        <v>0</v>
      </c>
      <c r="O50">
        <f t="array" ref="O50">IFERROR(CONCATENATE((INDEX($Q$7:$Q$43,SMALL(IF($Q$7:$Q$43&lt;&gt;"",IF($N$7:$N$43&lt;&gt;"",ROW($N$7:$N$43)-MIN(ROW($N$7:$N$43))+1,""),""),ROW()-ROW(A$46)+1))),","),"")</f>
        <v>0</v>
      </c>
      <c r="P50">
        <f t="array" ref="P50">IFERROR(CONCATENATE((INDEX($A$7:$A$43,SMALL(IF($Q$7:$Q$43&lt;&gt;"",IF($N$7:$N$43&lt;&gt;"",ROW($N$7:$N$43)-MIN(ROW($N$7:$N$43))+1,""),""),ROW()-ROW(A$46)+1))),),"")</f>
        <v>0</v>
      </c>
      <c r="S50">
        <f t="array" ref="S50">IFERROR(CONCATENATE((INDEX($V$7:$V$43,SMALL(IF($V$7:$V$43&lt;&gt;"",IF($S$7:$S$43&lt;&gt;"",ROW($S$7:$S$43)-MIN(ROW($S$7:$S$43))+1,""),""),ROW()-ROW(A$46)+1)))," "),"")</f>
        <v>0</v>
      </c>
      <c r="T50">
        <f t="array" ref="T50">IFERROR(CONCATENATE(TEXT(INDEX($S$7:$S$43,SMALL(IF($V$7:$V$43&lt;&gt;"",IF($S$7:$S$43&lt;&gt;"",ROW($S$7:$S$43)-MIN(ROW($S$7:$S$43))+1,""),""),ROW()-ROW(A$46)+1)),"##0")," "),"")</f>
        <v>0</v>
      </c>
      <c r="U50">
        <f t="array" ref="U50">IFERROR(CONCATENATE((INDEX($A$7:$A$43,SMALL(IF($V$7:$V$43&lt;&gt;"",IF($S$7:$S$43&lt;&gt;"",ROW($S$7:$S$43)-MIN(ROW($S$7:$S$43))+1,""),""),ROW()-ROW(A$46)+1))),),"")</f>
        <v>0</v>
      </c>
      <c r="X50">
        <f t="array" ref="X50">IFERROR(CONCATENATE((INDEX($AA$7:$AA$43,SMALL(IF($AA$7:$AA$43&lt;&gt;"",IF($X$7:$X$43&lt;&gt;"",ROW($X$7:$X$43)-MIN(ROW($X$7:$X$43))+1,""),""),ROW()-ROW(A$46)+1)))," "),"")</f>
        <v>0</v>
      </c>
      <c r="Y50">
        <f t="array" ref="Y50">IFERROR(CONCATENATE(TEXT(INDEX($X$7:$X$43,SMALL(IF($AA$7:$AA$43&lt;&gt;"",IF($X$7:$X$43&lt;&gt;"",ROW($X$7:$X$43)-MIN(ROW($X$7:$X$43))+1,""),""),ROW()-ROW(A$46)+1)),"##0")," "),"")</f>
        <v>0</v>
      </c>
      <c r="Z50">
        <f t="array" ref="Z50">IFERROR(CONCATENATE((INDEX($A$7:$A$43,SMALL(IF($AA$7:$AA$43&lt;&gt;"",IF($X$7:$X$43&lt;&gt;"",ROW($X$7:$X$43)-MIN(ROW($X$7:$X$43))+1,""),""),ROW()-ROW(A$46)+1))),),"")</f>
        <v>0</v>
      </c>
      <c r="AC50">
        <f t="array" ref="AC50">IFERROR(CONCATENATE((INDEX($AF$7:$AF$43,SMALL(IF($AF$7:$AF$43&lt;&gt;"",IF($AC$7:$AC$43&lt;&gt;"",ROW($AC$7:$AC$43)-MIN(ROW($AC$7:$AC$43))+1,""),""),ROW()-ROW(A$46)+1))),","),"")</f>
        <v>0</v>
      </c>
      <c r="AD50">
        <f t="array" ref="AD50">IFERROR(CONCATENATE(TEXT(INDEX($AC$7:$AC$43,SMALL(IF($AF$7:$AF$43&lt;&gt;"",IF($AC$7:$AC$43&lt;&gt;"",ROW($AC$7:$AC$43)-MIN(ROW($AC$7:$AC$43))+1,""),""),ROW()-ROW(A$46)+1)),"##0"),","),"")</f>
        <v>0</v>
      </c>
      <c r="AE50">
        <f t="array" ref="AE50">IFERROR(CONCATENATE((INDEX($A$7:$A$43,SMALL(IF($AF$7:$AF$43&lt;&gt;"",IF($AC$7:$AC$43&lt;&gt;"",ROW($AC$7:$AC$43)-MIN(ROW($AC$7:$AC$43))+1,""),""),ROW()-ROW(A$46)+1))),),"")</f>
        <v>0</v>
      </c>
      <c r="AH50">
        <f t="array" ref="AH50">IFERROR(CONCATENATE((INDEX($AK$7:$AK$43,SMALL(IF($AK$7:$AK$43&lt;&gt;"",IF($AH$7:$AH$43&lt;&gt;"",ROW($AH$7:$AH$43)-MIN(ROW($AH$7:$AH$43))+1,""),""),ROW()-ROW(A$46)+1)))," "),"")</f>
        <v>0</v>
      </c>
      <c r="AI50">
        <f t="array" ref="AI50">IFERROR(CONCATENATE(TEXT(INDEX($AH$7:$AH$43,SMALL(IF($AK$7:$AK$43&lt;&gt;"",IF($AH$7:$AH$43&lt;&gt;"",ROW($AH$7:$AH$43)-MIN(ROW($AH$7:$AH$43))+1,""),""),ROW()-ROW(A$46)+1)),"##0")," "),"")</f>
        <v>0</v>
      </c>
      <c r="AJ50">
        <f t="array" ref="AJ50">IFERROR(CONCATENATE((INDEX($A$7:$A$43,SMALL(IF($AK$7:$AK$43&lt;&gt;"",IF($AH$7:$AH$43&lt;&gt;"",ROW($AH$7:$AH$43)-MIN(ROW($AH$7:$AH$43))+1,""),""),ROW()-ROW(A$46)+1))),),"")</f>
        <v>0</v>
      </c>
      <c r="AM50">
        <f t="array" ref="AM50">IFERROR(CONCATENATE((INDEX($AP$7:$AP$43,SMALL(IF($AP$7:$AP$43&lt;&gt;"",IF($AM$7:$AM$43&lt;&gt;"",ROW($AM$7:$AM$43)-MIN(ROW($AM$7:$AM$43))+1,""),""),ROW()-ROW(A$46)+1)))," "),"")</f>
        <v>0</v>
      </c>
      <c r="AN50">
        <f t="array" ref="AN50">IFERROR(CONCATENATE(TEXT(INDEX($AM$7:$AM$43,SMALL(IF($AP$7:$AP$43&lt;&gt;"",IF($AM$7:$AM$43&lt;&gt;"",ROW($AM$7:$AM$43)-MIN(ROW($AM$7:$AM$43))+1,""),""),ROW()-ROW(A$46)+1)),"##0")," "),"")</f>
        <v>0</v>
      </c>
      <c r="AO50">
        <f t="array" ref="AO50">IFERROR(CONCATENATE((INDEX($A$7:$A$43,SMALL(IF($AP$7:$AP$43&lt;&gt;"",IF($AM$7:$AM$43&lt;&gt;"",ROW($AM$7:$AM$43)-MIN(ROW($AM$7:$AM$43))+1,""),""),ROW()-ROW(A$46)+1))),),"")</f>
        <v>0</v>
      </c>
    </row>
    <row r="51" spans="9:41">
      <c r="I51">
        <f t="array" ref="I51">IFERROR(CONCATENATE((INDEX($L$7:$L$43,SMALL(IF($L$7:$L$43&lt;&gt;"",IF($I$7:$I$43&lt;&gt;"",ROW($I$7:$I$43)-MIN(ROW($I$7:$I$43))+1,""),""),ROW()-ROW(A$46)+1))),","),"")</f>
        <v>0</v>
      </c>
      <c r="J51">
        <f t="array" ref="J51">IFERROR(CONCATENATE(TEXT(INDEX($I$7:$I$43,SMALL(IF($L$7:$L$43&lt;&gt;"",IF($I$7:$I$43&lt;&gt;"",ROW($I$7:$I$43)-MIN(ROW($I$7:$I$43))+1,""),""),ROW()-ROW(A$46)+1)),"##0"),","),"")</f>
        <v>0</v>
      </c>
      <c r="K51">
        <f t="array" ref="K51">IFERROR(CONCATENATE((INDEX($A$7:$A$43,SMALL(IF($L$7:$L$43&lt;&gt;"",IF($I$7:$I$43&lt;&gt;"",ROW($I$7:$I$43)-MIN(ROW($I$7:$I$43))+1,""),""),ROW()-ROW(A$46)+1))),),"")</f>
        <v>0</v>
      </c>
      <c r="N51">
        <f t="array" ref="N51">IFERROR(CONCATENATE(TEXT(INDEX($N$7:$N$43,SMALL(IF($Q$7:$Q$43&lt;&gt;"",IF($N$7:$N$43&lt;&gt;"",ROW($N$7:$N$43)-MIN(ROW($N$7:$N$43))+1,""),""),ROW()-ROW(A$46)+1)),"##0"),","),"")</f>
        <v>0</v>
      </c>
      <c r="O51">
        <f t="array" ref="O51">IFERROR(CONCATENATE((INDEX($Q$7:$Q$43,SMALL(IF($Q$7:$Q$43&lt;&gt;"",IF($N$7:$N$43&lt;&gt;"",ROW($N$7:$N$43)-MIN(ROW($N$7:$N$43))+1,""),""),ROW()-ROW(A$46)+1))),","),"")</f>
        <v>0</v>
      </c>
      <c r="P51">
        <f t="array" ref="P51">IFERROR(CONCATENATE((INDEX($A$7:$A$43,SMALL(IF($Q$7:$Q$43&lt;&gt;"",IF($N$7:$N$43&lt;&gt;"",ROW($N$7:$N$43)-MIN(ROW($N$7:$N$43))+1,""),""),ROW()-ROW(A$46)+1))),),"")</f>
        <v>0</v>
      </c>
      <c r="S51">
        <f t="array" ref="S51">IFERROR(CONCATENATE((INDEX($V$7:$V$43,SMALL(IF($V$7:$V$43&lt;&gt;"",IF($S$7:$S$43&lt;&gt;"",ROW($S$7:$S$43)-MIN(ROW($S$7:$S$43))+1,""),""),ROW()-ROW(A$46)+1)))," "),"")</f>
        <v>0</v>
      </c>
      <c r="T51">
        <f t="array" ref="T51">IFERROR(CONCATENATE(TEXT(INDEX($S$7:$S$43,SMALL(IF($V$7:$V$43&lt;&gt;"",IF($S$7:$S$43&lt;&gt;"",ROW($S$7:$S$43)-MIN(ROW($S$7:$S$43))+1,""),""),ROW()-ROW(A$46)+1)),"##0")," "),"")</f>
        <v>0</v>
      </c>
      <c r="U51">
        <f t="array" ref="U51">IFERROR(CONCATENATE((INDEX($A$7:$A$43,SMALL(IF($V$7:$V$43&lt;&gt;"",IF($S$7:$S$43&lt;&gt;"",ROW($S$7:$S$43)-MIN(ROW($S$7:$S$43))+1,""),""),ROW()-ROW(A$46)+1))),),"")</f>
        <v>0</v>
      </c>
      <c r="X51">
        <f t="array" ref="X51">IFERROR(CONCATENATE((INDEX($AA$7:$AA$43,SMALL(IF($AA$7:$AA$43&lt;&gt;"",IF($X$7:$X$43&lt;&gt;"",ROW($X$7:$X$43)-MIN(ROW($X$7:$X$43))+1,""),""),ROW()-ROW(A$46)+1)))," "),"")</f>
        <v>0</v>
      </c>
      <c r="Y51">
        <f t="array" ref="Y51">IFERROR(CONCATENATE(TEXT(INDEX($X$7:$X$43,SMALL(IF($AA$7:$AA$43&lt;&gt;"",IF($X$7:$X$43&lt;&gt;"",ROW($X$7:$X$43)-MIN(ROW($X$7:$X$43))+1,""),""),ROW()-ROW(A$46)+1)),"##0")," "),"")</f>
        <v>0</v>
      </c>
      <c r="Z51">
        <f t="array" ref="Z51">IFERROR(CONCATENATE((INDEX($A$7:$A$43,SMALL(IF($AA$7:$AA$43&lt;&gt;"",IF($X$7:$X$43&lt;&gt;"",ROW($X$7:$X$43)-MIN(ROW($X$7:$X$43))+1,""),""),ROW()-ROW(A$46)+1))),),"")</f>
        <v>0</v>
      </c>
      <c r="AC51">
        <f t="array" ref="AC51">IFERROR(CONCATENATE((INDEX($AF$7:$AF$43,SMALL(IF($AF$7:$AF$43&lt;&gt;"",IF($AC$7:$AC$43&lt;&gt;"",ROW($AC$7:$AC$43)-MIN(ROW($AC$7:$AC$43))+1,""),""),ROW()-ROW(A$46)+1))),","),"")</f>
        <v>0</v>
      </c>
      <c r="AD51">
        <f t="array" ref="AD51">IFERROR(CONCATENATE(TEXT(INDEX($AC$7:$AC$43,SMALL(IF($AF$7:$AF$43&lt;&gt;"",IF($AC$7:$AC$43&lt;&gt;"",ROW($AC$7:$AC$43)-MIN(ROW($AC$7:$AC$43))+1,""),""),ROW()-ROW(A$46)+1)),"##0"),","),"")</f>
        <v>0</v>
      </c>
      <c r="AE51">
        <f t="array" ref="AE51">IFERROR(CONCATENATE((INDEX($A$7:$A$43,SMALL(IF($AF$7:$AF$43&lt;&gt;"",IF($AC$7:$AC$43&lt;&gt;"",ROW($AC$7:$AC$43)-MIN(ROW($AC$7:$AC$43))+1,""),""),ROW()-ROW(A$46)+1))),),"")</f>
        <v>0</v>
      </c>
      <c r="AH51">
        <f t="array" ref="AH51">IFERROR(CONCATENATE((INDEX($AK$7:$AK$43,SMALL(IF($AK$7:$AK$43&lt;&gt;"",IF($AH$7:$AH$43&lt;&gt;"",ROW($AH$7:$AH$43)-MIN(ROW($AH$7:$AH$43))+1,""),""),ROW()-ROW(A$46)+1)))," "),"")</f>
        <v>0</v>
      </c>
      <c r="AI51">
        <f t="array" ref="AI51">IFERROR(CONCATENATE(TEXT(INDEX($AH$7:$AH$43,SMALL(IF($AK$7:$AK$43&lt;&gt;"",IF($AH$7:$AH$43&lt;&gt;"",ROW($AH$7:$AH$43)-MIN(ROW($AH$7:$AH$43))+1,""),""),ROW()-ROW(A$46)+1)),"##0")," "),"")</f>
        <v>0</v>
      </c>
      <c r="AJ51">
        <f t="array" ref="AJ51">IFERROR(CONCATENATE((INDEX($A$7:$A$43,SMALL(IF($AK$7:$AK$43&lt;&gt;"",IF($AH$7:$AH$43&lt;&gt;"",ROW($AH$7:$AH$43)-MIN(ROW($AH$7:$AH$43))+1,""),""),ROW()-ROW(A$46)+1))),),"")</f>
        <v>0</v>
      </c>
      <c r="AM51">
        <f t="array" ref="AM51">IFERROR(CONCATENATE((INDEX($AP$7:$AP$43,SMALL(IF($AP$7:$AP$43&lt;&gt;"",IF($AM$7:$AM$43&lt;&gt;"",ROW($AM$7:$AM$43)-MIN(ROW($AM$7:$AM$43))+1,""),""),ROW()-ROW(A$46)+1)))," "),"")</f>
        <v>0</v>
      </c>
      <c r="AN51">
        <f t="array" ref="AN51">IFERROR(CONCATENATE(TEXT(INDEX($AM$7:$AM$43,SMALL(IF($AP$7:$AP$43&lt;&gt;"",IF($AM$7:$AM$43&lt;&gt;"",ROW($AM$7:$AM$43)-MIN(ROW($AM$7:$AM$43))+1,""),""),ROW()-ROW(A$46)+1)),"##0")," "),"")</f>
        <v>0</v>
      </c>
      <c r="AO51">
        <f t="array" ref="AO51">IFERROR(CONCATENATE((INDEX($A$7:$A$43,SMALL(IF($AP$7:$AP$43&lt;&gt;"",IF($AM$7:$AM$43&lt;&gt;"",ROW($AM$7:$AM$43)-MIN(ROW($AM$7:$AM$43))+1,""),""),ROW()-ROW(A$46)+1))),),"")</f>
        <v>0</v>
      </c>
    </row>
    <row r="52" spans="9:41">
      <c r="I52">
        <f t="array" ref="I52">IFERROR(CONCATENATE((INDEX($L$7:$L$43,SMALL(IF($L$7:$L$43&lt;&gt;"",IF($I$7:$I$43&lt;&gt;"",ROW($I$7:$I$43)-MIN(ROW($I$7:$I$43))+1,""),""),ROW()-ROW(A$46)+1))),","),"")</f>
        <v>0</v>
      </c>
      <c r="J52">
        <f t="array" ref="J52">IFERROR(CONCATENATE(TEXT(INDEX($I$7:$I$43,SMALL(IF($L$7:$L$43&lt;&gt;"",IF($I$7:$I$43&lt;&gt;"",ROW($I$7:$I$43)-MIN(ROW($I$7:$I$43))+1,""),""),ROW()-ROW(A$46)+1)),"##0"),","),"")</f>
        <v>0</v>
      </c>
      <c r="K52">
        <f t="array" ref="K52">IFERROR(CONCATENATE((INDEX($A$7:$A$43,SMALL(IF($L$7:$L$43&lt;&gt;"",IF($I$7:$I$43&lt;&gt;"",ROW($I$7:$I$43)-MIN(ROW($I$7:$I$43))+1,""),""),ROW()-ROW(A$46)+1))),),"")</f>
        <v>0</v>
      </c>
      <c r="N52">
        <f t="array" ref="N52">IFERROR(CONCATENATE(TEXT(INDEX($N$7:$N$43,SMALL(IF($Q$7:$Q$43&lt;&gt;"",IF($N$7:$N$43&lt;&gt;"",ROW($N$7:$N$43)-MIN(ROW($N$7:$N$43))+1,""),""),ROW()-ROW(A$46)+1)),"##0"),","),"")</f>
        <v>0</v>
      </c>
      <c r="O52">
        <f t="array" ref="O52">IFERROR(CONCATENATE((INDEX($Q$7:$Q$43,SMALL(IF($Q$7:$Q$43&lt;&gt;"",IF($N$7:$N$43&lt;&gt;"",ROW($N$7:$N$43)-MIN(ROW($N$7:$N$43))+1,""),""),ROW()-ROW(A$46)+1))),","),"")</f>
        <v>0</v>
      </c>
      <c r="P52">
        <f t="array" ref="P52">IFERROR(CONCATENATE((INDEX($A$7:$A$43,SMALL(IF($Q$7:$Q$43&lt;&gt;"",IF($N$7:$N$43&lt;&gt;"",ROW($N$7:$N$43)-MIN(ROW($N$7:$N$43))+1,""),""),ROW()-ROW(A$46)+1))),),"")</f>
        <v>0</v>
      </c>
      <c r="S52">
        <f t="array" ref="S52">IFERROR(CONCATENATE((INDEX($V$7:$V$43,SMALL(IF($V$7:$V$43&lt;&gt;"",IF($S$7:$S$43&lt;&gt;"",ROW($S$7:$S$43)-MIN(ROW($S$7:$S$43))+1,""),""),ROW()-ROW(A$46)+1)))," "),"")</f>
        <v>0</v>
      </c>
      <c r="T52">
        <f t="array" ref="T52">IFERROR(CONCATENATE(TEXT(INDEX($S$7:$S$43,SMALL(IF($V$7:$V$43&lt;&gt;"",IF($S$7:$S$43&lt;&gt;"",ROW($S$7:$S$43)-MIN(ROW($S$7:$S$43))+1,""),""),ROW()-ROW(A$46)+1)),"##0")," "),"")</f>
        <v>0</v>
      </c>
      <c r="U52">
        <f t="array" ref="U52">IFERROR(CONCATENATE((INDEX($A$7:$A$43,SMALL(IF($V$7:$V$43&lt;&gt;"",IF($S$7:$S$43&lt;&gt;"",ROW($S$7:$S$43)-MIN(ROW($S$7:$S$43))+1,""),""),ROW()-ROW(A$46)+1))),),"")</f>
        <v>0</v>
      </c>
      <c r="X52">
        <f t="array" ref="X52">IFERROR(CONCATENATE((INDEX($AA$7:$AA$43,SMALL(IF($AA$7:$AA$43&lt;&gt;"",IF($X$7:$X$43&lt;&gt;"",ROW($X$7:$X$43)-MIN(ROW($X$7:$X$43))+1,""),""),ROW()-ROW(A$46)+1)))," "),"")</f>
        <v>0</v>
      </c>
      <c r="Y52">
        <f t="array" ref="Y52">IFERROR(CONCATENATE(TEXT(INDEX($X$7:$X$43,SMALL(IF($AA$7:$AA$43&lt;&gt;"",IF($X$7:$X$43&lt;&gt;"",ROW($X$7:$X$43)-MIN(ROW($X$7:$X$43))+1,""),""),ROW()-ROW(A$46)+1)),"##0")," "),"")</f>
        <v>0</v>
      </c>
      <c r="Z52">
        <f t="array" ref="Z52">IFERROR(CONCATENATE((INDEX($A$7:$A$43,SMALL(IF($AA$7:$AA$43&lt;&gt;"",IF($X$7:$X$43&lt;&gt;"",ROW($X$7:$X$43)-MIN(ROW($X$7:$X$43))+1,""),""),ROW()-ROW(A$46)+1))),),"")</f>
        <v>0</v>
      </c>
      <c r="AC52">
        <f t="array" ref="AC52">IFERROR(CONCATENATE((INDEX($AF$7:$AF$43,SMALL(IF($AF$7:$AF$43&lt;&gt;"",IF($AC$7:$AC$43&lt;&gt;"",ROW($AC$7:$AC$43)-MIN(ROW($AC$7:$AC$43))+1,""),""),ROW()-ROW(A$46)+1))),","),"")</f>
        <v>0</v>
      </c>
      <c r="AD52">
        <f t="array" ref="AD52">IFERROR(CONCATENATE(TEXT(INDEX($AC$7:$AC$43,SMALL(IF($AF$7:$AF$43&lt;&gt;"",IF($AC$7:$AC$43&lt;&gt;"",ROW($AC$7:$AC$43)-MIN(ROW($AC$7:$AC$43))+1,""),""),ROW()-ROW(A$46)+1)),"##0"),","),"")</f>
        <v>0</v>
      </c>
      <c r="AE52">
        <f t="array" ref="AE52">IFERROR(CONCATENATE((INDEX($A$7:$A$43,SMALL(IF($AF$7:$AF$43&lt;&gt;"",IF($AC$7:$AC$43&lt;&gt;"",ROW($AC$7:$AC$43)-MIN(ROW($AC$7:$AC$43))+1,""),""),ROW()-ROW(A$46)+1))),),"")</f>
        <v>0</v>
      </c>
      <c r="AH52">
        <f t="array" ref="AH52">IFERROR(CONCATENATE((INDEX($AK$7:$AK$43,SMALL(IF($AK$7:$AK$43&lt;&gt;"",IF($AH$7:$AH$43&lt;&gt;"",ROW($AH$7:$AH$43)-MIN(ROW($AH$7:$AH$43))+1,""),""),ROW()-ROW(A$46)+1)))," "),"")</f>
        <v>0</v>
      </c>
      <c r="AI52">
        <f t="array" ref="AI52">IFERROR(CONCATENATE(TEXT(INDEX($AH$7:$AH$43,SMALL(IF($AK$7:$AK$43&lt;&gt;"",IF($AH$7:$AH$43&lt;&gt;"",ROW($AH$7:$AH$43)-MIN(ROW($AH$7:$AH$43))+1,""),""),ROW()-ROW(A$46)+1)),"##0")," "),"")</f>
        <v>0</v>
      </c>
      <c r="AJ52">
        <f t="array" ref="AJ52">IFERROR(CONCATENATE((INDEX($A$7:$A$43,SMALL(IF($AK$7:$AK$43&lt;&gt;"",IF($AH$7:$AH$43&lt;&gt;"",ROW($AH$7:$AH$43)-MIN(ROW($AH$7:$AH$43))+1,""),""),ROW()-ROW(A$46)+1))),),"")</f>
        <v>0</v>
      </c>
      <c r="AM52">
        <f t="array" ref="AM52">IFERROR(CONCATENATE((INDEX($AP$7:$AP$43,SMALL(IF($AP$7:$AP$43&lt;&gt;"",IF($AM$7:$AM$43&lt;&gt;"",ROW($AM$7:$AM$43)-MIN(ROW($AM$7:$AM$43))+1,""),""),ROW()-ROW(A$46)+1)))," "),"")</f>
        <v>0</v>
      </c>
      <c r="AN52">
        <f t="array" ref="AN52">IFERROR(CONCATENATE(TEXT(INDEX($AM$7:$AM$43,SMALL(IF($AP$7:$AP$43&lt;&gt;"",IF($AM$7:$AM$43&lt;&gt;"",ROW($AM$7:$AM$43)-MIN(ROW($AM$7:$AM$43))+1,""),""),ROW()-ROW(A$46)+1)),"##0")," "),"")</f>
        <v>0</v>
      </c>
      <c r="AO52">
        <f t="array" ref="AO52">IFERROR(CONCATENATE((INDEX($A$7:$A$43,SMALL(IF($AP$7:$AP$43&lt;&gt;"",IF($AM$7:$AM$43&lt;&gt;"",ROW($AM$7:$AM$43)-MIN(ROW($AM$7:$AM$43))+1,""),""),ROW()-ROW(A$46)+1))),),"")</f>
        <v>0</v>
      </c>
    </row>
    <row r="53" spans="9:41">
      <c r="I53">
        <f t="array" ref="I53">IFERROR(CONCATENATE((INDEX($L$7:$L$43,SMALL(IF($L$7:$L$43&lt;&gt;"",IF($I$7:$I$43&lt;&gt;"",ROW($I$7:$I$43)-MIN(ROW($I$7:$I$43))+1,""),""),ROW()-ROW(A$46)+1))),","),"")</f>
        <v>0</v>
      </c>
      <c r="J53">
        <f t="array" ref="J53">IFERROR(CONCATENATE(TEXT(INDEX($I$7:$I$43,SMALL(IF($L$7:$L$43&lt;&gt;"",IF($I$7:$I$43&lt;&gt;"",ROW($I$7:$I$43)-MIN(ROW($I$7:$I$43))+1,""),""),ROW()-ROW(A$46)+1)),"##0"),","),"")</f>
        <v>0</v>
      </c>
      <c r="K53">
        <f t="array" ref="K53">IFERROR(CONCATENATE((INDEX($A$7:$A$43,SMALL(IF($L$7:$L$43&lt;&gt;"",IF($I$7:$I$43&lt;&gt;"",ROW($I$7:$I$43)-MIN(ROW($I$7:$I$43))+1,""),""),ROW()-ROW(A$46)+1))),),"")</f>
        <v>0</v>
      </c>
      <c r="N53">
        <f t="array" ref="N53">IFERROR(CONCATENATE(TEXT(INDEX($N$7:$N$43,SMALL(IF($Q$7:$Q$43&lt;&gt;"",IF($N$7:$N$43&lt;&gt;"",ROW($N$7:$N$43)-MIN(ROW($N$7:$N$43))+1,""),""),ROW()-ROW(A$46)+1)),"##0"),","),"")</f>
        <v>0</v>
      </c>
      <c r="O53">
        <f t="array" ref="O53">IFERROR(CONCATENATE((INDEX($Q$7:$Q$43,SMALL(IF($Q$7:$Q$43&lt;&gt;"",IF($N$7:$N$43&lt;&gt;"",ROW($N$7:$N$43)-MIN(ROW($N$7:$N$43))+1,""),""),ROW()-ROW(A$46)+1))),","),"")</f>
        <v>0</v>
      </c>
      <c r="P53">
        <f t="array" ref="P53">IFERROR(CONCATENATE((INDEX($A$7:$A$43,SMALL(IF($Q$7:$Q$43&lt;&gt;"",IF($N$7:$N$43&lt;&gt;"",ROW($N$7:$N$43)-MIN(ROW($N$7:$N$43))+1,""),""),ROW()-ROW(A$46)+1))),),"")</f>
        <v>0</v>
      </c>
      <c r="S53">
        <f t="array" ref="S53">IFERROR(CONCATENATE((INDEX($V$7:$V$43,SMALL(IF($V$7:$V$43&lt;&gt;"",IF($S$7:$S$43&lt;&gt;"",ROW($S$7:$S$43)-MIN(ROW($S$7:$S$43))+1,""),""),ROW()-ROW(A$46)+1)))," "),"")</f>
        <v>0</v>
      </c>
      <c r="T53">
        <f t="array" ref="T53">IFERROR(CONCATENATE(TEXT(INDEX($S$7:$S$43,SMALL(IF($V$7:$V$43&lt;&gt;"",IF($S$7:$S$43&lt;&gt;"",ROW($S$7:$S$43)-MIN(ROW($S$7:$S$43))+1,""),""),ROW()-ROW(A$46)+1)),"##0")," "),"")</f>
        <v>0</v>
      </c>
      <c r="U53">
        <f t="array" ref="U53">IFERROR(CONCATENATE((INDEX($A$7:$A$43,SMALL(IF($V$7:$V$43&lt;&gt;"",IF($S$7:$S$43&lt;&gt;"",ROW($S$7:$S$43)-MIN(ROW($S$7:$S$43))+1,""),""),ROW()-ROW(A$46)+1))),),"")</f>
        <v>0</v>
      </c>
      <c r="X53">
        <f t="array" ref="X53">IFERROR(CONCATENATE((INDEX($AA$7:$AA$43,SMALL(IF($AA$7:$AA$43&lt;&gt;"",IF($X$7:$X$43&lt;&gt;"",ROW($X$7:$X$43)-MIN(ROW($X$7:$X$43))+1,""),""),ROW()-ROW(A$46)+1)))," "),"")</f>
        <v>0</v>
      </c>
      <c r="Y53">
        <f t="array" ref="Y53">IFERROR(CONCATENATE(TEXT(INDEX($X$7:$X$43,SMALL(IF($AA$7:$AA$43&lt;&gt;"",IF($X$7:$X$43&lt;&gt;"",ROW($X$7:$X$43)-MIN(ROW($X$7:$X$43))+1,""),""),ROW()-ROW(A$46)+1)),"##0")," "),"")</f>
        <v>0</v>
      </c>
      <c r="Z53">
        <f t="array" ref="Z53">IFERROR(CONCATENATE((INDEX($A$7:$A$43,SMALL(IF($AA$7:$AA$43&lt;&gt;"",IF($X$7:$X$43&lt;&gt;"",ROW($X$7:$X$43)-MIN(ROW($X$7:$X$43))+1,""),""),ROW()-ROW(A$46)+1))),),"")</f>
        <v>0</v>
      </c>
      <c r="AC53">
        <f t="array" ref="AC53">IFERROR(CONCATENATE((INDEX($AF$7:$AF$43,SMALL(IF($AF$7:$AF$43&lt;&gt;"",IF($AC$7:$AC$43&lt;&gt;"",ROW($AC$7:$AC$43)-MIN(ROW($AC$7:$AC$43))+1,""),""),ROW()-ROW(A$46)+1))),","),"")</f>
        <v>0</v>
      </c>
      <c r="AD53">
        <f t="array" ref="AD53">IFERROR(CONCATENATE(TEXT(INDEX($AC$7:$AC$43,SMALL(IF($AF$7:$AF$43&lt;&gt;"",IF($AC$7:$AC$43&lt;&gt;"",ROW($AC$7:$AC$43)-MIN(ROW($AC$7:$AC$43))+1,""),""),ROW()-ROW(A$46)+1)),"##0"),","),"")</f>
        <v>0</v>
      </c>
      <c r="AE53">
        <f t="array" ref="AE53">IFERROR(CONCATENATE((INDEX($A$7:$A$43,SMALL(IF($AF$7:$AF$43&lt;&gt;"",IF($AC$7:$AC$43&lt;&gt;"",ROW($AC$7:$AC$43)-MIN(ROW($AC$7:$AC$43))+1,""),""),ROW()-ROW(A$46)+1))),),"")</f>
        <v>0</v>
      </c>
      <c r="AH53">
        <f t="array" ref="AH53">IFERROR(CONCATENATE((INDEX($AK$7:$AK$43,SMALL(IF($AK$7:$AK$43&lt;&gt;"",IF($AH$7:$AH$43&lt;&gt;"",ROW($AH$7:$AH$43)-MIN(ROW($AH$7:$AH$43))+1,""),""),ROW()-ROW(A$46)+1)))," "),"")</f>
        <v>0</v>
      </c>
      <c r="AI53">
        <f t="array" ref="AI53">IFERROR(CONCATENATE(TEXT(INDEX($AH$7:$AH$43,SMALL(IF($AK$7:$AK$43&lt;&gt;"",IF($AH$7:$AH$43&lt;&gt;"",ROW($AH$7:$AH$43)-MIN(ROW($AH$7:$AH$43))+1,""),""),ROW()-ROW(A$46)+1)),"##0")," "),"")</f>
        <v>0</v>
      </c>
      <c r="AJ53">
        <f t="array" ref="AJ53">IFERROR(CONCATENATE((INDEX($A$7:$A$43,SMALL(IF($AK$7:$AK$43&lt;&gt;"",IF($AH$7:$AH$43&lt;&gt;"",ROW($AH$7:$AH$43)-MIN(ROW($AH$7:$AH$43))+1,""),""),ROW()-ROW(A$46)+1))),),"")</f>
        <v>0</v>
      </c>
      <c r="AM53">
        <f t="array" ref="AM53">IFERROR(CONCATENATE((INDEX($AP$7:$AP$43,SMALL(IF($AP$7:$AP$43&lt;&gt;"",IF($AM$7:$AM$43&lt;&gt;"",ROW($AM$7:$AM$43)-MIN(ROW($AM$7:$AM$43))+1,""),""),ROW()-ROW(A$46)+1)))," "),"")</f>
        <v>0</v>
      </c>
      <c r="AN53">
        <f t="array" ref="AN53">IFERROR(CONCATENATE(TEXT(INDEX($AM$7:$AM$43,SMALL(IF($AP$7:$AP$43&lt;&gt;"",IF($AM$7:$AM$43&lt;&gt;"",ROW($AM$7:$AM$43)-MIN(ROW($AM$7:$AM$43))+1,""),""),ROW()-ROW(A$46)+1)),"##0")," "),"")</f>
        <v>0</v>
      </c>
      <c r="AO53">
        <f t="array" ref="AO53">IFERROR(CONCATENATE((INDEX($A$7:$A$43,SMALL(IF($AP$7:$AP$43&lt;&gt;"",IF($AM$7:$AM$43&lt;&gt;"",ROW($AM$7:$AM$43)-MIN(ROW($AM$7:$AM$43))+1,""),""),ROW()-ROW(A$46)+1))),),"")</f>
        <v>0</v>
      </c>
    </row>
    <row r="54" spans="9:41">
      <c r="I54">
        <f t="array" ref="I54">IFERROR(CONCATENATE((INDEX($L$7:$L$43,SMALL(IF($L$7:$L$43&lt;&gt;"",IF($I$7:$I$43&lt;&gt;"",ROW($I$7:$I$43)-MIN(ROW($I$7:$I$43))+1,""),""),ROW()-ROW(A$46)+1))),","),"")</f>
        <v>0</v>
      </c>
      <c r="J54">
        <f t="array" ref="J54">IFERROR(CONCATENATE(TEXT(INDEX($I$7:$I$43,SMALL(IF($L$7:$L$43&lt;&gt;"",IF($I$7:$I$43&lt;&gt;"",ROW($I$7:$I$43)-MIN(ROW($I$7:$I$43))+1,""),""),ROW()-ROW(A$46)+1)),"##0"),","),"")</f>
        <v>0</v>
      </c>
      <c r="K54">
        <f t="array" ref="K54">IFERROR(CONCATENATE((INDEX($A$7:$A$43,SMALL(IF($L$7:$L$43&lt;&gt;"",IF($I$7:$I$43&lt;&gt;"",ROW($I$7:$I$43)-MIN(ROW($I$7:$I$43))+1,""),""),ROW()-ROW(A$46)+1))),),"")</f>
        <v>0</v>
      </c>
      <c r="N54">
        <f t="array" ref="N54">IFERROR(CONCATENATE(TEXT(INDEX($N$7:$N$43,SMALL(IF($Q$7:$Q$43&lt;&gt;"",IF($N$7:$N$43&lt;&gt;"",ROW($N$7:$N$43)-MIN(ROW($N$7:$N$43))+1,""),""),ROW()-ROW(A$46)+1)),"##0"),","),"")</f>
        <v>0</v>
      </c>
      <c r="O54">
        <f t="array" ref="O54">IFERROR(CONCATENATE((INDEX($Q$7:$Q$43,SMALL(IF($Q$7:$Q$43&lt;&gt;"",IF($N$7:$N$43&lt;&gt;"",ROW($N$7:$N$43)-MIN(ROW($N$7:$N$43))+1,""),""),ROW()-ROW(A$46)+1))),","),"")</f>
        <v>0</v>
      </c>
      <c r="P54">
        <f t="array" ref="P54">IFERROR(CONCATENATE((INDEX($A$7:$A$43,SMALL(IF($Q$7:$Q$43&lt;&gt;"",IF($N$7:$N$43&lt;&gt;"",ROW($N$7:$N$43)-MIN(ROW($N$7:$N$43))+1,""),""),ROW()-ROW(A$46)+1))),),"")</f>
        <v>0</v>
      </c>
      <c r="S54">
        <f t="array" ref="S54">IFERROR(CONCATENATE((INDEX($V$7:$V$43,SMALL(IF($V$7:$V$43&lt;&gt;"",IF($S$7:$S$43&lt;&gt;"",ROW($S$7:$S$43)-MIN(ROW($S$7:$S$43))+1,""),""),ROW()-ROW(A$46)+1)))," "),"")</f>
        <v>0</v>
      </c>
      <c r="T54">
        <f t="array" ref="T54">IFERROR(CONCATENATE(TEXT(INDEX($S$7:$S$43,SMALL(IF($V$7:$V$43&lt;&gt;"",IF($S$7:$S$43&lt;&gt;"",ROW($S$7:$S$43)-MIN(ROW($S$7:$S$43))+1,""),""),ROW()-ROW(A$46)+1)),"##0")," "),"")</f>
        <v>0</v>
      </c>
      <c r="U54">
        <f t="array" ref="U54">IFERROR(CONCATENATE((INDEX($A$7:$A$43,SMALL(IF($V$7:$V$43&lt;&gt;"",IF($S$7:$S$43&lt;&gt;"",ROW($S$7:$S$43)-MIN(ROW($S$7:$S$43))+1,""),""),ROW()-ROW(A$46)+1))),),"")</f>
        <v>0</v>
      </c>
      <c r="X54">
        <f t="array" ref="X54">IFERROR(CONCATENATE((INDEX($AA$7:$AA$43,SMALL(IF($AA$7:$AA$43&lt;&gt;"",IF($X$7:$X$43&lt;&gt;"",ROW($X$7:$X$43)-MIN(ROW($X$7:$X$43))+1,""),""),ROW()-ROW(A$46)+1)))," "),"")</f>
        <v>0</v>
      </c>
      <c r="Y54">
        <f t="array" ref="Y54">IFERROR(CONCATENATE(TEXT(INDEX($X$7:$X$43,SMALL(IF($AA$7:$AA$43&lt;&gt;"",IF($X$7:$X$43&lt;&gt;"",ROW($X$7:$X$43)-MIN(ROW($X$7:$X$43))+1,""),""),ROW()-ROW(A$46)+1)),"##0")," "),"")</f>
        <v>0</v>
      </c>
      <c r="Z54">
        <f t="array" ref="Z54">IFERROR(CONCATENATE((INDEX($A$7:$A$43,SMALL(IF($AA$7:$AA$43&lt;&gt;"",IF($X$7:$X$43&lt;&gt;"",ROW($X$7:$X$43)-MIN(ROW($X$7:$X$43))+1,""),""),ROW()-ROW(A$46)+1))),),"")</f>
        <v>0</v>
      </c>
      <c r="AC54">
        <f t="array" ref="AC54">IFERROR(CONCATENATE((INDEX($AF$7:$AF$43,SMALL(IF($AF$7:$AF$43&lt;&gt;"",IF($AC$7:$AC$43&lt;&gt;"",ROW($AC$7:$AC$43)-MIN(ROW($AC$7:$AC$43))+1,""),""),ROW()-ROW(A$46)+1))),","),"")</f>
        <v>0</v>
      </c>
      <c r="AD54">
        <f t="array" ref="AD54">IFERROR(CONCATENATE(TEXT(INDEX($AC$7:$AC$43,SMALL(IF($AF$7:$AF$43&lt;&gt;"",IF($AC$7:$AC$43&lt;&gt;"",ROW($AC$7:$AC$43)-MIN(ROW($AC$7:$AC$43))+1,""),""),ROW()-ROW(A$46)+1)),"##0"),","),"")</f>
        <v>0</v>
      </c>
      <c r="AE54">
        <f t="array" ref="AE54">IFERROR(CONCATENATE((INDEX($A$7:$A$43,SMALL(IF($AF$7:$AF$43&lt;&gt;"",IF($AC$7:$AC$43&lt;&gt;"",ROW($AC$7:$AC$43)-MIN(ROW($AC$7:$AC$43))+1,""),""),ROW()-ROW(A$46)+1))),),"")</f>
        <v>0</v>
      </c>
      <c r="AH54">
        <f t="array" ref="AH54">IFERROR(CONCATENATE((INDEX($AK$7:$AK$43,SMALL(IF($AK$7:$AK$43&lt;&gt;"",IF($AH$7:$AH$43&lt;&gt;"",ROW($AH$7:$AH$43)-MIN(ROW($AH$7:$AH$43))+1,""),""),ROW()-ROW(A$46)+1)))," "),"")</f>
        <v>0</v>
      </c>
      <c r="AI54">
        <f t="array" ref="AI54">IFERROR(CONCATENATE(TEXT(INDEX($AH$7:$AH$43,SMALL(IF($AK$7:$AK$43&lt;&gt;"",IF($AH$7:$AH$43&lt;&gt;"",ROW($AH$7:$AH$43)-MIN(ROW($AH$7:$AH$43))+1,""),""),ROW()-ROW(A$46)+1)),"##0")," "),"")</f>
        <v>0</v>
      </c>
      <c r="AJ54">
        <f t="array" ref="AJ54">IFERROR(CONCATENATE((INDEX($A$7:$A$43,SMALL(IF($AK$7:$AK$43&lt;&gt;"",IF($AH$7:$AH$43&lt;&gt;"",ROW($AH$7:$AH$43)-MIN(ROW($AH$7:$AH$43))+1,""),""),ROW()-ROW(A$46)+1))),),"")</f>
        <v>0</v>
      </c>
      <c r="AM54">
        <f t="array" ref="AM54">IFERROR(CONCATENATE((INDEX($AP$7:$AP$43,SMALL(IF($AP$7:$AP$43&lt;&gt;"",IF($AM$7:$AM$43&lt;&gt;"",ROW($AM$7:$AM$43)-MIN(ROW($AM$7:$AM$43))+1,""),""),ROW()-ROW(A$46)+1)))," "),"")</f>
        <v>0</v>
      </c>
      <c r="AN54">
        <f t="array" ref="AN54">IFERROR(CONCATENATE(TEXT(INDEX($AM$7:$AM$43,SMALL(IF($AP$7:$AP$43&lt;&gt;"",IF($AM$7:$AM$43&lt;&gt;"",ROW($AM$7:$AM$43)-MIN(ROW($AM$7:$AM$43))+1,""),""),ROW()-ROW(A$46)+1)),"##0")," "),"")</f>
        <v>0</v>
      </c>
      <c r="AO54">
        <f t="array" ref="AO54">IFERROR(CONCATENATE((INDEX($A$7:$A$43,SMALL(IF($AP$7:$AP$43&lt;&gt;"",IF($AM$7:$AM$43&lt;&gt;"",ROW($AM$7:$AM$43)-MIN(ROW($AM$7:$AM$43))+1,""),""),ROW()-ROW(A$46)+1))),),"")</f>
        <v>0</v>
      </c>
    </row>
    <row r="55" spans="9:41">
      <c r="I55">
        <f t="array" ref="I55">IFERROR(CONCATENATE((INDEX($L$7:$L$43,SMALL(IF($L$7:$L$43&lt;&gt;"",IF($I$7:$I$43&lt;&gt;"",ROW($I$7:$I$43)-MIN(ROW($I$7:$I$43))+1,""),""),ROW()-ROW(A$46)+1))),","),"")</f>
        <v>0</v>
      </c>
      <c r="J55">
        <f t="array" ref="J55">IFERROR(CONCATENATE(TEXT(INDEX($I$7:$I$43,SMALL(IF($L$7:$L$43&lt;&gt;"",IF($I$7:$I$43&lt;&gt;"",ROW($I$7:$I$43)-MIN(ROW($I$7:$I$43))+1,""),""),ROW()-ROW(A$46)+1)),"##0"),","),"")</f>
        <v>0</v>
      </c>
      <c r="K55">
        <f t="array" ref="K55">IFERROR(CONCATENATE((INDEX($A$7:$A$43,SMALL(IF($L$7:$L$43&lt;&gt;"",IF($I$7:$I$43&lt;&gt;"",ROW($I$7:$I$43)-MIN(ROW($I$7:$I$43))+1,""),""),ROW()-ROW(A$46)+1))),),"")</f>
        <v>0</v>
      </c>
      <c r="N55">
        <f t="array" ref="N55">IFERROR(CONCATENATE(TEXT(INDEX($N$7:$N$43,SMALL(IF($Q$7:$Q$43&lt;&gt;"",IF($N$7:$N$43&lt;&gt;"",ROW($N$7:$N$43)-MIN(ROW($N$7:$N$43))+1,""),""),ROW()-ROW(A$46)+1)),"##0"),","),"")</f>
        <v>0</v>
      </c>
      <c r="O55">
        <f t="array" ref="O55">IFERROR(CONCATENATE((INDEX($Q$7:$Q$43,SMALL(IF($Q$7:$Q$43&lt;&gt;"",IF($N$7:$N$43&lt;&gt;"",ROW($N$7:$N$43)-MIN(ROW($N$7:$N$43))+1,""),""),ROW()-ROW(A$46)+1))),","),"")</f>
        <v>0</v>
      </c>
      <c r="P55">
        <f t="array" ref="P55">IFERROR(CONCATENATE((INDEX($A$7:$A$43,SMALL(IF($Q$7:$Q$43&lt;&gt;"",IF($N$7:$N$43&lt;&gt;"",ROW($N$7:$N$43)-MIN(ROW($N$7:$N$43))+1,""),""),ROW()-ROW(A$46)+1))),),"")</f>
        <v>0</v>
      </c>
      <c r="S55">
        <f t="array" ref="S55">IFERROR(CONCATENATE((INDEX($V$7:$V$43,SMALL(IF($V$7:$V$43&lt;&gt;"",IF($S$7:$S$43&lt;&gt;"",ROW($S$7:$S$43)-MIN(ROW($S$7:$S$43))+1,""),""),ROW()-ROW(A$46)+1)))," "),"")</f>
        <v>0</v>
      </c>
      <c r="T55">
        <f t="array" ref="T55">IFERROR(CONCATENATE(TEXT(INDEX($S$7:$S$43,SMALL(IF($V$7:$V$43&lt;&gt;"",IF($S$7:$S$43&lt;&gt;"",ROW($S$7:$S$43)-MIN(ROW($S$7:$S$43))+1,""),""),ROW()-ROW(A$46)+1)),"##0")," "),"")</f>
        <v>0</v>
      </c>
      <c r="U55">
        <f t="array" ref="U55">IFERROR(CONCATENATE((INDEX($A$7:$A$43,SMALL(IF($V$7:$V$43&lt;&gt;"",IF($S$7:$S$43&lt;&gt;"",ROW($S$7:$S$43)-MIN(ROW($S$7:$S$43))+1,""),""),ROW()-ROW(A$46)+1))),),"")</f>
        <v>0</v>
      </c>
      <c r="X55">
        <f t="array" ref="X55">IFERROR(CONCATENATE((INDEX($AA$7:$AA$43,SMALL(IF($AA$7:$AA$43&lt;&gt;"",IF($X$7:$X$43&lt;&gt;"",ROW($X$7:$X$43)-MIN(ROW($X$7:$X$43))+1,""),""),ROW()-ROW(A$46)+1)))," "),"")</f>
        <v>0</v>
      </c>
      <c r="Y55">
        <f t="array" ref="Y55">IFERROR(CONCATENATE(TEXT(INDEX($X$7:$X$43,SMALL(IF($AA$7:$AA$43&lt;&gt;"",IF($X$7:$X$43&lt;&gt;"",ROW($X$7:$X$43)-MIN(ROW($X$7:$X$43))+1,""),""),ROW()-ROW(A$46)+1)),"##0")," "),"")</f>
        <v>0</v>
      </c>
      <c r="Z55">
        <f t="array" ref="Z55">IFERROR(CONCATENATE((INDEX($A$7:$A$43,SMALL(IF($AA$7:$AA$43&lt;&gt;"",IF($X$7:$X$43&lt;&gt;"",ROW($X$7:$X$43)-MIN(ROW($X$7:$X$43))+1,""),""),ROW()-ROW(A$46)+1))),),"")</f>
        <v>0</v>
      </c>
      <c r="AC55">
        <f t="array" ref="AC55">IFERROR(CONCATENATE((INDEX($AF$7:$AF$43,SMALL(IF($AF$7:$AF$43&lt;&gt;"",IF($AC$7:$AC$43&lt;&gt;"",ROW($AC$7:$AC$43)-MIN(ROW($AC$7:$AC$43))+1,""),""),ROW()-ROW(A$46)+1))),","),"")</f>
        <v>0</v>
      </c>
      <c r="AD55">
        <f t="array" ref="AD55">IFERROR(CONCATENATE(TEXT(INDEX($AC$7:$AC$43,SMALL(IF($AF$7:$AF$43&lt;&gt;"",IF($AC$7:$AC$43&lt;&gt;"",ROW($AC$7:$AC$43)-MIN(ROW($AC$7:$AC$43))+1,""),""),ROW()-ROW(A$46)+1)),"##0"),","),"")</f>
        <v>0</v>
      </c>
      <c r="AE55">
        <f t="array" ref="AE55">IFERROR(CONCATENATE((INDEX($A$7:$A$43,SMALL(IF($AF$7:$AF$43&lt;&gt;"",IF($AC$7:$AC$43&lt;&gt;"",ROW($AC$7:$AC$43)-MIN(ROW($AC$7:$AC$43))+1,""),""),ROW()-ROW(A$46)+1))),),"")</f>
        <v>0</v>
      </c>
      <c r="AH55">
        <f t="array" ref="AH55">IFERROR(CONCATENATE((INDEX($AK$7:$AK$43,SMALL(IF($AK$7:$AK$43&lt;&gt;"",IF($AH$7:$AH$43&lt;&gt;"",ROW($AH$7:$AH$43)-MIN(ROW($AH$7:$AH$43))+1,""),""),ROW()-ROW(A$46)+1)))," "),"")</f>
        <v>0</v>
      </c>
      <c r="AI55">
        <f t="array" ref="AI55">IFERROR(CONCATENATE(TEXT(INDEX($AH$7:$AH$43,SMALL(IF($AK$7:$AK$43&lt;&gt;"",IF($AH$7:$AH$43&lt;&gt;"",ROW($AH$7:$AH$43)-MIN(ROW($AH$7:$AH$43))+1,""),""),ROW()-ROW(A$46)+1)),"##0")," "),"")</f>
        <v>0</v>
      </c>
      <c r="AJ55">
        <f t="array" ref="AJ55">IFERROR(CONCATENATE((INDEX($A$7:$A$43,SMALL(IF($AK$7:$AK$43&lt;&gt;"",IF($AH$7:$AH$43&lt;&gt;"",ROW($AH$7:$AH$43)-MIN(ROW($AH$7:$AH$43))+1,""),""),ROW()-ROW(A$46)+1))),),"")</f>
        <v>0</v>
      </c>
      <c r="AM55">
        <f t="array" ref="AM55">IFERROR(CONCATENATE((INDEX($AP$7:$AP$43,SMALL(IF($AP$7:$AP$43&lt;&gt;"",IF($AM$7:$AM$43&lt;&gt;"",ROW($AM$7:$AM$43)-MIN(ROW($AM$7:$AM$43))+1,""),""),ROW()-ROW(A$46)+1)))," "),"")</f>
        <v>0</v>
      </c>
      <c r="AN55">
        <f t="array" ref="AN55">IFERROR(CONCATENATE(TEXT(INDEX($AM$7:$AM$43,SMALL(IF($AP$7:$AP$43&lt;&gt;"",IF($AM$7:$AM$43&lt;&gt;"",ROW($AM$7:$AM$43)-MIN(ROW($AM$7:$AM$43))+1,""),""),ROW()-ROW(A$46)+1)),"##0")," "),"")</f>
        <v>0</v>
      </c>
      <c r="AO55">
        <f t="array" ref="AO55">IFERROR(CONCATENATE((INDEX($A$7:$A$43,SMALL(IF($AP$7:$AP$43&lt;&gt;"",IF($AM$7:$AM$43&lt;&gt;"",ROW($AM$7:$AM$43)-MIN(ROW($AM$7:$AM$43))+1,""),""),ROW()-ROW(A$46)+1))),),"")</f>
        <v>0</v>
      </c>
    </row>
    <row r="56" spans="9:41">
      <c r="I56">
        <f t="array" ref="I56">IFERROR(CONCATENATE((INDEX($L$7:$L$43,SMALL(IF($L$7:$L$43&lt;&gt;"",IF($I$7:$I$43&lt;&gt;"",ROW($I$7:$I$43)-MIN(ROW($I$7:$I$43))+1,""),""),ROW()-ROW(A$46)+1))),","),"")</f>
        <v>0</v>
      </c>
      <c r="J56">
        <f t="array" ref="J56">IFERROR(CONCATENATE(TEXT(INDEX($I$7:$I$43,SMALL(IF($L$7:$L$43&lt;&gt;"",IF($I$7:$I$43&lt;&gt;"",ROW($I$7:$I$43)-MIN(ROW($I$7:$I$43))+1,""),""),ROW()-ROW(A$46)+1)),"##0"),","),"")</f>
        <v>0</v>
      </c>
      <c r="K56">
        <f t="array" ref="K56">IFERROR(CONCATENATE((INDEX($A$7:$A$43,SMALL(IF($L$7:$L$43&lt;&gt;"",IF($I$7:$I$43&lt;&gt;"",ROW($I$7:$I$43)-MIN(ROW($I$7:$I$43))+1,""),""),ROW()-ROW(A$46)+1))),),"")</f>
        <v>0</v>
      </c>
      <c r="N56">
        <f t="array" ref="N56">IFERROR(CONCATENATE(TEXT(INDEX($N$7:$N$43,SMALL(IF($Q$7:$Q$43&lt;&gt;"",IF($N$7:$N$43&lt;&gt;"",ROW($N$7:$N$43)-MIN(ROW($N$7:$N$43))+1,""),""),ROW()-ROW(A$46)+1)),"##0"),","),"")</f>
        <v>0</v>
      </c>
      <c r="O56">
        <f t="array" ref="O56">IFERROR(CONCATENATE((INDEX($Q$7:$Q$43,SMALL(IF($Q$7:$Q$43&lt;&gt;"",IF($N$7:$N$43&lt;&gt;"",ROW($N$7:$N$43)-MIN(ROW($N$7:$N$43))+1,""),""),ROW()-ROW(A$46)+1))),","),"")</f>
        <v>0</v>
      </c>
      <c r="P56">
        <f t="array" ref="P56">IFERROR(CONCATENATE((INDEX($A$7:$A$43,SMALL(IF($Q$7:$Q$43&lt;&gt;"",IF($N$7:$N$43&lt;&gt;"",ROW($N$7:$N$43)-MIN(ROW($N$7:$N$43))+1,""),""),ROW()-ROW(A$46)+1))),),"")</f>
        <v>0</v>
      </c>
      <c r="S56">
        <f t="array" ref="S56">IFERROR(CONCATENATE((INDEX($V$7:$V$43,SMALL(IF($V$7:$V$43&lt;&gt;"",IF($S$7:$S$43&lt;&gt;"",ROW($S$7:$S$43)-MIN(ROW($S$7:$S$43))+1,""),""),ROW()-ROW(A$46)+1)))," "),"")</f>
        <v>0</v>
      </c>
      <c r="T56">
        <f t="array" ref="T56">IFERROR(CONCATENATE(TEXT(INDEX($S$7:$S$43,SMALL(IF($V$7:$V$43&lt;&gt;"",IF($S$7:$S$43&lt;&gt;"",ROW($S$7:$S$43)-MIN(ROW($S$7:$S$43))+1,""),""),ROW()-ROW(A$46)+1)),"##0")," "),"")</f>
        <v>0</v>
      </c>
      <c r="U56">
        <f t="array" ref="U56">IFERROR(CONCATENATE((INDEX($A$7:$A$43,SMALL(IF($V$7:$V$43&lt;&gt;"",IF($S$7:$S$43&lt;&gt;"",ROW($S$7:$S$43)-MIN(ROW($S$7:$S$43))+1,""),""),ROW()-ROW(A$46)+1))),),"")</f>
        <v>0</v>
      </c>
      <c r="X56">
        <f t="array" ref="X56">IFERROR(CONCATENATE((INDEX($AA$7:$AA$43,SMALL(IF($AA$7:$AA$43&lt;&gt;"",IF($X$7:$X$43&lt;&gt;"",ROW($X$7:$X$43)-MIN(ROW($X$7:$X$43))+1,""),""),ROW()-ROW(A$46)+1)))," "),"")</f>
        <v>0</v>
      </c>
      <c r="Y56">
        <f t="array" ref="Y56">IFERROR(CONCATENATE(TEXT(INDEX($X$7:$X$43,SMALL(IF($AA$7:$AA$43&lt;&gt;"",IF($X$7:$X$43&lt;&gt;"",ROW($X$7:$X$43)-MIN(ROW($X$7:$X$43))+1,""),""),ROW()-ROW(A$46)+1)),"##0")," "),"")</f>
        <v>0</v>
      </c>
      <c r="Z56">
        <f t="array" ref="Z56">IFERROR(CONCATENATE((INDEX($A$7:$A$43,SMALL(IF($AA$7:$AA$43&lt;&gt;"",IF($X$7:$X$43&lt;&gt;"",ROW($X$7:$X$43)-MIN(ROW($X$7:$X$43))+1,""),""),ROW()-ROW(A$46)+1))),),"")</f>
        <v>0</v>
      </c>
      <c r="AC56">
        <f t="array" ref="AC56">IFERROR(CONCATENATE((INDEX($AF$7:$AF$43,SMALL(IF($AF$7:$AF$43&lt;&gt;"",IF($AC$7:$AC$43&lt;&gt;"",ROW($AC$7:$AC$43)-MIN(ROW($AC$7:$AC$43))+1,""),""),ROW()-ROW(A$46)+1))),","),"")</f>
        <v>0</v>
      </c>
      <c r="AD56">
        <f t="array" ref="AD56">IFERROR(CONCATENATE(TEXT(INDEX($AC$7:$AC$43,SMALL(IF($AF$7:$AF$43&lt;&gt;"",IF($AC$7:$AC$43&lt;&gt;"",ROW($AC$7:$AC$43)-MIN(ROW($AC$7:$AC$43))+1,""),""),ROW()-ROW(A$46)+1)),"##0"),","),"")</f>
        <v>0</v>
      </c>
      <c r="AE56">
        <f t="array" ref="AE56">IFERROR(CONCATENATE((INDEX($A$7:$A$43,SMALL(IF($AF$7:$AF$43&lt;&gt;"",IF($AC$7:$AC$43&lt;&gt;"",ROW($AC$7:$AC$43)-MIN(ROW($AC$7:$AC$43))+1,""),""),ROW()-ROW(A$46)+1))),),"")</f>
        <v>0</v>
      </c>
      <c r="AH56">
        <f t="array" ref="AH56">IFERROR(CONCATENATE((INDEX($AK$7:$AK$43,SMALL(IF($AK$7:$AK$43&lt;&gt;"",IF($AH$7:$AH$43&lt;&gt;"",ROW($AH$7:$AH$43)-MIN(ROW($AH$7:$AH$43))+1,""),""),ROW()-ROW(A$46)+1)))," "),"")</f>
        <v>0</v>
      </c>
      <c r="AI56">
        <f t="array" ref="AI56">IFERROR(CONCATENATE(TEXT(INDEX($AH$7:$AH$43,SMALL(IF($AK$7:$AK$43&lt;&gt;"",IF($AH$7:$AH$43&lt;&gt;"",ROW($AH$7:$AH$43)-MIN(ROW($AH$7:$AH$43))+1,""),""),ROW()-ROW(A$46)+1)),"##0")," "),"")</f>
        <v>0</v>
      </c>
      <c r="AJ56">
        <f t="array" ref="AJ56">IFERROR(CONCATENATE((INDEX($A$7:$A$43,SMALL(IF($AK$7:$AK$43&lt;&gt;"",IF($AH$7:$AH$43&lt;&gt;"",ROW($AH$7:$AH$43)-MIN(ROW($AH$7:$AH$43))+1,""),""),ROW()-ROW(A$46)+1))),),"")</f>
        <v>0</v>
      </c>
      <c r="AM56">
        <f t="array" ref="AM56">IFERROR(CONCATENATE((INDEX($AP$7:$AP$43,SMALL(IF($AP$7:$AP$43&lt;&gt;"",IF($AM$7:$AM$43&lt;&gt;"",ROW($AM$7:$AM$43)-MIN(ROW($AM$7:$AM$43))+1,""),""),ROW()-ROW(A$46)+1)))," "),"")</f>
        <v>0</v>
      </c>
      <c r="AN56">
        <f t="array" ref="AN56">IFERROR(CONCATENATE(TEXT(INDEX($AM$7:$AM$43,SMALL(IF($AP$7:$AP$43&lt;&gt;"",IF($AM$7:$AM$43&lt;&gt;"",ROW($AM$7:$AM$43)-MIN(ROW($AM$7:$AM$43))+1,""),""),ROW()-ROW(A$46)+1)),"##0")," "),"")</f>
        <v>0</v>
      </c>
      <c r="AO56">
        <f t="array" ref="AO56">IFERROR(CONCATENATE((INDEX($A$7:$A$43,SMALL(IF($AP$7:$AP$43&lt;&gt;"",IF($AM$7:$AM$43&lt;&gt;"",ROW($AM$7:$AM$43)-MIN(ROW($AM$7:$AM$43))+1,""),""),ROW()-ROW(A$46)+1))),),"")</f>
        <v>0</v>
      </c>
    </row>
    <row r="57" spans="9:41">
      <c r="I57">
        <f t="array" ref="I57">IFERROR(CONCATENATE((INDEX($L$7:$L$43,SMALL(IF($L$7:$L$43&lt;&gt;"",IF($I$7:$I$43&lt;&gt;"",ROW($I$7:$I$43)-MIN(ROW($I$7:$I$43))+1,""),""),ROW()-ROW(A$46)+1))),","),"")</f>
        <v>0</v>
      </c>
      <c r="J57">
        <f t="array" ref="J57">IFERROR(CONCATENATE(TEXT(INDEX($I$7:$I$43,SMALL(IF($L$7:$L$43&lt;&gt;"",IF($I$7:$I$43&lt;&gt;"",ROW($I$7:$I$43)-MIN(ROW($I$7:$I$43))+1,""),""),ROW()-ROW(A$46)+1)),"##0"),","),"")</f>
        <v>0</v>
      </c>
      <c r="K57">
        <f t="array" ref="K57">IFERROR(CONCATENATE((INDEX($A$7:$A$43,SMALL(IF($L$7:$L$43&lt;&gt;"",IF($I$7:$I$43&lt;&gt;"",ROW($I$7:$I$43)-MIN(ROW($I$7:$I$43))+1,""),""),ROW()-ROW(A$46)+1))),),"")</f>
        <v>0</v>
      </c>
      <c r="N57">
        <f t="array" ref="N57">IFERROR(CONCATENATE(TEXT(INDEX($N$7:$N$43,SMALL(IF($Q$7:$Q$43&lt;&gt;"",IF($N$7:$N$43&lt;&gt;"",ROW($N$7:$N$43)-MIN(ROW($N$7:$N$43))+1,""),""),ROW()-ROW(A$46)+1)),"##0"),","),"")</f>
        <v>0</v>
      </c>
      <c r="O57">
        <f t="array" ref="O57">IFERROR(CONCATENATE((INDEX($Q$7:$Q$43,SMALL(IF($Q$7:$Q$43&lt;&gt;"",IF($N$7:$N$43&lt;&gt;"",ROW($N$7:$N$43)-MIN(ROW($N$7:$N$43))+1,""),""),ROW()-ROW(A$46)+1))),","),"")</f>
        <v>0</v>
      </c>
      <c r="P57">
        <f t="array" ref="P57">IFERROR(CONCATENATE((INDEX($A$7:$A$43,SMALL(IF($Q$7:$Q$43&lt;&gt;"",IF($N$7:$N$43&lt;&gt;"",ROW($N$7:$N$43)-MIN(ROW($N$7:$N$43))+1,""),""),ROW()-ROW(A$46)+1))),),"")</f>
        <v>0</v>
      </c>
      <c r="S57">
        <f t="array" ref="S57">IFERROR(CONCATENATE((INDEX($V$7:$V$43,SMALL(IF($V$7:$V$43&lt;&gt;"",IF($S$7:$S$43&lt;&gt;"",ROW($S$7:$S$43)-MIN(ROW($S$7:$S$43))+1,""),""),ROW()-ROW(A$46)+1)))," "),"")</f>
        <v>0</v>
      </c>
      <c r="T57">
        <f t="array" ref="T57">IFERROR(CONCATENATE(TEXT(INDEX($S$7:$S$43,SMALL(IF($V$7:$V$43&lt;&gt;"",IF($S$7:$S$43&lt;&gt;"",ROW($S$7:$S$43)-MIN(ROW($S$7:$S$43))+1,""),""),ROW()-ROW(A$46)+1)),"##0")," "),"")</f>
        <v>0</v>
      </c>
      <c r="U57">
        <f t="array" ref="U57">IFERROR(CONCATENATE((INDEX($A$7:$A$43,SMALL(IF($V$7:$V$43&lt;&gt;"",IF($S$7:$S$43&lt;&gt;"",ROW($S$7:$S$43)-MIN(ROW($S$7:$S$43))+1,""),""),ROW()-ROW(A$46)+1))),),"")</f>
        <v>0</v>
      </c>
      <c r="X57">
        <f t="array" ref="X57">IFERROR(CONCATENATE((INDEX($AA$7:$AA$43,SMALL(IF($AA$7:$AA$43&lt;&gt;"",IF($X$7:$X$43&lt;&gt;"",ROW($X$7:$X$43)-MIN(ROW($X$7:$X$43))+1,""),""),ROW()-ROW(A$46)+1)))," "),"")</f>
        <v>0</v>
      </c>
      <c r="Y57">
        <f t="array" ref="Y57">IFERROR(CONCATENATE(TEXT(INDEX($X$7:$X$43,SMALL(IF($AA$7:$AA$43&lt;&gt;"",IF($X$7:$X$43&lt;&gt;"",ROW($X$7:$X$43)-MIN(ROW($X$7:$X$43))+1,""),""),ROW()-ROW(A$46)+1)),"##0")," "),"")</f>
        <v>0</v>
      </c>
      <c r="Z57">
        <f t="array" ref="Z57">IFERROR(CONCATENATE((INDEX($A$7:$A$43,SMALL(IF($AA$7:$AA$43&lt;&gt;"",IF($X$7:$X$43&lt;&gt;"",ROW($X$7:$X$43)-MIN(ROW($X$7:$X$43))+1,""),""),ROW()-ROW(A$46)+1))),),"")</f>
        <v>0</v>
      </c>
      <c r="AC57">
        <f t="array" ref="AC57">IFERROR(CONCATENATE((INDEX($AF$7:$AF$43,SMALL(IF($AF$7:$AF$43&lt;&gt;"",IF($AC$7:$AC$43&lt;&gt;"",ROW($AC$7:$AC$43)-MIN(ROW($AC$7:$AC$43))+1,""),""),ROW()-ROW(A$46)+1))),","),"")</f>
        <v>0</v>
      </c>
      <c r="AD57">
        <f t="array" ref="AD57">IFERROR(CONCATENATE(TEXT(INDEX($AC$7:$AC$43,SMALL(IF($AF$7:$AF$43&lt;&gt;"",IF($AC$7:$AC$43&lt;&gt;"",ROW($AC$7:$AC$43)-MIN(ROW($AC$7:$AC$43))+1,""),""),ROW()-ROW(A$46)+1)),"##0"),","),"")</f>
        <v>0</v>
      </c>
      <c r="AE57">
        <f t="array" ref="AE57">IFERROR(CONCATENATE((INDEX($A$7:$A$43,SMALL(IF($AF$7:$AF$43&lt;&gt;"",IF($AC$7:$AC$43&lt;&gt;"",ROW($AC$7:$AC$43)-MIN(ROW($AC$7:$AC$43))+1,""),""),ROW()-ROW(A$46)+1))),),"")</f>
        <v>0</v>
      </c>
      <c r="AH57">
        <f t="array" ref="AH57">IFERROR(CONCATENATE((INDEX($AK$7:$AK$43,SMALL(IF($AK$7:$AK$43&lt;&gt;"",IF($AH$7:$AH$43&lt;&gt;"",ROW($AH$7:$AH$43)-MIN(ROW($AH$7:$AH$43))+1,""),""),ROW()-ROW(A$46)+1)))," "),"")</f>
        <v>0</v>
      </c>
      <c r="AI57">
        <f t="array" ref="AI57">IFERROR(CONCATENATE(TEXT(INDEX($AH$7:$AH$43,SMALL(IF($AK$7:$AK$43&lt;&gt;"",IF($AH$7:$AH$43&lt;&gt;"",ROW($AH$7:$AH$43)-MIN(ROW($AH$7:$AH$43))+1,""),""),ROW()-ROW(A$46)+1)),"##0")," "),"")</f>
        <v>0</v>
      </c>
      <c r="AJ57">
        <f t="array" ref="AJ57">IFERROR(CONCATENATE((INDEX($A$7:$A$43,SMALL(IF($AK$7:$AK$43&lt;&gt;"",IF($AH$7:$AH$43&lt;&gt;"",ROW($AH$7:$AH$43)-MIN(ROW($AH$7:$AH$43))+1,""),""),ROW()-ROW(A$46)+1))),),"")</f>
        <v>0</v>
      </c>
      <c r="AM57">
        <f t="array" ref="AM57">IFERROR(CONCATENATE((INDEX($AP$7:$AP$43,SMALL(IF($AP$7:$AP$43&lt;&gt;"",IF($AM$7:$AM$43&lt;&gt;"",ROW($AM$7:$AM$43)-MIN(ROW($AM$7:$AM$43))+1,""),""),ROW()-ROW(A$46)+1)))," "),"")</f>
        <v>0</v>
      </c>
      <c r="AN57">
        <f t="array" ref="AN57">IFERROR(CONCATENATE(TEXT(INDEX($AM$7:$AM$43,SMALL(IF($AP$7:$AP$43&lt;&gt;"",IF($AM$7:$AM$43&lt;&gt;"",ROW($AM$7:$AM$43)-MIN(ROW($AM$7:$AM$43))+1,""),""),ROW()-ROW(A$46)+1)),"##0")," "),"")</f>
        <v>0</v>
      </c>
      <c r="AO57">
        <f t="array" ref="AO57">IFERROR(CONCATENATE((INDEX($A$7:$A$43,SMALL(IF($AP$7:$AP$43&lt;&gt;"",IF($AM$7:$AM$43&lt;&gt;"",ROW($AM$7:$AM$43)-MIN(ROW($AM$7:$AM$43))+1,""),""),ROW()-ROW(A$46)+1))),),"")</f>
        <v>0</v>
      </c>
    </row>
    <row r="58" spans="9:41">
      <c r="I58">
        <f t="array" ref="I58">IFERROR(CONCATENATE((INDEX($L$7:$L$43,SMALL(IF($L$7:$L$43&lt;&gt;"",IF($I$7:$I$43&lt;&gt;"",ROW($I$7:$I$43)-MIN(ROW($I$7:$I$43))+1,""),""),ROW()-ROW(A$46)+1))),","),"")</f>
        <v>0</v>
      </c>
      <c r="J58">
        <f t="array" ref="J58">IFERROR(CONCATENATE(TEXT(INDEX($I$7:$I$43,SMALL(IF($L$7:$L$43&lt;&gt;"",IF($I$7:$I$43&lt;&gt;"",ROW($I$7:$I$43)-MIN(ROW($I$7:$I$43))+1,""),""),ROW()-ROW(A$46)+1)),"##0"),","),"")</f>
        <v>0</v>
      </c>
      <c r="K58">
        <f t="array" ref="K58">IFERROR(CONCATENATE((INDEX($A$7:$A$43,SMALL(IF($L$7:$L$43&lt;&gt;"",IF($I$7:$I$43&lt;&gt;"",ROW($I$7:$I$43)-MIN(ROW($I$7:$I$43))+1,""),""),ROW()-ROW(A$46)+1))),),"")</f>
        <v>0</v>
      </c>
      <c r="N58">
        <f t="array" ref="N58">IFERROR(CONCATENATE(TEXT(INDEX($N$7:$N$43,SMALL(IF($Q$7:$Q$43&lt;&gt;"",IF($N$7:$N$43&lt;&gt;"",ROW($N$7:$N$43)-MIN(ROW($N$7:$N$43))+1,""),""),ROW()-ROW(A$46)+1)),"##0"),","),"")</f>
        <v>0</v>
      </c>
      <c r="O58">
        <f t="array" ref="O58">IFERROR(CONCATENATE((INDEX($Q$7:$Q$43,SMALL(IF($Q$7:$Q$43&lt;&gt;"",IF($N$7:$N$43&lt;&gt;"",ROW($N$7:$N$43)-MIN(ROW($N$7:$N$43))+1,""),""),ROW()-ROW(A$46)+1))),","),"")</f>
        <v>0</v>
      </c>
      <c r="P58">
        <f t="array" ref="P58">IFERROR(CONCATENATE((INDEX($A$7:$A$43,SMALL(IF($Q$7:$Q$43&lt;&gt;"",IF($N$7:$N$43&lt;&gt;"",ROW($N$7:$N$43)-MIN(ROW($N$7:$N$43))+1,""),""),ROW()-ROW(A$46)+1))),),"")</f>
        <v>0</v>
      </c>
      <c r="S58">
        <f t="array" ref="S58">IFERROR(CONCATENATE((INDEX($V$7:$V$43,SMALL(IF($V$7:$V$43&lt;&gt;"",IF($S$7:$S$43&lt;&gt;"",ROW($S$7:$S$43)-MIN(ROW($S$7:$S$43))+1,""),""),ROW()-ROW(A$46)+1)))," "),"")</f>
        <v>0</v>
      </c>
      <c r="T58">
        <f t="array" ref="T58">IFERROR(CONCATENATE(TEXT(INDEX($S$7:$S$43,SMALL(IF($V$7:$V$43&lt;&gt;"",IF($S$7:$S$43&lt;&gt;"",ROW($S$7:$S$43)-MIN(ROW($S$7:$S$43))+1,""),""),ROW()-ROW(A$46)+1)),"##0")," "),"")</f>
        <v>0</v>
      </c>
      <c r="U58">
        <f t="array" ref="U58">IFERROR(CONCATENATE((INDEX($A$7:$A$43,SMALL(IF($V$7:$V$43&lt;&gt;"",IF($S$7:$S$43&lt;&gt;"",ROW($S$7:$S$43)-MIN(ROW($S$7:$S$43))+1,""),""),ROW()-ROW(A$46)+1))),),"")</f>
        <v>0</v>
      </c>
      <c r="X58">
        <f t="array" ref="X58">IFERROR(CONCATENATE((INDEX($AA$7:$AA$43,SMALL(IF($AA$7:$AA$43&lt;&gt;"",IF($X$7:$X$43&lt;&gt;"",ROW($X$7:$X$43)-MIN(ROW($X$7:$X$43))+1,""),""),ROW()-ROW(A$46)+1)))," "),"")</f>
        <v>0</v>
      </c>
      <c r="Y58">
        <f t="array" ref="Y58">IFERROR(CONCATENATE(TEXT(INDEX($X$7:$X$43,SMALL(IF($AA$7:$AA$43&lt;&gt;"",IF($X$7:$X$43&lt;&gt;"",ROW($X$7:$X$43)-MIN(ROW($X$7:$X$43))+1,""),""),ROW()-ROW(A$46)+1)),"##0")," "),"")</f>
        <v>0</v>
      </c>
      <c r="Z58">
        <f t="array" ref="Z58">IFERROR(CONCATENATE((INDEX($A$7:$A$43,SMALL(IF($AA$7:$AA$43&lt;&gt;"",IF($X$7:$X$43&lt;&gt;"",ROW($X$7:$X$43)-MIN(ROW($X$7:$X$43))+1,""),""),ROW()-ROW(A$46)+1))),),"")</f>
        <v>0</v>
      </c>
      <c r="AC58">
        <f t="array" ref="AC58">IFERROR(CONCATENATE((INDEX($AF$7:$AF$43,SMALL(IF($AF$7:$AF$43&lt;&gt;"",IF($AC$7:$AC$43&lt;&gt;"",ROW($AC$7:$AC$43)-MIN(ROW($AC$7:$AC$43))+1,""),""),ROW()-ROW(A$46)+1))),","),"")</f>
        <v>0</v>
      </c>
      <c r="AD58">
        <f t="array" ref="AD58">IFERROR(CONCATENATE(TEXT(INDEX($AC$7:$AC$43,SMALL(IF($AF$7:$AF$43&lt;&gt;"",IF($AC$7:$AC$43&lt;&gt;"",ROW($AC$7:$AC$43)-MIN(ROW($AC$7:$AC$43))+1,""),""),ROW()-ROW(A$46)+1)),"##0"),","),"")</f>
        <v>0</v>
      </c>
      <c r="AE58">
        <f t="array" ref="AE58">IFERROR(CONCATENATE((INDEX($A$7:$A$43,SMALL(IF($AF$7:$AF$43&lt;&gt;"",IF($AC$7:$AC$43&lt;&gt;"",ROW($AC$7:$AC$43)-MIN(ROW($AC$7:$AC$43))+1,""),""),ROW()-ROW(A$46)+1))),),"")</f>
        <v>0</v>
      </c>
      <c r="AH58">
        <f t="array" ref="AH58">IFERROR(CONCATENATE((INDEX($AK$7:$AK$43,SMALL(IF($AK$7:$AK$43&lt;&gt;"",IF($AH$7:$AH$43&lt;&gt;"",ROW($AH$7:$AH$43)-MIN(ROW($AH$7:$AH$43))+1,""),""),ROW()-ROW(A$46)+1)))," "),"")</f>
        <v>0</v>
      </c>
      <c r="AI58">
        <f t="array" ref="AI58">IFERROR(CONCATENATE(TEXT(INDEX($AH$7:$AH$43,SMALL(IF($AK$7:$AK$43&lt;&gt;"",IF($AH$7:$AH$43&lt;&gt;"",ROW($AH$7:$AH$43)-MIN(ROW($AH$7:$AH$43))+1,""),""),ROW()-ROW(A$46)+1)),"##0")," "),"")</f>
        <v>0</v>
      </c>
      <c r="AJ58">
        <f t="array" ref="AJ58">IFERROR(CONCATENATE((INDEX($A$7:$A$43,SMALL(IF($AK$7:$AK$43&lt;&gt;"",IF($AH$7:$AH$43&lt;&gt;"",ROW($AH$7:$AH$43)-MIN(ROW($AH$7:$AH$43))+1,""),""),ROW()-ROW(A$46)+1))),),"")</f>
        <v>0</v>
      </c>
      <c r="AM58">
        <f t="array" ref="AM58">IFERROR(CONCATENATE((INDEX($AP$7:$AP$43,SMALL(IF($AP$7:$AP$43&lt;&gt;"",IF($AM$7:$AM$43&lt;&gt;"",ROW($AM$7:$AM$43)-MIN(ROW($AM$7:$AM$43))+1,""),""),ROW()-ROW(A$46)+1)))," "),"")</f>
        <v>0</v>
      </c>
      <c r="AN58">
        <f t="array" ref="AN58">IFERROR(CONCATENATE(TEXT(INDEX($AM$7:$AM$43,SMALL(IF($AP$7:$AP$43&lt;&gt;"",IF($AM$7:$AM$43&lt;&gt;"",ROW($AM$7:$AM$43)-MIN(ROW($AM$7:$AM$43))+1,""),""),ROW()-ROW(A$46)+1)),"##0")," "),"")</f>
        <v>0</v>
      </c>
      <c r="AO58">
        <f t="array" ref="AO58">IFERROR(CONCATENATE((INDEX($A$7:$A$43,SMALL(IF($AP$7:$AP$43&lt;&gt;"",IF($AM$7:$AM$43&lt;&gt;"",ROW($AM$7:$AM$43)-MIN(ROW($AM$7:$AM$43))+1,""),""),ROW()-ROW(A$46)+1))),),"")</f>
        <v>0</v>
      </c>
    </row>
    <row r="59" spans="9:41">
      <c r="I59">
        <f t="array" ref="I59">IFERROR(CONCATENATE((INDEX($L$7:$L$43,SMALL(IF($L$7:$L$43&lt;&gt;"",IF($I$7:$I$43&lt;&gt;"",ROW($I$7:$I$43)-MIN(ROW($I$7:$I$43))+1,""),""),ROW()-ROW(A$46)+1))),","),"")</f>
        <v>0</v>
      </c>
      <c r="J59">
        <f t="array" ref="J59">IFERROR(CONCATENATE(TEXT(INDEX($I$7:$I$43,SMALL(IF($L$7:$L$43&lt;&gt;"",IF($I$7:$I$43&lt;&gt;"",ROW($I$7:$I$43)-MIN(ROW($I$7:$I$43))+1,""),""),ROW()-ROW(A$46)+1)),"##0"),","),"")</f>
        <v>0</v>
      </c>
      <c r="K59">
        <f t="array" ref="K59">IFERROR(CONCATENATE((INDEX($A$7:$A$43,SMALL(IF($L$7:$L$43&lt;&gt;"",IF($I$7:$I$43&lt;&gt;"",ROW($I$7:$I$43)-MIN(ROW($I$7:$I$43))+1,""),""),ROW()-ROW(A$46)+1))),),"")</f>
        <v>0</v>
      </c>
      <c r="N59">
        <f t="array" ref="N59">IFERROR(CONCATENATE(TEXT(INDEX($N$7:$N$43,SMALL(IF($Q$7:$Q$43&lt;&gt;"",IF($N$7:$N$43&lt;&gt;"",ROW($N$7:$N$43)-MIN(ROW($N$7:$N$43))+1,""),""),ROW()-ROW(A$46)+1)),"##0"),","),"")</f>
        <v>0</v>
      </c>
      <c r="O59">
        <f t="array" ref="O59">IFERROR(CONCATENATE((INDEX($Q$7:$Q$43,SMALL(IF($Q$7:$Q$43&lt;&gt;"",IF($N$7:$N$43&lt;&gt;"",ROW($N$7:$N$43)-MIN(ROW($N$7:$N$43))+1,""),""),ROW()-ROW(A$46)+1))),","),"")</f>
        <v>0</v>
      </c>
      <c r="P59">
        <f t="array" ref="P59">IFERROR(CONCATENATE((INDEX($A$7:$A$43,SMALL(IF($Q$7:$Q$43&lt;&gt;"",IF($N$7:$N$43&lt;&gt;"",ROW($N$7:$N$43)-MIN(ROW($N$7:$N$43))+1,""),""),ROW()-ROW(A$46)+1))),),"")</f>
        <v>0</v>
      </c>
      <c r="S59">
        <f t="array" ref="S59">IFERROR(CONCATENATE((INDEX($V$7:$V$43,SMALL(IF($V$7:$V$43&lt;&gt;"",IF($S$7:$S$43&lt;&gt;"",ROW($S$7:$S$43)-MIN(ROW($S$7:$S$43))+1,""),""),ROW()-ROW(A$46)+1)))," "),"")</f>
        <v>0</v>
      </c>
      <c r="T59">
        <f t="array" ref="T59">IFERROR(CONCATENATE(TEXT(INDEX($S$7:$S$43,SMALL(IF($V$7:$V$43&lt;&gt;"",IF($S$7:$S$43&lt;&gt;"",ROW($S$7:$S$43)-MIN(ROW($S$7:$S$43))+1,""),""),ROW()-ROW(A$46)+1)),"##0")," "),"")</f>
        <v>0</v>
      </c>
      <c r="U59">
        <f t="array" ref="U59">IFERROR(CONCATENATE((INDEX($A$7:$A$43,SMALL(IF($V$7:$V$43&lt;&gt;"",IF($S$7:$S$43&lt;&gt;"",ROW($S$7:$S$43)-MIN(ROW($S$7:$S$43))+1,""),""),ROW()-ROW(A$46)+1))),),"")</f>
        <v>0</v>
      </c>
      <c r="X59">
        <f t="array" ref="X59">IFERROR(CONCATENATE((INDEX($AA$7:$AA$43,SMALL(IF($AA$7:$AA$43&lt;&gt;"",IF($X$7:$X$43&lt;&gt;"",ROW($X$7:$X$43)-MIN(ROW($X$7:$X$43))+1,""),""),ROW()-ROW(A$46)+1)))," "),"")</f>
        <v>0</v>
      </c>
      <c r="Y59">
        <f t="array" ref="Y59">IFERROR(CONCATENATE(TEXT(INDEX($X$7:$X$43,SMALL(IF($AA$7:$AA$43&lt;&gt;"",IF($X$7:$X$43&lt;&gt;"",ROW($X$7:$X$43)-MIN(ROW($X$7:$X$43))+1,""),""),ROW()-ROW(A$46)+1)),"##0")," "),"")</f>
        <v>0</v>
      </c>
      <c r="Z59">
        <f t="array" ref="Z59">IFERROR(CONCATENATE((INDEX($A$7:$A$43,SMALL(IF($AA$7:$AA$43&lt;&gt;"",IF($X$7:$X$43&lt;&gt;"",ROW($X$7:$X$43)-MIN(ROW($X$7:$X$43))+1,""),""),ROW()-ROW(A$46)+1))),),"")</f>
        <v>0</v>
      </c>
      <c r="AC59">
        <f t="array" ref="AC59">IFERROR(CONCATENATE((INDEX($AF$7:$AF$43,SMALL(IF($AF$7:$AF$43&lt;&gt;"",IF($AC$7:$AC$43&lt;&gt;"",ROW($AC$7:$AC$43)-MIN(ROW($AC$7:$AC$43))+1,""),""),ROW()-ROW(A$46)+1))),","),"")</f>
        <v>0</v>
      </c>
      <c r="AD59">
        <f t="array" ref="AD59">IFERROR(CONCATENATE(TEXT(INDEX($AC$7:$AC$43,SMALL(IF($AF$7:$AF$43&lt;&gt;"",IF($AC$7:$AC$43&lt;&gt;"",ROW($AC$7:$AC$43)-MIN(ROW($AC$7:$AC$43))+1,""),""),ROW()-ROW(A$46)+1)),"##0"),","),"")</f>
        <v>0</v>
      </c>
      <c r="AE59">
        <f t="array" ref="AE59">IFERROR(CONCATENATE((INDEX($A$7:$A$43,SMALL(IF($AF$7:$AF$43&lt;&gt;"",IF($AC$7:$AC$43&lt;&gt;"",ROW($AC$7:$AC$43)-MIN(ROW($AC$7:$AC$43))+1,""),""),ROW()-ROW(A$46)+1))),),"")</f>
        <v>0</v>
      </c>
      <c r="AH59">
        <f t="array" ref="AH59">IFERROR(CONCATENATE((INDEX($AK$7:$AK$43,SMALL(IF($AK$7:$AK$43&lt;&gt;"",IF($AH$7:$AH$43&lt;&gt;"",ROW($AH$7:$AH$43)-MIN(ROW($AH$7:$AH$43))+1,""),""),ROW()-ROW(A$46)+1)))," "),"")</f>
        <v>0</v>
      </c>
      <c r="AI59">
        <f t="array" ref="AI59">IFERROR(CONCATENATE(TEXT(INDEX($AH$7:$AH$43,SMALL(IF($AK$7:$AK$43&lt;&gt;"",IF($AH$7:$AH$43&lt;&gt;"",ROW($AH$7:$AH$43)-MIN(ROW($AH$7:$AH$43))+1,""),""),ROW()-ROW(A$46)+1)),"##0")," "),"")</f>
        <v>0</v>
      </c>
      <c r="AJ59">
        <f t="array" ref="AJ59">IFERROR(CONCATENATE((INDEX($A$7:$A$43,SMALL(IF($AK$7:$AK$43&lt;&gt;"",IF($AH$7:$AH$43&lt;&gt;"",ROW($AH$7:$AH$43)-MIN(ROW($AH$7:$AH$43))+1,""),""),ROW()-ROW(A$46)+1))),),"")</f>
        <v>0</v>
      </c>
      <c r="AM59">
        <f t="array" ref="AM59">IFERROR(CONCATENATE((INDEX($AP$7:$AP$43,SMALL(IF($AP$7:$AP$43&lt;&gt;"",IF($AM$7:$AM$43&lt;&gt;"",ROW($AM$7:$AM$43)-MIN(ROW($AM$7:$AM$43))+1,""),""),ROW()-ROW(A$46)+1)))," "),"")</f>
        <v>0</v>
      </c>
      <c r="AN59">
        <f t="array" ref="AN59">IFERROR(CONCATENATE(TEXT(INDEX($AM$7:$AM$43,SMALL(IF($AP$7:$AP$43&lt;&gt;"",IF($AM$7:$AM$43&lt;&gt;"",ROW($AM$7:$AM$43)-MIN(ROW($AM$7:$AM$43))+1,""),""),ROW()-ROW(A$46)+1)),"##0")," "),"")</f>
        <v>0</v>
      </c>
      <c r="AO59">
        <f t="array" ref="AO59">IFERROR(CONCATENATE((INDEX($A$7:$A$43,SMALL(IF($AP$7:$AP$43&lt;&gt;"",IF($AM$7:$AM$43&lt;&gt;"",ROW($AM$7:$AM$43)-MIN(ROW($AM$7:$AM$43))+1,""),""),ROW()-ROW(A$46)+1))),),"")</f>
        <v>0</v>
      </c>
    </row>
    <row r="60" spans="9:41">
      <c r="I60">
        <f t="array" ref="I60">IFERROR(CONCATENATE((INDEX($L$7:$L$43,SMALL(IF($L$7:$L$43&lt;&gt;"",IF($I$7:$I$43&lt;&gt;"",ROW($I$7:$I$43)-MIN(ROW($I$7:$I$43))+1,""),""),ROW()-ROW(A$46)+1))),","),"")</f>
        <v>0</v>
      </c>
      <c r="J60">
        <f t="array" ref="J60">IFERROR(CONCATENATE(TEXT(INDEX($I$7:$I$43,SMALL(IF($L$7:$L$43&lt;&gt;"",IF($I$7:$I$43&lt;&gt;"",ROW($I$7:$I$43)-MIN(ROW($I$7:$I$43))+1,""),""),ROW()-ROW(A$46)+1)),"##0"),","),"")</f>
        <v>0</v>
      </c>
      <c r="K60">
        <f t="array" ref="K60">IFERROR(CONCATENATE((INDEX($A$7:$A$43,SMALL(IF($L$7:$L$43&lt;&gt;"",IF($I$7:$I$43&lt;&gt;"",ROW($I$7:$I$43)-MIN(ROW($I$7:$I$43))+1,""),""),ROW()-ROW(A$46)+1))),),"")</f>
        <v>0</v>
      </c>
      <c r="N60">
        <f t="array" ref="N60">IFERROR(CONCATENATE(TEXT(INDEX($N$7:$N$43,SMALL(IF($Q$7:$Q$43&lt;&gt;"",IF($N$7:$N$43&lt;&gt;"",ROW($N$7:$N$43)-MIN(ROW($N$7:$N$43))+1,""),""),ROW()-ROW(A$46)+1)),"##0"),","),"")</f>
        <v>0</v>
      </c>
      <c r="O60">
        <f t="array" ref="O60">IFERROR(CONCATENATE((INDEX($Q$7:$Q$43,SMALL(IF($Q$7:$Q$43&lt;&gt;"",IF($N$7:$N$43&lt;&gt;"",ROW($N$7:$N$43)-MIN(ROW($N$7:$N$43))+1,""),""),ROW()-ROW(A$46)+1))),","),"")</f>
        <v>0</v>
      </c>
      <c r="P60">
        <f t="array" ref="P60">IFERROR(CONCATENATE((INDEX($A$7:$A$43,SMALL(IF($Q$7:$Q$43&lt;&gt;"",IF($N$7:$N$43&lt;&gt;"",ROW($N$7:$N$43)-MIN(ROW($N$7:$N$43))+1,""),""),ROW()-ROW(A$46)+1))),),"")</f>
        <v>0</v>
      </c>
      <c r="S60">
        <f t="array" ref="S60">IFERROR(CONCATENATE((INDEX($V$7:$V$43,SMALL(IF($V$7:$V$43&lt;&gt;"",IF($S$7:$S$43&lt;&gt;"",ROW($S$7:$S$43)-MIN(ROW($S$7:$S$43))+1,""),""),ROW()-ROW(A$46)+1)))," "),"")</f>
        <v>0</v>
      </c>
      <c r="T60">
        <f t="array" ref="T60">IFERROR(CONCATENATE(TEXT(INDEX($S$7:$S$43,SMALL(IF($V$7:$V$43&lt;&gt;"",IF($S$7:$S$43&lt;&gt;"",ROW($S$7:$S$43)-MIN(ROW($S$7:$S$43))+1,""),""),ROW()-ROW(A$46)+1)),"##0")," "),"")</f>
        <v>0</v>
      </c>
      <c r="U60">
        <f t="array" ref="U60">IFERROR(CONCATENATE((INDEX($A$7:$A$43,SMALL(IF($V$7:$V$43&lt;&gt;"",IF($S$7:$S$43&lt;&gt;"",ROW($S$7:$S$43)-MIN(ROW($S$7:$S$43))+1,""),""),ROW()-ROW(A$46)+1))),),"")</f>
        <v>0</v>
      </c>
      <c r="X60">
        <f t="array" ref="X60">IFERROR(CONCATENATE((INDEX($AA$7:$AA$43,SMALL(IF($AA$7:$AA$43&lt;&gt;"",IF($X$7:$X$43&lt;&gt;"",ROW($X$7:$X$43)-MIN(ROW($X$7:$X$43))+1,""),""),ROW()-ROW(A$46)+1)))," "),"")</f>
        <v>0</v>
      </c>
      <c r="Y60">
        <f t="array" ref="Y60">IFERROR(CONCATENATE(TEXT(INDEX($X$7:$X$43,SMALL(IF($AA$7:$AA$43&lt;&gt;"",IF($X$7:$X$43&lt;&gt;"",ROW($X$7:$X$43)-MIN(ROW($X$7:$X$43))+1,""),""),ROW()-ROW(A$46)+1)),"##0")," "),"")</f>
        <v>0</v>
      </c>
      <c r="Z60">
        <f t="array" ref="Z60">IFERROR(CONCATENATE((INDEX($A$7:$A$43,SMALL(IF($AA$7:$AA$43&lt;&gt;"",IF($X$7:$X$43&lt;&gt;"",ROW($X$7:$X$43)-MIN(ROW($X$7:$X$43))+1,""),""),ROW()-ROW(A$46)+1))),),"")</f>
        <v>0</v>
      </c>
      <c r="AC60">
        <f t="array" ref="AC60">IFERROR(CONCATENATE((INDEX($AF$7:$AF$43,SMALL(IF($AF$7:$AF$43&lt;&gt;"",IF($AC$7:$AC$43&lt;&gt;"",ROW($AC$7:$AC$43)-MIN(ROW($AC$7:$AC$43))+1,""),""),ROW()-ROW(A$46)+1))),","),"")</f>
        <v>0</v>
      </c>
      <c r="AD60">
        <f t="array" ref="AD60">IFERROR(CONCATENATE(TEXT(INDEX($AC$7:$AC$43,SMALL(IF($AF$7:$AF$43&lt;&gt;"",IF($AC$7:$AC$43&lt;&gt;"",ROW($AC$7:$AC$43)-MIN(ROW($AC$7:$AC$43))+1,""),""),ROW()-ROW(A$46)+1)),"##0"),","),"")</f>
        <v>0</v>
      </c>
      <c r="AE60">
        <f t="array" ref="AE60">IFERROR(CONCATENATE((INDEX($A$7:$A$43,SMALL(IF($AF$7:$AF$43&lt;&gt;"",IF($AC$7:$AC$43&lt;&gt;"",ROW($AC$7:$AC$43)-MIN(ROW($AC$7:$AC$43))+1,""),""),ROW()-ROW(A$46)+1))),),"")</f>
        <v>0</v>
      </c>
      <c r="AH60">
        <f t="array" ref="AH60">IFERROR(CONCATENATE((INDEX($AK$7:$AK$43,SMALL(IF($AK$7:$AK$43&lt;&gt;"",IF($AH$7:$AH$43&lt;&gt;"",ROW($AH$7:$AH$43)-MIN(ROW($AH$7:$AH$43))+1,""),""),ROW()-ROW(A$46)+1)))," "),"")</f>
        <v>0</v>
      </c>
      <c r="AI60">
        <f t="array" ref="AI60">IFERROR(CONCATENATE(TEXT(INDEX($AH$7:$AH$43,SMALL(IF($AK$7:$AK$43&lt;&gt;"",IF($AH$7:$AH$43&lt;&gt;"",ROW($AH$7:$AH$43)-MIN(ROW($AH$7:$AH$43))+1,""),""),ROW()-ROW(A$46)+1)),"##0")," "),"")</f>
        <v>0</v>
      </c>
      <c r="AJ60">
        <f t="array" ref="AJ60">IFERROR(CONCATENATE((INDEX($A$7:$A$43,SMALL(IF($AK$7:$AK$43&lt;&gt;"",IF($AH$7:$AH$43&lt;&gt;"",ROW($AH$7:$AH$43)-MIN(ROW($AH$7:$AH$43))+1,""),""),ROW()-ROW(A$46)+1))),),"")</f>
        <v>0</v>
      </c>
      <c r="AM60">
        <f t="array" ref="AM60">IFERROR(CONCATENATE((INDEX($AP$7:$AP$43,SMALL(IF($AP$7:$AP$43&lt;&gt;"",IF($AM$7:$AM$43&lt;&gt;"",ROW($AM$7:$AM$43)-MIN(ROW($AM$7:$AM$43))+1,""),""),ROW()-ROW(A$46)+1)))," "),"")</f>
        <v>0</v>
      </c>
      <c r="AN60">
        <f t="array" ref="AN60">IFERROR(CONCATENATE(TEXT(INDEX($AM$7:$AM$43,SMALL(IF($AP$7:$AP$43&lt;&gt;"",IF($AM$7:$AM$43&lt;&gt;"",ROW($AM$7:$AM$43)-MIN(ROW($AM$7:$AM$43))+1,""),""),ROW()-ROW(A$46)+1)),"##0")," "),"")</f>
        <v>0</v>
      </c>
      <c r="AO60">
        <f t="array" ref="AO60">IFERROR(CONCATENATE((INDEX($A$7:$A$43,SMALL(IF($AP$7:$AP$43&lt;&gt;"",IF($AM$7:$AM$43&lt;&gt;"",ROW($AM$7:$AM$43)-MIN(ROW($AM$7:$AM$43))+1,""),""),ROW()-ROW(A$46)+1))),),"")</f>
        <v>0</v>
      </c>
    </row>
    <row r="61" spans="9:41">
      <c r="I61">
        <f t="array" ref="I61">IFERROR(CONCATENATE((INDEX($L$7:$L$43,SMALL(IF($L$7:$L$43&lt;&gt;"",IF($I$7:$I$43&lt;&gt;"",ROW($I$7:$I$43)-MIN(ROW($I$7:$I$43))+1,""),""),ROW()-ROW(A$46)+1))),","),"")</f>
        <v>0</v>
      </c>
      <c r="J61">
        <f t="array" ref="J61">IFERROR(CONCATENATE(TEXT(INDEX($I$7:$I$43,SMALL(IF($L$7:$L$43&lt;&gt;"",IF($I$7:$I$43&lt;&gt;"",ROW($I$7:$I$43)-MIN(ROW($I$7:$I$43))+1,""),""),ROW()-ROW(A$46)+1)),"##0"),","),"")</f>
        <v>0</v>
      </c>
      <c r="K61">
        <f t="array" ref="K61">IFERROR(CONCATENATE((INDEX($A$7:$A$43,SMALL(IF($L$7:$L$43&lt;&gt;"",IF($I$7:$I$43&lt;&gt;"",ROW($I$7:$I$43)-MIN(ROW($I$7:$I$43))+1,""),""),ROW()-ROW(A$46)+1))),),"")</f>
        <v>0</v>
      </c>
      <c r="N61">
        <f t="array" ref="N61">IFERROR(CONCATENATE(TEXT(INDEX($N$7:$N$43,SMALL(IF($Q$7:$Q$43&lt;&gt;"",IF($N$7:$N$43&lt;&gt;"",ROW($N$7:$N$43)-MIN(ROW($N$7:$N$43))+1,""),""),ROW()-ROW(A$46)+1)),"##0"),","),"")</f>
        <v>0</v>
      </c>
      <c r="O61">
        <f t="array" ref="O61">IFERROR(CONCATENATE((INDEX($Q$7:$Q$43,SMALL(IF($Q$7:$Q$43&lt;&gt;"",IF($N$7:$N$43&lt;&gt;"",ROW($N$7:$N$43)-MIN(ROW($N$7:$N$43))+1,""),""),ROW()-ROW(A$46)+1))),","),"")</f>
        <v>0</v>
      </c>
      <c r="P61">
        <f t="array" ref="P61">IFERROR(CONCATENATE((INDEX($A$7:$A$43,SMALL(IF($Q$7:$Q$43&lt;&gt;"",IF($N$7:$N$43&lt;&gt;"",ROW($N$7:$N$43)-MIN(ROW($N$7:$N$43))+1,""),""),ROW()-ROW(A$46)+1))),),"")</f>
        <v>0</v>
      </c>
      <c r="S61">
        <f t="array" ref="S61">IFERROR(CONCATENATE((INDEX($V$7:$V$43,SMALL(IF($V$7:$V$43&lt;&gt;"",IF($S$7:$S$43&lt;&gt;"",ROW($S$7:$S$43)-MIN(ROW($S$7:$S$43))+1,""),""),ROW()-ROW(A$46)+1)))," "),"")</f>
        <v>0</v>
      </c>
      <c r="T61">
        <f t="array" ref="T61">IFERROR(CONCATENATE(TEXT(INDEX($S$7:$S$43,SMALL(IF($V$7:$V$43&lt;&gt;"",IF($S$7:$S$43&lt;&gt;"",ROW($S$7:$S$43)-MIN(ROW($S$7:$S$43))+1,""),""),ROW()-ROW(A$46)+1)),"##0")," "),"")</f>
        <v>0</v>
      </c>
      <c r="U61">
        <f t="array" ref="U61">IFERROR(CONCATENATE((INDEX($A$7:$A$43,SMALL(IF($V$7:$V$43&lt;&gt;"",IF($S$7:$S$43&lt;&gt;"",ROW($S$7:$S$43)-MIN(ROW($S$7:$S$43))+1,""),""),ROW()-ROW(A$46)+1))),),"")</f>
        <v>0</v>
      </c>
      <c r="X61">
        <f t="array" ref="X61">IFERROR(CONCATENATE((INDEX($AA$7:$AA$43,SMALL(IF($AA$7:$AA$43&lt;&gt;"",IF($X$7:$X$43&lt;&gt;"",ROW($X$7:$X$43)-MIN(ROW($X$7:$X$43))+1,""),""),ROW()-ROW(A$46)+1)))," "),"")</f>
        <v>0</v>
      </c>
      <c r="Y61">
        <f t="array" ref="Y61">IFERROR(CONCATENATE(TEXT(INDEX($X$7:$X$43,SMALL(IF($AA$7:$AA$43&lt;&gt;"",IF($X$7:$X$43&lt;&gt;"",ROW($X$7:$X$43)-MIN(ROW($X$7:$X$43))+1,""),""),ROW()-ROW(A$46)+1)),"##0")," "),"")</f>
        <v>0</v>
      </c>
      <c r="Z61">
        <f t="array" ref="Z61">IFERROR(CONCATENATE((INDEX($A$7:$A$43,SMALL(IF($AA$7:$AA$43&lt;&gt;"",IF($X$7:$X$43&lt;&gt;"",ROW($X$7:$X$43)-MIN(ROW($X$7:$X$43))+1,""),""),ROW()-ROW(A$46)+1))),),"")</f>
        <v>0</v>
      </c>
      <c r="AC61">
        <f t="array" ref="AC61">IFERROR(CONCATENATE((INDEX($AF$7:$AF$43,SMALL(IF($AF$7:$AF$43&lt;&gt;"",IF($AC$7:$AC$43&lt;&gt;"",ROW($AC$7:$AC$43)-MIN(ROW($AC$7:$AC$43))+1,""),""),ROW()-ROW(A$46)+1))),","),"")</f>
        <v>0</v>
      </c>
      <c r="AD61">
        <f t="array" ref="AD61">IFERROR(CONCATENATE(TEXT(INDEX($AC$7:$AC$43,SMALL(IF($AF$7:$AF$43&lt;&gt;"",IF($AC$7:$AC$43&lt;&gt;"",ROW($AC$7:$AC$43)-MIN(ROW($AC$7:$AC$43))+1,""),""),ROW()-ROW(A$46)+1)),"##0"),","),"")</f>
        <v>0</v>
      </c>
      <c r="AE61">
        <f t="array" ref="AE61">IFERROR(CONCATENATE((INDEX($A$7:$A$43,SMALL(IF($AF$7:$AF$43&lt;&gt;"",IF($AC$7:$AC$43&lt;&gt;"",ROW($AC$7:$AC$43)-MIN(ROW($AC$7:$AC$43))+1,""),""),ROW()-ROW(A$46)+1))),),"")</f>
        <v>0</v>
      </c>
      <c r="AH61">
        <f t="array" ref="AH61">IFERROR(CONCATENATE((INDEX($AK$7:$AK$43,SMALL(IF($AK$7:$AK$43&lt;&gt;"",IF($AH$7:$AH$43&lt;&gt;"",ROW($AH$7:$AH$43)-MIN(ROW($AH$7:$AH$43))+1,""),""),ROW()-ROW(A$46)+1)))," "),"")</f>
        <v>0</v>
      </c>
      <c r="AI61">
        <f t="array" ref="AI61">IFERROR(CONCATENATE(TEXT(INDEX($AH$7:$AH$43,SMALL(IF($AK$7:$AK$43&lt;&gt;"",IF($AH$7:$AH$43&lt;&gt;"",ROW($AH$7:$AH$43)-MIN(ROW($AH$7:$AH$43))+1,""),""),ROW()-ROW(A$46)+1)),"##0")," "),"")</f>
        <v>0</v>
      </c>
      <c r="AJ61">
        <f t="array" ref="AJ61">IFERROR(CONCATENATE((INDEX($A$7:$A$43,SMALL(IF($AK$7:$AK$43&lt;&gt;"",IF($AH$7:$AH$43&lt;&gt;"",ROW($AH$7:$AH$43)-MIN(ROW($AH$7:$AH$43))+1,""),""),ROW()-ROW(A$46)+1))),),"")</f>
        <v>0</v>
      </c>
      <c r="AM61">
        <f t="array" ref="AM61">IFERROR(CONCATENATE((INDEX($AP$7:$AP$43,SMALL(IF($AP$7:$AP$43&lt;&gt;"",IF($AM$7:$AM$43&lt;&gt;"",ROW($AM$7:$AM$43)-MIN(ROW($AM$7:$AM$43))+1,""),""),ROW()-ROW(A$46)+1)))," "),"")</f>
        <v>0</v>
      </c>
      <c r="AN61">
        <f t="array" ref="AN61">IFERROR(CONCATENATE(TEXT(INDEX($AM$7:$AM$43,SMALL(IF($AP$7:$AP$43&lt;&gt;"",IF($AM$7:$AM$43&lt;&gt;"",ROW($AM$7:$AM$43)-MIN(ROW($AM$7:$AM$43))+1,""),""),ROW()-ROW(A$46)+1)),"##0")," "),"")</f>
        <v>0</v>
      </c>
      <c r="AO61">
        <f t="array" ref="AO61">IFERROR(CONCATENATE((INDEX($A$7:$A$43,SMALL(IF($AP$7:$AP$43&lt;&gt;"",IF($AM$7:$AM$43&lt;&gt;"",ROW($AM$7:$AM$43)-MIN(ROW($AM$7:$AM$43))+1,""),""),ROW()-ROW(A$46)+1))),),"")</f>
        <v>0</v>
      </c>
    </row>
    <row r="62" spans="9:41">
      <c r="I62">
        <f t="array" ref="I62">IFERROR(CONCATENATE((INDEX($L$7:$L$43,SMALL(IF($L$7:$L$43&lt;&gt;"",IF($I$7:$I$43&lt;&gt;"",ROW($I$7:$I$43)-MIN(ROW($I$7:$I$43))+1,""),""),ROW()-ROW(A$46)+1))),","),"")</f>
        <v>0</v>
      </c>
      <c r="J62">
        <f t="array" ref="J62">IFERROR(CONCATENATE(TEXT(INDEX($I$7:$I$43,SMALL(IF($L$7:$L$43&lt;&gt;"",IF($I$7:$I$43&lt;&gt;"",ROW($I$7:$I$43)-MIN(ROW($I$7:$I$43))+1,""),""),ROW()-ROW(A$46)+1)),"##0"),","),"")</f>
        <v>0</v>
      </c>
      <c r="K62">
        <f t="array" ref="K62">IFERROR(CONCATENATE((INDEX($A$7:$A$43,SMALL(IF($L$7:$L$43&lt;&gt;"",IF($I$7:$I$43&lt;&gt;"",ROW($I$7:$I$43)-MIN(ROW($I$7:$I$43))+1,""),""),ROW()-ROW(A$46)+1))),),"")</f>
        <v>0</v>
      </c>
      <c r="N62">
        <f t="array" ref="N62">IFERROR(CONCATENATE(TEXT(INDEX($N$7:$N$43,SMALL(IF($Q$7:$Q$43&lt;&gt;"",IF($N$7:$N$43&lt;&gt;"",ROW($N$7:$N$43)-MIN(ROW($N$7:$N$43))+1,""),""),ROW()-ROW(A$46)+1)),"##0"),","),"")</f>
        <v>0</v>
      </c>
      <c r="O62">
        <f t="array" ref="O62">IFERROR(CONCATENATE((INDEX($Q$7:$Q$43,SMALL(IF($Q$7:$Q$43&lt;&gt;"",IF($N$7:$N$43&lt;&gt;"",ROW($N$7:$N$43)-MIN(ROW($N$7:$N$43))+1,""),""),ROW()-ROW(A$46)+1))),","),"")</f>
        <v>0</v>
      </c>
      <c r="P62">
        <f t="array" ref="P62">IFERROR(CONCATENATE((INDEX($A$7:$A$43,SMALL(IF($Q$7:$Q$43&lt;&gt;"",IF($N$7:$N$43&lt;&gt;"",ROW($N$7:$N$43)-MIN(ROW($N$7:$N$43))+1,""),""),ROW()-ROW(A$46)+1))),),"")</f>
        <v>0</v>
      </c>
      <c r="S62">
        <f t="array" ref="S62">IFERROR(CONCATENATE((INDEX($V$7:$V$43,SMALL(IF($V$7:$V$43&lt;&gt;"",IF($S$7:$S$43&lt;&gt;"",ROW($S$7:$S$43)-MIN(ROW($S$7:$S$43))+1,""),""),ROW()-ROW(A$46)+1)))," "),"")</f>
        <v>0</v>
      </c>
      <c r="T62">
        <f t="array" ref="T62">IFERROR(CONCATENATE(TEXT(INDEX($S$7:$S$43,SMALL(IF($V$7:$V$43&lt;&gt;"",IF($S$7:$S$43&lt;&gt;"",ROW($S$7:$S$43)-MIN(ROW($S$7:$S$43))+1,""),""),ROW()-ROW(A$46)+1)),"##0")," "),"")</f>
        <v>0</v>
      </c>
      <c r="U62">
        <f t="array" ref="U62">IFERROR(CONCATENATE((INDEX($A$7:$A$43,SMALL(IF($V$7:$V$43&lt;&gt;"",IF($S$7:$S$43&lt;&gt;"",ROW($S$7:$S$43)-MIN(ROW($S$7:$S$43))+1,""),""),ROW()-ROW(A$46)+1))),),"")</f>
        <v>0</v>
      </c>
      <c r="X62">
        <f t="array" ref="X62">IFERROR(CONCATENATE((INDEX($AA$7:$AA$43,SMALL(IF($AA$7:$AA$43&lt;&gt;"",IF($X$7:$X$43&lt;&gt;"",ROW($X$7:$X$43)-MIN(ROW($X$7:$X$43))+1,""),""),ROW()-ROW(A$46)+1)))," "),"")</f>
        <v>0</v>
      </c>
      <c r="Y62">
        <f t="array" ref="Y62">IFERROR(CONCATENATE(TEXT(INDEX($X$7:$X$43,SMALL(IF($AA$7:$AA$43&lt;&gt;"",IF($X$7:$X$43&lt;&gt;"",ROW($X$7:$X$43)-MIN(ROW($X$7:$X$43))+1,""),""),ROW()-ROW(A$46)+1)),"##0")," "),"")</f>
        <v>0</v>
      </c>
      <c r="Z62">
        <f t="array" ref="Z62">IFERROR(CONCATENATE((INDEX($A$7:$A$43,SMALL(IF($AA$7:$AA$43&lt;&gt;"",IF($X$7:$X$43&lt;&gt;"",ROW($X$7:$X$43)-MIN(ROW($X$7:$X$43))+1,""),""),ROW()-ROW(A$46)+1))),),"")</f>
        <v>0</v>
      </c>
      <c r="AC62">
        <f t="array" ref="AC62">IFERROR(CONCATENATE((INDEX($AF$7:$AF$43,SMALL(IF($AF$7:$AF$43&lt;&gt;"",IF($AC$7:$AC$43&lt;&gt;"",ROW($AC$7:$AC$43)-MIN(ROW($AC$7:$AC$43))+1,""),""),ROW()-ROW(A$46)+1))),","),"")</f>
        <v>0</v>
      </c>
      <c r="AD62">
        <f t="array" ref="AD62">IFERROR(CONCATENATE(TEXT(INDEX($AC$7:$AC$43,SMALL(IF($AF$7:$AF$43&lt;&gt;"",IF($AC$7:$AC$43&lt;&gt;"",ROW($AC$7:$AC$43)-MIN(ROW($AC$7:$AC$43))+1,""),""),ROW()-ROW(A$46)+1)),"##0"),","),"")</f>
        <v>0</v>
      </c>
      <c r="AE62">
        <f t="array" ref="AE62">IFERROR(CONCATENATE((INDEX($A$7:$A$43,SMALL(IF($AF$7:$AF$43&lt;&gt;"",IF($AC$7:$AC$43&lt;&gt;"",ROW($AC$7:$AC$43)-MIN(ROW($AC$7:$AC$43))+1,""),""),ROW()-ROW(A$46)+1))),),"")</f>
        <v>0</v>
      </c>
      <c r="AH62">
        <f t="array" ref="AH62">IFERROR(CONCATENATE((INDEX($AK$7:$AK$43,SMALL(IF($AK$7:$AK$43&lt;&gt;"",IF($AH$7:$AH$43&lt;&gt;"",ROW($AH$7:$AH$43)-MIN(ROW($AH$7:$AH$43))+1,""),""),ROW()-ROW(A$46)+1)))," "),"")</f>
        <v>0</v>
      </c>
      <c r="AI62">
        <f t="array" ref="AI62">IFERROR(CONCATENATE(TEXT(INDEX($AH$7:$AH$43,SMALL(IF($AK$7:$AK$43&lt;&gt;"",IF($AH$7:$AH$43&lt;&gt;"",ROW($AH$7:$AH$43)-MIN(ROW($AH$7:$AH$43))+1,""),""),ROW()-ROW(A$46)+1)),"##0")," "),"")</f>
        <v>0</v>
      </c>
      <c r="AJ62">
        <f t="array" ref="AJ62">IFERROR(CONCATENATE((INDEX($A$7:$A$43,SMALL(IF($AK$7:$AK$43&lt;&gt;"",IF($AH$7:$AH$43&lt;&gt;"",ROW($AH$7:$AH$43)-MIN(ROW($AH$7:$AH$43))+1,""),""),ROW()-ROW(A$46)+1))),),"")</f>
        <v>0</v>
      </c>
      <c r="AM62">
        <f t="array" ref="AM62">IFERROR(CONCATENATE((INDEX($AP$7:$AP$43,SMALL(IF($AP$7:$AP$43&lt;&gt;"",IF($AM$7:$AM$43&lt;&gt;"",ROW($AM$7:$AM$43)-MIN(ROW($AM$7:$AM$43))+1,""),""),ROW()-ROW(A$46)+1)))," "),"")</f>
        <v>0</v>
      </c>
      <c r="AN62">
        <f t="array" ref="AN62">IFERROR(CONCATENATE(TEXT(INDEX($AM$7:$AM$43,SMALL(IF($AP$7:$AP$43&lt;&gt;"",IF($AM$7:$AM$43&lt;&gt;"",ROW($AM$7:$AM$43)-MIN(ROW($AM$7:$AM$43))+1,""),""),ROW()-ROW(A$46)+1)),"##0")," "),"")</f>
        <v>0</v>
      </c>
      <c r="AO62">
        <f t="array" ref="AO62">IFERROR(CONCATENATE((INDEX($A$7:$A$43,SMALL(IF($AP$7:$AP$43&lt;&gt;"",IF($AM$7:$AM$43&lt;&gt;"",ROW($AM$7:$AM$43)-MIN(ROW($AM$7:$AM$43))+1,""),""),ROW()-ROW(A$46)+1))),),"")</f>
        <v>0</v>
      </c>
    </row>
    <row r="63" spans="9:41">
      <c r="I63">
        <f t="array" ref="I63">IFERROR(CONCATENATE((INDEX($L$7:$L$43,SMALL(IF($L$7:$L$43&lt;&gt;"",IF($I$7:$I$43&lt;&gt;"",ROW($I$7:$I$43)-MIN(ROW($I$7:$I$43))+1,""),""),ROW()-ROW(A$46)+1))),","),"")</f>
        <v>0</v>
      </c>
      <c r="J63">
        <f t="array" ref="J63">IFERROR(CONCATENATE(TEXT(INDEX($I$7:$I$43,SMALL(IF($L$7:$L$43&lt;&gt;"",IF($I$7:$I$43&lt;&gt;"",ROW($I$7:$I$43)-MIN(ROW($I$7:$I$43))+1,""),""),ROW()-ROW(A$46)+1)),"##0"),","),"")</f>
        <v>0</v>
      </c>
      <c r="K63">
        <f t="array" ref="K63">IFERROR(CONCATENATE((INDEX($A$7:$A$43,SMALL(IF($L$7:$L$43&lt;&gt;"",IF($I$7:$I$43&lt;&gt;"",ROW($I$7:$I$43)-MIN(ROW($I$7:$I$43))+1,""),""),ROW()-ROW(A$46)+1))),),"")</f>
        <v>0</v>
      </c>
      <c r="N63">
        <f t="array" ref="N63">IFERROR(CONCATENATE(TEXT(INDEX($N$7:$N$43,SMALL(IF($Q$7:$Q$43&lt;&gt;"",IF($N$7:$N$43&lt;&gt;"",ROW($N$7:$N$43)-MIN(ROW($N$7:$N$43))+1,""),""),ROW()-ROW(A$46)+1)),"##0"),","),"")</f>
        <v>0</v>
      </c>
      <c r="O63">
        <f t="array" ref="O63">IFERROR(CONCATENATE((INDEX($Q$7:$Q$43,SMALL(IF($Q$7:$Q$43&lt;&gt;"",IF($N$7:$N$43&lt;&gt;"",ROW($N$7:$N$43)-MIN(ROW($N$7:$N$43))+1,""),""),ROW()-ROW(A$46)+1))),","),"")</f>
        <v>0</v>
      </c>
      <c r="P63">
        <f t="array" ref="P63">IFERROR(CONCATENATE((INDEX($A$7:$A$43,SMALL(IF($Q$7:$Q$43&lt;&gt;"",IF($N$7:$N$43&lt;&gt;"",ROW($N$7:$N$43)-MIN(ROW($N$7:$N$43))+1,""),""),ROW()-ROW(A$46)+1))),),"")</f>
        <v>0</v>
      </c>
      <c r="S63">
        <f t="array" ref="S63">IFERROR(CONCATENATE((INDEX($V$7:$V$43,SMALL(IF($V$7:$V$43&lt;&gt;"",IF($S$7:$S$43&lt;&gt;"",ROW($S$7:$S$43)-MIN(ROW($S$7:$S$43))+1,""),""),ROW()-ROW(A$46)+1)))," "),"")</f>
        <v>0</v>
      </c>
      <c r="T63">
        <f t="array" ref="T63">IFERROR(CONCATENATE(TEXT(INDEX($S$7:$S$43,SMALL(IF($V$7:$V$43&lt;&gt;"",IF($S$7:$S$43&lt;&gt;"",ROW($S$7:$S$43)-MIN(ROW($S$7:$S$43))+1,""),""),ROW()-ROW(A$46)+1)),"##0")," "),"")</f>
        <v>0</v>
      </c>
      <c r="U63">
        <f t="array" ref="U63">IFERROR(CONCATENATE((INDEX($A$7:$A$43,SMALL(IF($V$7:$V$43&lt;&gt;"",IF($S$7:$S$43&lt;&gt;"",ROW($S$7:$S$43)-MIN(ROW($S$7:$S$43))+1,""),""),ROW()-ROW(A$46)+1))),),"")</f>
        <v>0</v>
      </c>
      <c r="X63">
        <f t="array" ref="X63">IFERROR(CONCATENATE((INDEX($AA$7:$AA$43,SMALL(IF($AA$7:$AA$43&lt;&gt;"",IF($X$7:$X$43&lt;&gt;"",ROW($X$7:$X$43)-MIN(ROW($X$7:$X$43))+1,""),""),ROW()-ROW(A$46)+1)))," "),"")</f>
        <v>0</v>
      </c>
      <c r="Y63">
        <f t="array" ref="Y63">IFERROR(CONCATENATE(TEXT(INDEX($X$7:$X$43,SMALL(IF($AA$7:$AA$43&lt;&gt;"",IF($X$7:$X$43&lt;&gt;"",ROW($X$7:$X$43)-MIN(ROW($X$7:$X$43))+1,""),""),ROW()-ROW(A$46)+1)),"##0")," "),"")</f>
        <v>0</v>
      </c>
      <c r="Z63">
        <f t="array" ref="Z63">IFERROR(CONCATENATE((INDEX($A$7:$A$43,SMALL(IF($AA$7:$AA$43&lt;&gt;"",IF($X$7:$X$43&lt;&gt;"",ROW($X$7:$X$43)-MIN(ROW($X$7:$X$43))+1,""),""),ROW()-ROW(A$46)+1))),),"")</f>
        <v>0</v>
      </c>
      <c r="AC63">
        <f t="array" ref="AC63">IFERROR(CONCATENATE((INDEX($AF$7:$AF$43,SMALL(IF($AF$7:$AF$43&lt;&gt;"",IF($AC$7:$AC$43&lt;&gt;"",ROW($AC$7:$AC$43)-MIN(ROW($AC$7:$AC$43))+1,""),""),ROW()-ROW(A$46)+1))),","),"")</f>
        <v>0</v>
      </c>
      <c r="AD63">
        <f t="array" ref="AD63">IFERROR(CONCATENATE(TEXT(INDEX($AC$7:$AC$43,SMALL(IF($AF$7:$AF$43&lt;&gt;"",IF($AC$7:$AC$43&lt;&gt;"",ROW($AC$7:$AC$43)-MIN(ROW($AC$7:$AC$43))+1,""),""),ROW()-ROW(A$46)+1)),"##0"),","),"")</f>
        <v>0</v>
      </c>
      <c r="AE63">
        <f t="array" ref="AE63">IFERROR(CONCATENATE((INDEX($A$7:$A$43,SMALL(IF($AF$7:$AF$43&lt;&gt;"",IF($AC$7:$AC$43&lt;&gt;"",ROW($AC$7:$AC$43)-MIN(ROW($AC$7:$AC$43))+1,""),""),ROW()-ROW(A$46)+1))),),"")</f>
        <v>0</v>
      </c>
      <c r="AH63">
        <f t="array" ref="AH63">IFERROR(CONCATENATE((INDEX($AK$7:$AK$43,SMALL(IF($AK$7:$AK$43&lt;&gt;"",IF($AH$7:$AH$43&lt;&gt;"",ROW($AH$7:$AH$43)-MIN(ROW($AH$7:$AH$43))+1,""),""),ROW()-ROW(A$46)+1)))," "),"")</f>
        <v>0</v>
      </c>
      <c r="AI63">
        <f t="array" ref="AI63">IFERROR(CONCATENATE(TEXT(INDEX($AH$7:$AH$43,SMALL(IF($AK$7:$AK$43&lt;&gt;"",IF($AH$7:$AH$43&lt;&gt;"",ROW($AH$7:$AH$43)-MIN(ROW($AH$7:$AH$43))+1,""),""),ROW()-ROW(A$46)+1)),"##0")," "),"")</f>
        <v>0</v>
      </c>
      <c r="AJ63">
        <f t="array" ref="AJ63">IFERROR(CONCATENATE((INDEX($A$7:$A$43,SMALL(IF($AK$7:$AK$43&lt;&gt;"",IF($AH$7:$AH$43&lt;&gt;"",ROW($AH$7:$AH$43)-MIN(ROW($AH$7:$AH$43))+1,""),""),ROW()-ROW(A$46)+1))),),"")</f>
        <v>0</v>
      </c>
      <c r="AM63">
        <f t="array" ref="AM63">IFERROR(CONCATENATE((INDEX($AP$7:$AP$43,SMALL(IF($AP$7:$AP$43&lt;&gt;"",IF($AM$7:$AM$43&lt;&gt;"",ROW($AM$7:$AM$43)-MIN(ROW($AM$7:$AM$43))+1,""),""),ROW()-ROW(A$46)+1)))," "),"")</f>
        <v>0</v>
      </c>
      <c r="AN63">
        <f t="array" ref="AN63">IFERROR(CONCATENATE(TEXT(INDEX($AM$7:$AM$43,SMALL(IF($AP$7:$AP$43&lt;&gt;"",IF($AM$7:$AM$43&lt;&gt;"",ROW($AM$7:$AM$43)-MIN(ROW($AM$7:$AM$43))+1,""),""),ROW()-ROW(A$46)+1)),"##0")," "),"")</f>
        <v>0</v>
      </c>
      <c r="AO63">
        <f t="array" ref="AO63">IFERROR(CONCATENATE((INDEX($A$7:$A$43,SMALL(IF($AP$7:$AP$43&lt;&gt;"",IF($AM$7:$AM$43&lt;&gt;"",ROW($AM$7:$AM$43)-MIN(ROW($AM$7:$AM$43))+1,""),""),ROW()-ROW(A$46)+1))),),"")</f>
        <v>0</v>
      </c>
    </row>
    <row r="64" spans="9:41">
      <c r="I64">
        <f t="array" ref="I64">IFERROR(CONCATENATE((INDEX($L$7:$L$43,SMALL(IF($L$7:$L$43&lt;&gt;"",IF($I$7:$I$43&lt;&gt;"",ROW($I$7:$I$43)-MIN(ROW($I$7:$I$43))+1,""),""),ROW()-ROW(A$46)+1))),","),"")</f>
        <v>0</v>
      </c>
      <c r="J64">
        <f t="array" ref="J64">IFERROR(CONCATENATE(TEXT(INDEX($I$7:$I$43,SMALL(IF($L$7:$L$43&lt;&gt;"",IF($I$7:$I$43&lt;&gt;"",ROW($I$7:$I$43)-MIN(ROW($I$7:$I$43))+1,""),""),ROW()-ROW(A$46)+1)),"##0"),","),"")</f>
        <v>0</v>
      </c>
      <c r="K64">
        <f t="array" ref="K64">IFERROR(CONCATENATE((INDEX($A$7:$A$43,SMALL(IF($L$7:$L$43&lt;&gt;"",IF($I$7:$I$43&lt;&gt;"",ROW($I$7:$I$43)-MIN(ROW($I$7:$I$43))+1,""),""),ROW()-ROW(A$46)+1))),),"")</f>
        <v>0</v>
      </c>
      <c r="N64">
        <f t="array" ref="N64">IFERROR(CONCATENATE(TEXT(INDEX($N$7:$N$43,SMALL(IF($Q$7:$Q$43&lt;&gt;"",IF($N$7:$N$43&lt;&gt;"",ROW($N$7:$N$43)-MIN(ROW($N$7:$N$43))+1,""),""),ROW()-ROW(A$46)+1)),"##0"),","),"")</f>
        <v>0</v>
      </c>
      <c r="O64">
        <f t="array" ref="O64">IFERROR(CONCATENATE((INDEX($Q$7:$Q$43,SMALL(IF($Q$7:$Q$43&lt;&gt;"",IF($N$7:$N$43&lt;&gt;"",ROW($N$7:$N$43)-MIN(ROW($N$7:$N$43))+1,""),""),ROW()-ROW(A$46)+1))),","),"")</f>
        <v>0</v>
      </c>
      <c r="P64">
        <f t="array" ref="P64">IFERROR(CONCATENATE((INDEX($A$7:$A$43,SMALL(IF($Q$7:$Q$43&lt;&gt;"",IF($N$7:$N$43&lt;&gt;"",ROW($N$7:$N$43)-MIN(ROW($N$7:$N$43))+1,""),""),ROW()-ROW(A$46)+1))),),"")</f>
        <v>0</v>
      </c>
      <c r="S64">
        <f t="array" ref="S64">IFERROR(CONCATENATE((INDEX($V$7:$V$43,SMALL(IF($V$7:$V$43&lt;&gt;"",IF($S$7:$S$43&lt;&gt;"",ROW($S$7:$S$43)-MIN(ROW($S$7:$S$43))+1,""),""),ROW()-ROW(A$46)+1)))," "),"")</f>
        <v>0</v>
      </c>
      <c r="T64">
        <f t="array" ref="T64">IFERROR(CONCATENATE(TEXT(INDEX($S$7:$S$43,SMALL(IF($V$7:$V$43&lt;&gt;"",IF($S$7:$S$43&lt;&gt;"",ROW($S$7:$S$43)-MIN(ROW($S$7:$S$43))+1,""),""),ROW()-ROW(A$46)+1)),"##0")," "),"")</f>
        <v>0</v>
      </c>
      <c r="U64">
        <f t="array" ref="U64">IFERROR(CONCATENATE((INDEX($A$7:$A$43,SMALL(IF($V$7:$V$43&lt;&gt;"",IF($S$7:$S$43&lt;&gt;"",ROW($S$7:$S$43)-MIN(ROW($S$7:$S$43))+1,""),""),ROW()-ROW(A$46)+1))),),"")</f>
        <v>0</v>
      </c>
      <c r="X64">
        <f t="array" ref="X64">IFERROR(CONCATENATE((INDEX($AA$7:$AA$43,SMALL(IF($AA$7:$AA$43&lt;&gt;"",IF($X$7:$X$43&lt;&gt;"",ROW($X$7:$X$43)-MIN(ROW($X$7:$X$43))+1,""),""),ROW()-ROW(A$46)+1)))," "),"")</f>
        <v>0</v>
      </c>
      <c r="Y64">
        <f t="array" ref="Y64">IFERROR(CONCATENATE(TEXT(INDEX($X$7:$X$43,SMALL(IF($AA$7:$AA$43&lt;&gt;"",IF($X$7:$X$43&lt;&gt;"",ROW($X$7:$X$43)-MIN(ROW($X$7:$X$43))+1,""),""),ROW()-ROW(A$46)+1)),"##0")," "),"")</f>
        <v>0</v>
      </c>
      <c r="Z64">
        <f t="array" ref="Z64">IFERROR(CONCATENATE((INDEX($A$7:$A$43,SMALL(IF($AA$7:$AA$43&lt;&gt;"",IF($X$7:$X$43&lt;&gt;"",ROW($X$7:$X$43)-MIN(ROW($X$7:$X$43))+1,""),""),ROW()-ROW(A$46)+1))),),"")</f>
        <v>0</v>
      </c>
      <c r="AC64">
        <f t="array" ref="AC64">IFERROR(CONCATENATE((INDEX($AF$7:$AF$43,SMALL(IF($AF$7:$AF$43&lt;&gt;"",IF($AC$7:$AC$43&lt;&gt;"",ROW($AC$7:$AC$43)-MIN(ROW($AC$7:$AC$43))+1,""),""),ROW()-ROW(A$46)+1))),","),"")</f>
        <v>0</v>
      </c>
      <c r="AD64">
        <f t="array" ref="AD64">IFERROR(CONCATENATE(TEXT(INDEX($AC$7:$AC$43,SMALL(IF($AF$7:$AF$43&lt;&gt;"",IF($AC$7:$AC$43&lt;&gt;"",ROW($AC$7:$AC$43)-MIN(ROW($AC$7:$AC$43))+1,""),""),ROW()-ROW(A$46)+1)),"##0"),","),"")</f>
        <v>0</v>
      </c>
      <c r="AE64">
        <f t="array" ref="AE64">IFERROR(CONCATENATE((INDEX($A$7:$A$43,SMALL(IF($AF$7:$AF$43&lt;&gt;"",IF($AC$7:$AC$43&lt;&gt;"",ROW($AC$7:$AC$43)-MIN(ROW($AC$7:$AC$43))+1,""),""),ROW()-ROW(A$46)+1))),),"")</f>
        <v>0</v>
      </c>
      <c r="AH64">
        <f t="array" ref="AH64">IFERROR(CONCATENATE((INDEX($AK$7:$AK$43,SMALL(IF($AK$7:$AK$43&lt;&gt;"",IF($AH$7:$AH$43&lt;&gt;"",ROW($AH$7:$AH$43)-MIN(ROW($AH$7:$AH$43))+1,""),""),ROW()-ROW(A$46)+1)))," "),"")</f>
        <v>0</v>
      </c>
      <c r="AI64">
        <f t="array" ref="AI64">IFERROR(CONCATENATE(TEXT(INDEX($AH$7:$AH$43,SMALL(IF($AK$7:$AK$43&lt;&gt;"",IF($AH$7:$AH$43&lt;&gt;"",ROW($AH$7:$AH$43)-MIN(ROW($AH$7:$AH$43))+1,""),""),ROW()-ROW(A$46)+1)),"##0")," "),"")</f>
        <v>0</v>
      </c>
      <c r="AJ64">
        <f t="array" ref="AJ64">IFERROR(CONCATENATE((INDEX($A$7:$A$43,SMALL(IF($AK$7:$AK$43&lt;&gt;"",IF($AH$7:$AH$43&lt;&gt;"",ROW($AH$7:$AH$43)-MIN(ROW($AH$7:$AH$43))+1,""),""),ROW()-ROW(A$46)+1))),),"")</f>
        <v>0</v>
      </c>
      <c r="AM64">
        <f t="array" ref="AM64">IFERROR(CONCATENATE((INDEX($AP$7:$AP$43,SMALL(IF($AP$7:$AP$43&lt;&gt;"",IF($AM$7:$AM$43&lt;&gt;"",ROW($AM$7:$AM$43)-MIN(ROW($AM$7:$AM$43))+1,""),""),ROW()-ROW(A$46)+1)))," "),"")</f>
        <v>0</v>
      </c>
      <c r="AN64">
        <f t="array" ref="AN64">IFERROR(CONCATENATE(TEXT(INDEX($AM$7:$AM$43,SMALL(IF($AP$7:$AP$43&lt;&gt;"",IF($AM$7:$AM$43&lt;&gt;"",ROW($AM$7:$AM$43)-MIN(ROW($AM$7:$AM$43))+1,""),""),ROW()-ROW(A$46)+1)),"##0")," "),"")</f>
        <v>0</v>
      </c>
      <c r="AO64">
        <f t="array" ref="AO64">IFERROR(CONCATENATE((INDEX($A$7:$A$43,SMALL(IF($AP$7:$AP$43&lt;&gt;"",IF($AM$7:$AM$43&lt;&gt;"",ROW($AM$7:$AM$43)-MIN(ROW($AM$7:$AM$43))+1,""),""),ROW()-ROW(A$46)+1))),),"")</f>
        <v>0</v>
      </c>
    </row>
    <row r="65" spans="9:41">
      <c r="I65">
        <f t="array" ref="I65">IFERROR(CONCATENATE((INDEX($L$7:$L$43,SMALL(IF($L$7:$L$43&lt;&gt;"",IF($I$7:$I$43&lt;&gt;"",ROW($I$7:$I$43)-MIN(ROW($I$7:$I$43))+1,""),""),ROW()-ROW(A$46)+1))),","),"")</f>
        <v>0</v>
      </c>
      <c r="J65">
        <f t="array" ref="J65">IFERROR(CONCATENATE(TEXT(INDEX($I$7:$I$43,SMALL(IF($L$7:$L$43&lt;&gt;"",IF($I$7:$I$43&lt;&gt;"",ROW($I$7:$I$43)-MIN(ROW($I$7:$I$43))+1,""),""),ROW()-ROW(A$46)+1)),"##0"),","),"")</f>
        <v>0</v>
      </c>
      <c r="K65">
        <f t="array" ref="K65">IFERROR(CONCATENATE((INDEX($A$7:$A$43,SMALL(IF($L$7:$L$43&lt;&gt;"",IF($I$7:$I$43&lt;&gt;"",ROW($I$7:$I$43)-MIN(ROW($I$7:$I$43))+1,""),""),ROW()-ROW(A$46)+1))),),"")</f>
        <v>0</v>
      </c>
      <c r="N65">
        <f t="array" ref="N65">IFERROR(CONCATENATE(TEXT(INDEX($N$7:$N$43,SMALL(IF($Q$7:$Q$43&lt;&gt;"",IF($N$7:$N$43&lt;&gt;"",ROW($N$7:$N$43)-MIN(ROW($N$7:$N$43))+1,""),""),ROW()-ROW(A$46)+1)),"##0"),","),"")</f>
        <v>0</v>
      </c>
      <c r="O65">
        <f t="array" ref="O65">IFERROR(CONCATENATE((INDEX($Q$7:$Q$43,SMALL(IF($Q$7:$Q$43&lt;&gt;"",IF($N$7:$N$43&lt;&gt;"",ROW($N$7:$N$43)-MIN(ROW($N$7:$N$43))+1,""),""),ROW()-ROW(A$46)+1))),","),"")</f>
        <v>0</v>
      </c>
      <c r="P65">
        <f t="array" ref="P65">IFERROR(CONCATENATE((INDEX($A$7:$A$43,SMALL(IF($Q$7:$Q$43&lt;&gt;"",IF($N$7:$N$43&lt;&gt;"",ROW($N$7:$N$43)-MIN(ROW($N$7:$N$43))+1,""),""),ROW()-ROW(A$46)+1))),),"")</f>
        <v>0</v>
      </c>
      <c r="S65">
        <f t="array" ref="S65">IFERROR(CONCATENATE((INDEX($V$7:$V$43,SMALL(IF($V$7:$V$43&lt;&gt;"",IF($S$7:$S$43&lt;&gt;"",ROW($S$7:$S$43)-MIN(ROW($S$7:$S$43))+1,""),""),ROW()-ROW(A$46)+1)))," "),"")</f>
        <v>0</v>
      </c>
      <c r="T65">
        <f t="array" ref="T65">IFERROR(CONCATENATE(TEXT(INDEX($S$7:$S$43,SMALL(IF($V$7:$V$43&lt;&gt;"",IF($S$7:$S$43&lt;&gt;"",ROW($S$7:$S$43)-MIN(ROW($S$7:$S$43))+1,""),""),ROW()-ROW(A$46)+1)),"##0")," "),"")</f>
        <v>0</v>
      </c>
      <c r="U65">
        <f t="array" ref="U65">IFERROR(CONCATENATE((INDEX($A$7:$A$43,SMALL(IF($V$7:$V$43&lt;&gt;"",IF($S$7:$S$43&lt;&gt;"",ROW($S$7:$S$43)-MIN(ROW($S$7:$S$43))+1,""),""),ROW()-ROW(A$46)+1))),),"")</f>
        <v>0</v>
      </c>
      <c r="X65">
        <f t="array" ref="X65">IFERROR(CONCATENATE((INDEX($AA$7:$AA$43,SMALL(IF($AA$7:$AA$43&lt;&gt;"",IF($X$7:$X$43&lt;&gt;"",ROW($X$7:$X$43)-MIN(ROW($X$7:$X$43))+1,""),""),ROW()-ROW(A$46)+1)))," "),"")</f>
        <v>0</v>
      </c>
      <c r="Y65">
        <f t="array" ref="Y65">IFERROR(CONCATENATE(TEXT(INDEX($X$7:$X$43,SMALL(IF($AA$7:$AA$43&lt;&gt;"",IF($X$7:$X$43&lt;&gt;"",ROW($X$7:$X$43)-MIN(ROW($X$7:$X$43))+1,""),""),ROW()-ROW(A$46)+1)),"##0")," "),"")</f>
        <v>0</v>
      </c>
      <c r="Z65">
        <f t="array" ref="Z65">IFERROR(CONCATENATE((INDEX($A$7:$A$43,SMALL(IF($AA$7:$AA$43&lt;&gt;"",IF($X$7:$X$43&lt;&gt;"",ROW($X$7:$X$43)-MIN(ROW($X$7:$X$43))+1,""),""),ROW()-ROW(A$46)+1))),),"")</f>
        <v>0</v>
      </c>
      <c r="AC65">
        <f t="array" ref="AC65">IFERROR(CONCATENATE((INDEX($AF$7:$AF$43,SMALL(IF($AF$7:$AF$43&lt;&gt;"",IF($AC$7:$AC$43&lt;&gt;"",ROW($AC$7:$AC$43)-MIN(ROW($AC$7:$AC$43))+1,""),""),ROW()-ROW(A$46)+1))),","),"")</f>
        <v>0</v>
      </c>
      <c r="AD65">
        <f t="array" ref="AD65">IFERROR(CONCATENATE(TEXT(INDEX($AC$7:$AC$43,SMALL(IF($AF$7:$AF$43&lt;&gt;"",IF($AC$7:$AC$43&lt;&gt;"",ROW($AC$7:$AC$43)-MIN(ROW($AC$7:$AC$43))+1,""),""),ROW()-ROW(A$46)+1)),"##0"),","),"")</f>
        <v>0</v>
      </c>
      <c r="AE65">
        <f t="array" ref="AE65">IFERROR(CONCATENATE((INDEX($A$7:$A$43,SMALL(IF($AF$7:$AF$43&lt;&gt;"",IF($AC$7:$AC$43&lt;&gt;"",ROW($AC$7:$AC$43)-MIN(ROW($AC$7:$AC$43))+1,""),""),ROW()-ROW(A$46)+1))),),"")</f>
        <v>0</v>
      </c>
      <c r="AH65">
        <f t="array" ref="AH65">IFERROR(CONCATENATE((INDEX($AK$7:$AK$43,SMALL(IF($AK$7:$AK$43&lt;&gt;"",IF($AH$7:$AH$43&lt;&gt;"",ROW($AH$7:$AH$43)-MIN(ROW($AH$7:$AH$43))+1,""),""),ROW()-ROW(A$46)+1)))," "),"")</f>
        <v>0</v>
      </c>
      <c r="AI65">
        <f t="array" ref="AI65">IFERROR(CONCATENATE(TEXT(INDEX($AH$7:$AH$43,SMALL(IF($AK$7:$AK$43&lt;&gt;"",IF($AH$7:$AH$43&lt;&gt;"",ROW($AH$7:$AH$43)-MIN(ROW($AH$7:$AH$43))+1,""),""),ROW()-ROW(A$46)+1)),"##0")," "),"")</f>
        <v>0</v>
      </c>
      <c r="AJ65">
        <f t="array" ref="AJ65">IFERROR(CONCATENATE((INDEX($A$7:$A$43,SMALL(IF($AK$7:$AK$43&lt;&gt;"",IF($AH$7:$AH$43&lt;&gt;"",ROW($AH$7:$AH$43)-MIN(ROW($AH$7:$AH$43))+1,""),""),ROW()-ROW(A$46)+1))),),"")</f>
        <v>0</v>
      </c>
      <c r="AM65">
        <f t="array" ref="AM65">IFERROR(CONCATENATE((INDEX($AP$7:$AP$43,SMALL(IF($AP$7:$AP$43&lt;&gt;"",IF($AM$7:$AM$43&lt;&gt;"",ROW($AM$7:$AM$43)-MIN(ROW($AM$7:$AM$43))+1,""),""),ROW()-ROW(A$46)+1)))," "),"")</f>
        <v>0</v>
      </c>
      <c r="AN65">
        <f t="array" ref="AN65">IFERROR(CONCATENATE(TEXT(INDEX($AM$7:$AM$43,SMALL(IF($AP$7:$AP$43&lt;&gt;"",IF($AM$7:$AM$43&lt;&gt;"",ROW($AM$7:$AM$43)-MIN(ROW($AM$7:$AM$43))+1,""),""),ROW()-ROW(A$46)+1)),"##0")," "),"")</f>
        <v>0</v>
      </c>
      <c r="AO65">
        <f t="array" ref="AO65">IFERROR(CONCATENATE((INDEX($A$7:$A$43,SMALL(IF($AP$7:$AP$43&lt;&gt;"",IF($AM$7:$AM$43&lt;&gt;"",ROW($AM$7:$AM$43)-MIN(ROW($AM$7:$AM$43))+1,""),""),ROW()-ROW(A$46)+1))),),"")</f>
        <v>0</v>
      </c>
    </row>
    <row r="66" spans="9:41">
      <c r="I66">
        <f t="array" ref="I66">IFERROR(CONCATENATE((INDEX($L$7:$L$43,SMALL(IF($L$7:$L$43&lt;&gt;"",IF($I$7:$I$43&lt;&gt;"",ROW($I$7:$I$43)-MIN(ROW($I$7:$I$43))+1,""),""),ROW()-ROW(A$46)+1))),","),"")</f>
        <v>0</v>
      </c>
      <c r="J66">
        <f t="array" ref="J66">IFERROR(CONCATENATE(TEXT(INDEX($I$7:$I$43,SMALL(IF($L$7:$L$43&lt;&gt;"",IF($I$7:$I$43&lt;&gt;"",ROW($I$7:$I$43)-MIN(ROW($I$7:$I$43))+1,""),""),ROW()-ROW(A$46)+1)),"##0"),","),"")</f>
        <v>0</v>
      </c>
      <c r="K66">
        <f t="array" ref="K66">IFERROR(CONCATENATE((INDEX($A$7:$A$43,SMALL(IF($L$7:$L$43&lt;&gt;"",IF($I$7:$I$43&lt;&gt;"",ROW($I$7:$I$43)-MIN(ROW($I$7:$I$43))+1,""),""),ROW()-ROW(A$46)+1))),),"")</f>
        <v>0</v>
      </c>
      <c r="N66">
        <f t="array" ref="N66">IFERROR(CONCATENATE(TEXT(INDEX($N$7:$N$43,SMALL(IF($Q$7:$Q$43&lt;&gt;"",IF($N$7:$N$43&lt;&gt;"",ROW($N$7:$N$43)-MIN(ROW($N$7:$N$43))+1,""),""),ROW()-ROW(A$46)+1)),"##0"),","),"")</f>
        <v>0</v>
      </c>
      <c r="O66">
        <f t="array" ref="O66">IFERROR(CONCATENATE((INDEX($Q$7:$Q$43,SMALL(IF($Q$7:$Q$43&lt;&gt;"",IF($N$7:$N$43&lt;&gt;"",ROW($N$7:$N$43)-MIN(ROW($N$7:$N$43))+1,""),""),ROW()-ROW(A$46)+1))),","),"")</f>
        <v>0</v>
      </c>
      <c r="P66">
        <f t="array" ref="P66">IFERROR(CONCATENATE((INDEX($A$7:$A$43,SMALL(IF($Q$7:$Q$43&lt;&gt;"",IF($N$7:$N$43&lt;&gt;"",ROW($N$7:$N$43)-MIN(ROW($N$7:$N$43))+1,""),""),ROW()-ROW(A$46)+1))),),"")</f>
        <v>0</v>
      </c>
      <c r="S66">
        <f t="array" ref="S66">IFERROR(CONCATENATE((INDEX($V$7:$V$43,SMALL(IF($V$7:$V$43&lt;&gt;"",IF($S$7:$S$43&lt;&gt;"",ROW($S$7:$S$43)-MIN(ROW($S$7:$S$43))+1,""),""),ROW()-ROW(A$46)+1)))," "),"")</f>
        <v>0</v>
      </c>
      <c r="T66">
        <f t="array" ref="T66">IFERROR(CONCATENATE(TEXT(INDEX($S$7:$S$43,SMALL(IF($V$7:$V$43&lt;&gt;"",IF($S$7:$S$43&lt;&gt;"",ROW($S$7:$S$43)-MIN(ROW($S$7:$S$43))+1,""),""),ROW()-ROW(A$46)+1)),"##0")," "),"")</f>
        <v>0</v>
      </c>
      <c r="U66">
        <f t="array" ref="U66">IFERROR(CONCATENATE((INDEX($A$7:$A$43,SMALL(IF($V$7:$V$43&lt;&gt;"",IF($S$7:$S$43&lt;&gt;"",ROW($S$7:$S$43)-MIN(ROW($S$7:$S$43))+1,""),""),ROW()-ROW(A$46)+1))),),"")</f>
        <v>0</v>
      </c>
      <c r="X66">
        <f t="array" ref="X66">IFERROR(CONCATENATE((INDEX($AA$7:$AA$43,SMALL(IF($AA$7:$AA$43&lt;&gt;"",IF($X$7:$X$43&lt;&gt;"",ROW($X$7:$X$43)-MIN(ROW($X$7:$X$43))+1,""),""),ROW()-ROW(A$46)+1)))," "),"")</f>
        <v>0</v>
      </c>
      <c r="Y66">
        <f t="array" ref="Y66">IFERROR(CONCATENATE(TEXT(INDEX($X$7:$X$43,SMALL(IF($AA$7:$AA$43&lt;&gt;"",IF($X$7:$X$43&lt;&gt;"",ROW($X$7:$X$43)-MIN(ROW($X$7:$X$43))+1,""),""),ROW()-ROW(A$46)+1)),"##0")," "),"")</f>
        <v>0</v>
      </c>
      <c r="Z66">
        <f t="array" ref="Z66">IFERROR(CONCATENATE((INDEX($A$7:$A$43,SMALL(IF($AA$7:$AA$43&lt;&gt;"",IF($X$7:$X$43&lt;&gt;"",ROW($X$7:$X$43)-MIN(ROW($X$7:$X$43))+1,""),""),ROW()-ROW(A$46)+1))),),"")</f>
        <v>0</v>
      </c>
      <c r="AC66">
        <f t="array" ref="AC66">IFERROR(CONCATENATE((INDEX($AF$7:$AF$43,SMALL(IF($AF$7:$AF$43&lt;&gt;"",IF($AC$7:$AC$43&lt;&gt;"",ROW($AC$7:$AC$43)-MIN(ROW($AC$7:$AC$43))+1,""),""),ROW()-ROW(A$46)+1))),","),"")</f>
        <v>0</v>
      </c>
      <c r="AD66">
        <f t="array" ref="AD66">IFERROR(CONCATENATE(TEXT(INDEX($AC$7:$AC$43,SMALL(IF($AF$7:$AF$43&lt;&gt;"",IF($AC$7:$AC$43&lt;&gt;"",ROW($AC$7:$AC$43)-MIN(ROW($AC$7:$AC$43))+1,""),""),ROW()-ROW(A$46)+1)),"##0"),","),"")</f>
        <v>0</v>
      </c>
      <c r="AE66">
        <f t="array" ref="AE66">IFERROR(CONCATENATE((INDEX($A$7:$A$43,SMALL(IF($AF$7:$AF$43&lt;&gt;"",IF($AC$7:$AC$43&lt;&gt;"",ROW($AC$7:$AC$43)-MIN(ROW($AC$7:$AC$43))+1,""),""),ROW()-ROW(A$46)+1))),),"")</f>
        <v>0</v>
      </c>
      <c r="AH66">
        <f t="array" ref="AH66">IFERROR(CONCATENATE((INDEX($AK$7:$AK$43,SMALL(IF($AK$7:$AK$43&lt;&gt;"",IF($AH$7:$AH$43&lt;&gt;"",ROW($AH$7:$AH$43)-MIN(ROW($AH$7:$AH$43))+1,""),""),ROW()-ROW(A$46)+1)))," "),"")</f>
        <v>0</v>
      </c>
      <c r="AI66">
        <f t="array" ref="AI66">IFERROR(CONCATENATE(TEXT(INDEX($AH$7:$AH$43,SMALL(IF($AK$7:$AK$43&lt;&gt;"",IF($AH$7:$AH$43&lt;&gt;"",ROW($AH$7:$AH$43)-MIN(ROW($AH$7:$AH$43))+1,""),""),ROW()-ROW(A$46)+1)),"##0")," "),"")</f>
        <v>0</v>
      </c>
      <c r="AJ66">
        <f t="array" ref="AJ66">IFERROR(CONCATENATE((INDEX($A$7:$A$43,SMALL(IF($AK$7:$AK$43&lt;&gt;"",IF($AH$7:$AH$43&lt;&gt;"",ROW($AH$7:$AH$43)-MIN(ROW($AH$7:$AH$43))+1,""),""),ROW()-ROW(A$46)+1))),),"")</f>
        <v>0</v>
      </c>
      <c r="AM66">
        <f t="array" ref="AM66">IFERROR(CONCATENATE((INDEX($AP$7:$AP$43,SMALL(IF($AP$7:$AP$43&lt;&gt;"",IF($AM$7:$AM$43&lt;&gt;"",ROW($AM$7:$AM$43)-MIN(ROW($AM$7:$AM$43))+1,""),""),ROW()-ROW(A$46)+1)))," "),"")</f>
        <v>0</v>
      </c>
      <c r="AN66">
        <f t="array" ref="AN66">IFERROR(CONCATENATE(TEXT(INDEX($AM$7:$AM$43,SMALL(IF($AP$7:$AP$43&lt;&gt;"",IF($AM$7:$AM$43&lt;&gt;"",ROW($AM$7:$AM$43)-MIN(ROW($AM$7:$AM$43))+1,""),""),ROW()-ROW(A$46)+1)),"##0")," "),"")</f>
        <v>0</v>
      </c>
      <c r="AO66">
        <f t="array" ref="AO66">IFERROR(CONCATENATE((INDEX($A$7:$A$43,SMALL(IF($AP$7:$AP$43&lt;&gt;"",IF($AM$7:$AM$43&lt;&gt;"",ROW($AM$7:$AM$43)-MIN(ROW($AM$7:$AM$43))+1,""),""),ROW()-ROW(A$46)+1))),),"")</f>
        <v>0</v>
      </c>
    </row>
    <row r="67" spans="9:41">
      <c r="I67">
        <f t="array" ref="I67">IFERROR(CONCATENATE((INDEX($L$7:$L$43,SMALL(IF($L$7:$L$43&lt;&gt;"",IF($I$7:$I$43&lt;&gt;"",ROW($I$7:$I$43)-MIN(ROW($I$7:$I$43))+1,""),""),ROW()-ROW(A$46)+1))),","),"")</f>
        <v>0</v>
      </c>
      <c r="J67">
        <f t="array" ref="J67">IFERROR(CONCATENATE(TEXT(INDEX($I$7:$I$43,SMALL(IF($L$7:$L$43&lt;&gt;"",IF($I$7:$I$43&lt;&gt;"",ROW($I$7:$I$43)-MIN(ROW($I$7:$I$43))+1,""),""),ROW()-ROW(A$46)+1)),"##0"),","),"")</f>
        <v>0</v>
      </c>
      <c r="K67">
        <f t="array" ref="K67">IFERROR(CONCATENATE((INDEX($A$7:$A$43,SMALL(IF($L$7:$L$43&lt;&gt;"",IF($I$7:$I$43&lt;&gt;"",ROW($I$7:$I$43)-MIN(ROW($I$7:$I$43))+1,""),""),ROW()-ROW(A$46)+1))),),"")</f>
        <v>0</v>
      </c>
      <c r="N67">
        <f t="array" ref="N67">IFERROR(CONCATENATE(TEXT(INDEX($N$7:$N$43,SMALL(IF($Q$7:$Q$43&lt;&gt;"",IF($N$7:$N$43&lt;&gt;"",ROW($N$7:$N$43)-MIN(ROW($N$7:$N$43))+1,""),""),ROW()-ROW(A$46)+1)),"##0"),","),"")</f>
        <v>0</v>
      </c>
      <c r="O67">
        <f t="array" ref="O67">IFERROR(CONCATENATE((INDEX($Q$7:$Q$43,SMALL(IF($Q$7:$Q$43&lt;&gt;"",IF($N$7:$N$43&lt;&gt;"",ROW($N$7:$N$43)-MIN(ROW($N$7:$N$43))+1,""),""),ROW()-ROW(A$46)+1))),","),"")</f>
        <v>0</v>
      </c>
      <c r="P67">
        <f t="array" ref="P67">IFERROR(CONCATENATE((INDEX($A$7:$A$43,SMALL(IF($Q$7:$Q$43&lt;&gt;"",IF($N$7:$N$43&lt;&gt;"",ROW($N$7:$N$43)-MIN(ROW($N$7:$N$43))+1,""),""),ROW()-ROW(A$46)+1))),),"")</f>
        <v>0</v>
      </c>
      <c r="S67">
        <f t="array" ref="S67">IFERROR(CONCATENATE((INDEX($V$7:$V$43,SMALL(IF($V$7:$V$43&lt;&gt;"",IF($S$7:$S$43&lt;&gt;"",ROW($S$7:$S$43)-MIN(ROW($S$7:$S$43))+1,""),""),ROW()-ROW(A$46)+1)))," "),"")</f>
        <v>0</v>
      </c>
      <c r="T67">
        <f t="array" ref="T67">IFERROR(CONCATENATE(TEXT(INDEX($S$7:$S$43,SMALL(IF($V$7:$V$43&lt;&gt;"",IF($S$7:$S$43&lt;&gt;"",ROW($S$7:$S$43)-MIN(ROW($S$7:$S$43))+1,""),""),ROW()-ROW(A$46)+1)),"##0")," "),"")</f>
        <v>0</v>
      </c>
      <c r="U67">
        <f t="array" ref="U67">IFERROR(CONCATENATE((INDEX($A$7:$A$43,SMALL(IF($V$7:$V$43&lt;&gt;"",IF($S$7:$S$43&lt;&gt;"",ROW($S$7:$S$43)-MIN(ROW($S$7:$S$43))+1,""),""),ROW()-ROW(A$46)+1))),),"")</f>
        <v>0</v>
      </c>
      <c r="X67">
        <f t="array" ref="X67">IFERROR(CONCATENATE((INDEX($AA$7:$AA$43,SMALL(IF($AA$7:$AA$43&lt;&gt;"",IF($X$7:$X$43&lt;&gt;"",ROW($X$7:$X$43)-MIN(ROW($X$7:$X$43))+1,""),""),ROW()-ROW(A$46)+1)))," "),"")</f>
        <v>0</v>
      </c>
      <c r="Y67">
        <f t="array" ref="Y67">IFERROR(CONCATENATE(TEXT(INDEX($X$7:$X$43,SMALL(IF($AA$7:$AA$43&lt;&gt;"",IF($X$7:$X$43&lt;&gt;"",ROW($X$7:$X$43)-MIN(ROW($X$7:$X$43))+1,""),""),ROW()-ROW(A$46)+1)),"##0")," "),"")</f>
        <v>0</v>
      </c>
      <c r="Z67">
        <f t="array" ref="Z67">IFERROR(CONCATENATE((INDEX($A$7:$A$43,SMALL(IF($AA$7:$AA$43&lt;&gt;"",IF($X$7:$X$43&lt;&gt;"",ROW($X$7:$X$43)-MIN(ROW($X$7:$X$43))+1,""),""),ROW()-ROW(A$46)+1))),),"")</f>
        <v>0</v>
      </c>
      <c r="AC67">
        <f t="array" ref="AC67">IFERROR(CONCATENATE((INDEX($AF$7:$AF$43,SMALL(IF($AF$7:$AF$43&lt;&gt;"",IF($AC$7:$AC$43&lt;&gt;"",ROW($AC$7:$AC$43)-MIN(ROW($AC$7:$AC$43))+1,""),""),ROW()-ROW(A$46)+1))),","),"")</f>
        <v>0</v>
      </c>
      <c r="AD67">
        <f t="array" ref="AD67">IFERROR(CONCATENATE(TEXT(INDEX($AC$7:$AC$43,SMALL(IF($AF$7:$AF$43&lt;&gt;"",IF($AC$7:$AC$43&lt;&gt;"",ROW($AC$7:$AC$43)-MIN(ROW($AC$7:$AC$43))+1,""),""),ROW()-ROW(A$46)+1)),"##0"),","),"")</f>
        <v>0</v>
      </c>
      <c r="AE67">
        <f t="array" ref="AE67">IFERROR(CONCATENATE((INDEX($A$7:$A$43,SMALL(IF($AF$7:$AF$43&lt;&gt;"",IF($AC$7:$AC$43&lt;&gt;"",ROW($AC$7:$AC$43)-MIN(ROW($AC$7:$AC$43))+1,""),""),ROW()-ROW(A$46)+1))),),"")</f>
        <v>0</v>
      </c>
      <c r="AH67">
        <f t="array" ref="AH67">IFERROR(CONCATENATE((INDEX($AK$7:$AK$43,SMALL(IF($AK$7:$AK$43&lt;&gt;"",IF($AH$7:$AH$43&lt;&gt;"",ROW($AH$7:$AH$43)-MIN(ROW($AH$7:$AH$43))+1,""),""),ROW()-ROW(A$46)+1)))," "),"")</f>
        <v>0</v>
      </c>
      <c r="AI67">
        <f t="array" ref="AI67">IFERROR(CONCATENATE(TEXT(INDEX($AH$7:$AH$43,SMALL(IF($AK$7:$AK$43&lt;&gt;"",IF($AH$7:$AH$43&lt;&gt;"",ROW($AH$7:$AH$43)-MIN(ROW($AH$7:$AH$43))+1,""),""),ROW()-ROW(A$46)+1)),"##0")," "),"")</f>
        <v>0</v>
      </c>
      <c r="AJ67">
        <f t="array" ref="AJ67">IFERROR(CONCATENATE((INDEX($A$7:$A$43,SMALL(IF($AK$7:$AK$43&lt;&gt;"",IF($AH$7:$AH$43&lt;&gt;"",ROW($AH$7:$AH$43)-MIN(ROW($AH$7:$AH$43))+1,""),""),ROW()-ROW(A$46)+1))),),"")</f>
        <v>0</v>
      </c>
      <c r="AM67">
        <f t="array" ref="AM67">IFERROR(CONCATENATE((INDEX($AP$7:$AP$43,SMALL(IF($AP$7:$AP$43&lt;&gt;"",IF($AM$7:$AM$43&lt;&gt;"",ROW($AM$7:$AM$43)-MIN(ROW($AM$7:$AM$43))+1,""),""),ROW()-ROW(A$46)+1)))," "),"")</f>
        <v>0</v>
      </c>
      <c r="AN67">
        <f t="array" ref="AN67">IFERROR(CONCATENATE(TEXT(INDEX($AM$7:$AM$43,SMALL(IF($AP$7:$AP$43&lt;&gt;"",IF($AM$7:$AM$43&lt;&gt;"",ROW($AM$7:$AM$43)-MIN(ROW($AM$7:$AM$43))+1,""),""),ROW()-ROW(A$46)+1)),"##0")," "),"")</f>
        <v>0</v>
      </c>
      <c r="AO67">
        <f t="array" ref="AO67">IFERROR(CONCATENATE((INDEX($A$7:$A$43,SMALL(IF($AP$7:$AP$43&lt;&gt;"",IF($AM$7:$AM$43&lt;&gt;"",ROW($AM$7:$AM$43)-MIN(ROW($AM$7:$AM$43))+1,""),""),ROW()-ROW(A$46)+1))),),"")</f>
        <v>0</v>
      </c>
    </row>
    <row r="68" spans="9:41">
      <c r="I68">
        <f t="array" ref="I68">IFERROR(CONCATENATE((INDEX($L$7:$L$43,SMALL(IF($L$7:$L$43&lt;&gt;"",IF($I$7:$I$43&lt;&gt;"",ROW($I$7:$I$43)-MIN(ROW($I$7:$I$43))+1,""),""),ROW()-ROW(A$46)+1))),","),"")</f>
        <v>0</v>
      </c>
      <c r="J68">
        <f t="array" ref="J68">IFERROR(CONCATENATE(TEXT(INDEX($I$7:$I$43,SMALL(IF($L$7:$L$43&lt;&gt;"",IF($I$7:$I$43&lt;&gt;"",ROW($I$7:$I$43)-MIN(ROW($I$7:$I$43))+1,""),""),ROW()-ROW(A$46)+1)),"##0"),","),"")</f>
        <v>0</v>
      </c>
      <c r="K68">
        <f t="array" ref="K68">IFERROR(CONCATENATE((INDEX($A$7:$A$43,SMALL(IF($L$7:$L$43&lt;&gt;"",IF($I$7:$I$43&lt;&gt;"",ROW($I$7:$I$43)-MIN(ROW($I$7:$I$43))+1,""),""),ROW()-ROW(A$46)+1))),),"")</f>
        <v>0</v>
      </c>
      <c r="N68">
        <f t="array" ref="N68">IFERROR(CONCATENATE(TEXT(INDEX($N$7:$N$43,SMALL(IF($Q$7:$Q$43&lt;&gt;"",IF($N$7:$N$43&lt;&gt;"",ROW($N$7:$N$43)-MIN(ROW($N$7:$N$43))+1,""),""),ROW()-ROW(A$46)+1)),"##0"),","),"")</f>
        <v>0</v>
      </c>
      <c r="O68">
        <f t="array" ref="O68">IFERROR(CONCATENATE((INDEX($Q$7:$Q$43,SMALL(IF($Q$7:$Q$43&lt;&gt;"",IF($N$7:$N$43&lt;&gt;"",ROW($N$7:$N$43)-MIN(ROW($N$7:$N$43))+1,""),""),ROW()-ROW(A$46)+1))),","),"")</f>
        <v>0</v>
      </c>
      <c r="P68">
        <f t="array" ref="P68">IFERROR(CONCATENATE((INDEX($A$7:$A$43,SMALL(IF($Q$7:$Q$43&lt;&gt;"",IF($N$7:$N$43&lt;&gt;"",ROW($N$7:$N$43)-MIN(ROW($N$7:$N$43))+1,""),""),ROW()-ROW(A$46)+1))),),"")</f>
        <v>0</v>
      </c>
      <c r="S68">
        <f t="array" ref="S68">IFERROR(CONCATENATE((INDEX($V$7:$V$43,SMALL(IF($V$7:$V$43&lt;&gt;"",IF($S$7:$S$43&lt;&gt;"",ROW($S$7:$S$43)-MIN(ROW($S$7:$S$43))+1,""),""),ROW()-ROW(A$46)+1)))," "),"")</f>
        <v>0</v>
      </c>
      <c r="T68">
        <f t="array" ref="T68">IFERROR(CONCATENATE(TEXT(INDEX($S$7:$S$43,SMALL(IF($V$7:$V$43&lt;&gt;"",IF($S$7:$S$43&lt;&gt;"",ROW($S$7:$S$43)-MIN(ROW($S$7:$S$43))+1,""),""),ROW()-ROW(A$46)+1)),"##0")," "),"")</f>
        <v>0</v>
      </c>
      <c r="U68">
        <f t="array" ref="U68">IFERROR(CONCATENATE((INDEX($A$7:$A$43,SMALL(IF($V$7:$V$43&lt;&gt;"",IF($S$7:$S$43&lt;&gt;"",ROW($S$7:$S$43)-MIN(ROW($S$7:$S$43))+1,""),""),ROW()-ROW(A$46)+1))),),"")</f>
        <v>0</v>
      </c>
      <c r="X68">
        <f t="array" ref="X68">IFERROR(CONCATENATE((INDEX($AA$7:$AA$43,SMALL(IF($AA$7:$AA$43&lt;&gt;"",IF($X$7:$X$43&lt;&gt;"",ROW($X$7:$X$43)-MIN(ROW($X$7:$X$43))+1,""),""),ROW()-ROW(A$46)+1)))," "),"")</f>
        <v>0</v>
      </c>
      <c r="Y68">
        <f t="array" ref="Y68">IFERROR(CONCATENATE(TEXT(INDEX($X$7:$X$43,SMALL(IF($AA$7:$AA$43&lt;&gt;"",IF($X$7:$X$43&lt;&gt;"",ROW($X$7:$X$43)-MIN(ROW($X$7:$X$43))+1,""),""),ROW()-ROW(A$46)+1)),"##0")," "),"")</f>
        <v>0</v>
      </c>
      <c r="Z68">
        <f t="array" ref="Z68">IFERROR(CONCATENATE((INDEX($A$7:$A$43,SMALL(IF($AA$7:$AA$43&lt;&gt;"",IF($X$7:$X$43&lt;&gt;"",ROW($X$7:$X$43)-MIN(ROW($X$7:$X$43))+1,""),""),ROW()-ROW(A$46)+1))),),"")</f>
        <v>0</v>
      </c>
      <c r="AC68">
        <f t="array" ref="AC68">IFERROR(CONCATENATE((INDEX($AF$7:$AF$43,SMALL(IF($AF$7:$AF$43&lt;&gt;"",IF($AC$7:$AC$43&lt;&gt;"",ROW($AC$7:$AC$43)-MIN(ROW($AC$7:$AC$43))+1,""),""),ROW()-ROW(A$46)+1))),","),"")</f>
        <v>0</v>
      </c>
      <c r="AD68">
        <f t="array" ref="AD68">IFERROR(CONCATENATE(TEXT(INDEX($AC$7:$AC$43,SMALL(IF($AF$7:$AF$43&lt;&gt;"",IF($AC$7:$AC$43&lt;&gt;"",ROW($AC$7:$AC$43)-MIN(ROW($AC$7:$AC$43))+1,""),""),ROW()-ROW(A$46)+1)),"##0"),","),"")</f>
        <v>0</v>
      </c>
      <c r="AE68">
        <f t="array" ref="AE68">IFERROR(CONCATENATE((INDEX($A$7:$A$43,SMALL(IF($AF$7:$AF$43&lt;&gt;"",IF($AC$7:$AC$43&lt;&gt;"",ROW($AC$7:$AC$43)-MIN(ROW($AC$7:$AC$43))+1,""),""),ROW()-ROW(A$46)+1))),),"")</f>
        <v>0</v>
      </c>
      <c r="AH68">
        <f t="array" ref="AH68">IFERROR(CONCATENATE((INDEX($AK$7:$AK$43,SMALL(IF($AK$7:$AK$43&lt;&gt;"",IF($AH$7:$AH$43&lt;&gt;"",ROW($AH$7:$AH$43)-MIN(ROW($AH$7:$AH$43))+1,""),""),ROW()-ROW(A$46)+1)))," "),"")</f>
        <v>0</v>
      </c>
      <c r="AI68">
        <f t="array" ref="AI68">IFERROR(CONCATENATE(TEXT(INDEX($AH$7:$AH$43,SMALL(IF($AK$7:$AK$43&lt;&gt;"",IF($AH$7:$AH$43&lt;&gt;"",ROW($AH$7:$AH$43)-MIN(ROW($AH$7:$AH$43))+1,""),""),ROW()-ROW(A$46)+1)),"##0")," "),"")</f>
        <v>0</v>
      </c>
      <c r="AJ68">
        <f t="array" ref="AJ68">IFERROR(CONCATENATE((INDEX($A$7:$A$43,SMALL(IF($AK$7:$AK$43&lt;&gt;"",IF($AH$7:$AH$43&lt;&gt;"",ROW($AH$7:$AH$43)-MIN(ROW($AH$7:$AH$43))+1,""),""),ROW()-ROW(A$46)+1))),),"")</f>
        <v>0</v>
      </c>
      <c r="AM68">
        <f t="array" ref="AM68">IFERROR(CONCATENATE((INDEX($AP$7:$AP$43,SMALL(IF($AP$7:$AP$43&lt;&gt;"",IF($AM$7:$AM$43&lt;&gt;"",ROW($AM$7:$AM$43)-MIN(ROW($AM$7:$AM$43))+1,""),""),ROW()-ROW(A$46)+1)))," "),"")</f>
        <v>0</v>
      </c>
      <c r="AN68">
        <f t="array" ref="AN68">IFERROR(CONCATENATE(TEXT(INDEX($AM$7:$AM$43,SMALL(IF($AP$7:$AP$43&lt;&gt;"",IF($AM$7:$AM$43&lt;&gt;"",ROW($AM$7:$AM$43)-MIN(ROW($AM$7:$AM$43))+1,""),""),ROW()-ROW(A$46)+1)),"##0")," "),"")</f>
        <v>0</v>
      </c>
      <c r="AO68">
        <f t="array" ref="AO68">IFERROR(CONCATENATE((INDEX($A$7:$A$43,SMALL(IF($AP$7:$AP$43&lt;&gt;"",IF($AM$7:$AM$43&lt;&gt;"",ROW($AM$7:$AM$43)-MIN(ROW($AM$7:$AM$43))+1,""),""),ROW()-ROW(A$46)+1))),),"")</f>
        <v>0</v>
      </c>
    </row>
    <row r="69" spans="9:41">
      <c r="I69">
        <f t="array" ref="I69">IFERROR(CONCATENATE((INDEX($L$7:$L$43,SMALL(IF($L$7:$L$43&lt;&gt;"",IF($I$7:$I$43&lt;&gt;"",ROW($I$7:$I$43)-MIN(ROW($I$7:$I$43))+1,""),""),ROW()-ROW(A$46)+1))),","),"")</f>
        <v>0</v>
      </c>
      <c r="J69">
        <f t="array" ref="J69">IFERROR(CONCATENATE(TEXT(INDEX($I$7:$I$43,SMALL(IF($L$7:$L$43&lt;&gt;"",IF($I$7:$I$43&lt;&gt;"",ROW($I$7:$I$43)-MIN(ROW($I$7:$I$43))+1,""),""),ROW()-ROW(A$46)+1)),"##0"),","),"")</f>
        <v>0</v>
      </c>
      <c r="K69">
        <f t="array" ref="K69">IFERROR(CONCATENATE((INDEX($A$7:$A$43,SMALL(IF($L$7:$L$43&lt;&gt;"",IF($I$7:$I$43&lt;&gt;"",ROW($I$7:$I$43)-MIN(ROW($I$7:$I$43))+1,""),""),ROW()-ROW(A$46)+1))),),"")</f>
        <v>0</v>
      </c>
      <c r="N69">
        <f t="array" ref="N69">IFERROR(CONCATENATE(TEXT(INDEX($N$7:$N$43,SMALL(IF($Q$7:$Q$43&lt;&gt;"",IF($N$7:$N$43&lt;&gt;"",ROW($N$7:$N$43)-MIN(ROW($N$7:$N$43))+1,""),""),ROW()-ROW(A$46)+1)),"##0"),","),"")</f>
        <v>0</v>
      </c>
      <c r="O69">
        <f t="array" ref="O69">IFERROR(CONCATENATE((INDEX($Q$7:$Q$43,SMALL(IF($Q$7:$Q$43&lt;&gt;"",IF($N$7:$N$43&lt;&gt;"",ROW($N$7:$N$43)-MIN(ROW($N$7:$N$43))+1,""),""),ROW()-ROW(A$46)+1))),","),"")</f>
        <v>0</v>
      </c>
      <c r="P69">
        <f t="array" ref="P69">IFERROR(CONCATENATE((INDEX($A$7:$A$43,SMALL(IF($Q$7:$Q$43&lt;&gt;"",IF($N$7:$N$43&lt;&gt;"",ROW($N$7:$N$43)-MIN(ROW($N$7:$N$43))+1,""),""),ROW()-ROW(A$46)+1))),),"")</f>
        <v>0</v>
      </c>
      <c r="S69">
        <f t="array" ref="S69">IFERROR(CONCATENATE((INDEX($V$7:$V$43,SMALL(IF($V$7:$V$43&lt;&gt;"",IF($S$7:$S$43&lt;&gt;"",ROW($S$7:$S$43)-MIN(ROW($S$7:$S$43))+1,""),""),ROW()-ROW(A$46)+1)))," "),"")</f>
        <v>0</v>
      </c>
      <c r="T69">
        <f t="array" ref="T69">IFERROR(CONCATENATE(TEXT(INDEX($S$7:$S$43,SMALL(IF($V$7:$V$43&lt;&gt;"",IF($S$7:$S$43&lt;&gt;"",ROW($S$7:$S$43)-MIN(ROW($S$7:$S$43))+1,""),""),ROW()-ROW(A$46)+1)),"##0")," "),"")</f>
        <v>0</v>
      </c>
      <c r="U69">
        <f t="array" ref="U69">IFERROR(CONCATENATE((INDEX($A$7:$A$43,SMALL(IF($V$7:$V$43&lt;&gt;"",IF($S$7:$S$43&lt;&gt;"",ROW($S$7:$S$43)-MIN(ROW($S$7:$S$43))+1,""),""),ROW()-ROW(A$46)+1))),),"")</f>
        <v>0</v>
      </c>
      <c r="X69">
        <f t="array" ref="X69">IFERROR(CONCATENATE((INDEX($AA$7:$AA$43,SMALL(IF($AA$7:$AA$43&lt;&gt;"",IF($X$7:$X$43&lt;&gt;"",ROW($X$7:$X$43)-MIN(ROW($X$7:$X$43))+1,""),""),ROW()-ROW(A$46)+1)))," "),"")</f>
        <v>0</v>
      </c>
      <c r="Y69">
        <f t="array" ref="Y69">IFERROR(CONCATENATE(TEXT(INDEX($X$7:$X$43,SMALL(IF($AA$7:$AA$43&lt;&gt;"",IF($X$7:$X$43&lt;&gt;"",ROW($X$7:$X$43)-MIN(ROW($X$7:$X$43))+1,""),""),ROW()-ROW(A$46)+1)),"##0")," "),"")</f>
        <v>0</v>
      </c>
      <c r="Z69">
        <f t="array" ref="Z69">IFERROR(CONCATENATE((INDEX($A$7:$A$43,SMALL(IF($AA$7:$AA$43&lt;&gt;"",IF($X$7:$X$43&lt;&gt;"",ROW($X$7:$X$43)-MIN(ROW($X$7:$X$43))+1,""),""),ROW()-ROW(A$46)+1))),),"")</f>
        <v>0</v>
      </c>
      <c r="AC69">
        <f t="array" ref="AC69">IFERROR(CONCATENATE((INDEX($AF$7:$AF$43,SMALL(IF($AF$7:$AF$43&lt;&gt;"",IF($AC$7:$AC$43&lt;&gt;"",ROW($AC$7:$AC$43)-MIN(ROW($AC$7:$AC$43))+1,""),""),ROW()-ROW(A$46)+1))),","),"")</f>
        <v>0</v>
      </c>
      <c r="AD69">
        <f t="array" ref="AD69">IFERROR(CONCATENATE(TEXT(INDEX($AC$7:$AC$43,SMALL(IF($AF$7:$AF$43&lt;&gt;"",IF($AC$7:$AC$43&lt;&gt;"",ROW($AC$7:$AC$43)-MIN(ROW($AC$7:$AC$43))+1,""),""),ROW()-ROW(A$46)+1)),"##0"),","),"")</f>
        <v>0</v>
      </c>
      <c r="AE69">
        <f t="array" ref="AE69">IFERROR(CONCATENATE((INDEX($A$7:$A$43,SMALL(IF($AF$7:$AF$43&lt;&gt;"",IF($AC$7:$AC$43&lt;&gt;"",ROW($AC$7:$AC$43)-MIN(ROW($AC$7:$AC$43))+1,""),""),ROW()-ROW(A$46)+1))),),"")</f>
        <v>0</v>
      </c>
      <c r="AH69">
        <f t="array" ref="AH69">IFERROR(CONCATENATE((INDEX($AK$7:$AK$43,SMALL(IF($AK$7:$AK$43&lt;&gt;"",IF($AH$7:$AH$43&lt;&gt;"",ROW($AH$7:$AH$43)-MIN(ROW($AH$7:$AH$43))+1,""),""),ROW()-ROW(A$46)+1)))," "),"")</f>
        <v>0</v>
      </c>
      <c r="AI69">
        <f t="array" ref="AI69">IFERROR(CONCATENATE(TEXT(INDEX($AH$7:$AH$43,SMALL(IF($AK$7:$AK$43&lt;&gt;"",IF($AH$7:$AH$43&lt;&gt;"",ROW($AH$7:$AH$43)-MIN(ROW($AH$7:$AH$43))+1,""),""),ROW()-ROW(A$46)+1)),"##0")," "),"")</f>
        <v>0</v>
      </c>
      <c r="AJ69">
        <f t="array" ref="AJ69">IFERROR(CONCATENATE((INDEX($A$7:$A$43,SMALL(IF($AK$7:$AK$43&lt;&gt;"",IF($AH$7:$AH$43&lt;&gt;"",ROW($AH$7:$AH$43)-MIN(ROW($AH$7:$AH$43))+1,""),""),ROW()-ROW(A$46)+1))),),"")</f>
        <v>0</v>
      </c>
      <c r="AM69">
        <f t="array" ref="AM69">IFERROR(CONCATENATE((INDEX($AP$7:$AP$43,SMALL(IF($AP$7:$AP$43&lt;&gt;"",IF($AM$7:$AM$43&lt;&gt;"",ROW($AM$7:$AM$43)-MIN(ROW($AM$7:$AM$43))+1,""),""),ROW()-ROW(A$46)+1)))," "),"")</f>
        <v>0</v>
      </c>
      <c r="AN69">
        <f t="array" ref="AN69">IFERROR(CONCATENATE(TEXT(INDEX($AM$7:$AM$43,SMALL(IF($AP$7:$AP$43&lt;&gt;"",IF($AM$7:$AM$43&lt;&gt;"",ROW($AM$7:$AM$43)-MIN(ROW($AM$7:$AM$43))+1,""),""),ROW()-ROW(A$46)+1)),"##0")," "),"")</f>
        <v>0</v>
      </c>
      <c r="AO69">
        <f t="array" ref="AO69">IFERROR(CONCATENATE((INDEX($A$7:$A$43,SMALL(IF($AP$7:$AP$43&lt;&gt;"",IF($AM$7:$AM$43&lt;&gt;"",ROW($AM$7:$AM$43)-MIN(ROW($AM$7:$AM$43))+1,""),""),ROW()-ROW(A$46)+1))),),"")</f>
        <v>0</v>
      </c>
    </row>
    <row r="70" spans="9:41">
      <c r="I70">
        <f t="array" ref="I70">IFERROR(CONCATENATE((INDEX($L$7:$L$43,SMALL(IF($L$7:$L$43&lt;&gt;"",IF($I$7:$I$43&lt;&gt;"",ROW($I$7:$I$43)-MIN(ROW($I$7:$I$43))+1,""),""),ROW()-ROW(A$46)+1))),","),"")</f>
        <v>0</v>
      </c>
      <c r="J70">
        <f t="array" ref="J70">IFERROR(CONCATENATE(TEXT(INDEX($I$7:$I$43,SMALL(IF($L$7:$L$43&lt;&gt;"",IF($I$7:$I$43&lt;&gt;"",ROW($I$7:$I$43)-MIN(ROW($I$7:$I$43))+1,""),""),ROW()-ROW(A$46)+1)),"##0"),","),"")</f>
        <v>0</v>
      </c>
      <c r="K70">
        <f t="array" ref="K70">IFERROR(CONCATENATE((INDEX($A$7:$A$43,SMALL(IF($L$7:$L$43&lt;&gt;"",IF($I$7:$I$43&lt;&gt;"",ROW($I$7:$I$43)-MIN(ROW($I$7:$I$43))+1,""),""),ROW()-ROW(A$46)+1))),),"")</f>
        <v>0</v>
      </c>
      <c r="N70">
        <f t="array" ref="N70">IFERROR(CONCATENATE(TEXT(INDEX($N$7:$N$43,SMALL(IF($Q$7:$Q$43&lt;&gt;"",IF($N$7:$N$43&lt;&gt;"",ROW($N$7:$N$43)-MIN(ROW($N$7:$N$43))+1,""),""),ROW()-ROW(A$46)+1)),"##0"),","),"")</f>
        <v>0</v>
      </c>
      <c r="O70">
        <f t="array" ref="O70">IFERROR(CONCATENATE((INDEX($Q$7:$Q$43,SMALL(IF($Q$7:$Q$43&lt;&gt;"",IF($N$7:$N$43&lt;&gt;"",ROW($N$7:$N$43)-MIN(ROW($N$7:$N$43))+1,""),""),ROW()-ROW(A$46)+1))),","),"")</f>
        <v>0</v>
      </c>
      <c r="P70">
        <f t="array" ref="P70">IFERROR(CONCATENATE((INDEX($A$7:$A$43,SMALL(IF($Q$7:$Q$43&lt;&gt;"",IF($N$7:$N$43&lt;&gt;"",ROW($N$7:$N$43)-MIN(ROW($N$7:$N$43))+1,""),""),ROW()-ROW(A$46)+1))),),"")</f>
        <v>0</v>
      </c>
      <c r="S70">
        <f t="array" ref="S70">IFERROR(CONCATENATE((INDEX($V$7:$V$43,SMALL(IF($V$7:$V$43&lt;&gt;"",IF($S$7:$S$43&lt;&gt;"",ROW($S$7:$S$43)-MIN(ROW($S$7:$S$43))+1,""),""),ROW()-ROW(A$46)+1)))," "),"")</f>
        <v>0</v>
      </c>
      <c r="T70">
        <f t="array" ref="T70">IFERROR(CONCATENATE(TEXT(INDEX($S$7:$S$43,SMALL(IF($V$7:$V$43&lt;&gt;"",IF($S$7:$S$43&lt;&gt;"",ROW($S$7:$S$43)-MIN(ROW($S$7:$S$43))+1,""),""),ROW()-ROW(A$46)+1)),"##0")," "),"")</f>
        <v>0</v>
      </c>
      <c r="U70">
        <f t="array" ref="U70">IFERROR(CONCATENATE((INDEX($A$7:$A$43,SMALL(IF($V$7:$V$43&lt;&gt;"",IF($S$7:$S$43&lt;&gt;"",ROW($S$7:$S$43)-MIN(ROW($S$7:$S$43))+1,""),""),ROW()-ROW(A$46)+1))),),"")</f>
        <v>0</v>
      </c>
      <c r="X70">
        <f t="array" ref="X70">IFERROR(CONCATENATE((INDEX($AA$7:$AA$43,SMALL(IF($AA$7:$AA$43&lt;&gt;"",IF($X$7:$X$43&lt;&gt;"",ROW($X$7:$X$43)-MIN(ROW($X$7:$X$43))+1,""),""),ROW()-ROW(A$46)+1)))," "),"")</f>
        <v>0</v>
      </c>
      <c r="Y70">
        <f t="array" ref="Y70">IFERROR(CONCATENATE(TEXT(INDEX($X$7:$X$43,SMALL(IF($AA$7:$AA$43&lt;&gt;"",IF($X$7:$X$43&lt;&gt;"",ROW($X$7:$X$43)-MIN(ROW($X$7:$X$43))+1,""),""),ROW()-ROW(A$46)+1)),"##0")," "),"")</f>
        <v>0</v>
      </c>
      <c r="Z70">
        <f t="array" ref="Z70">IFERROR(CONCATENATE((INDEX($A$7:$A$43,SMALL(IF($AA$7:$AA$43&lt;&gt;"",IF($X$7:$X$43&lt;&gt;"",ROW($X$7:$X$43)-MIN(ROW($X$7:$X$43))+1,""),""),ROW()-ROW(A$46)+1))),),"")</f>
        <v>0</v>
      </c>
      <c r="AC70">
        <f t="array" ref="AC70">IFERROR(CONCATENATE((INDEX($AF$7:$AF$43,SMALL(IF($AF$7:$AF$43&lt;&gt;"",IF($AC$7:$AC$43&lt;&gt;"",ROW($AC$7:$AC$43)-MIN(ROW($AC$7:$AC$43))+1,""),""),ROW()-ROW(A$46)+1))),","),"")</f>
        <v>0</v>
      </c>
      <c r="AD70">
        <f t="array" ref="AD70">IFERROR(CONCATENATE(TEXT(INDEX($AC$7:$AC$43,SMALL(IF($AF$7:$AF$43&lt;&gt;"",IF($AC$7:$AC$43&lt;&gt;"",ROW($AC$7:$AC$43)-MIN(ROW($AC$7:$AC$43))+1,""),""),ROW()-ROW(A$46)+1)),"##0"),","),"")</f>
        <v>0</v>
      </c>
      <c r="AE70">
        <f t="array" ref="AE70">IFERROR(CONCATENATE((INDEX($A$7:$A$43,SMALL(IF($AF$7:$AF$43&lt;&gt;"",IF($AC$7:$AC$43&lt;&gt;"",ROW($AC$7:$AC$43)-MIN(ROW($AC$7:$AC$43))+1,""),""),ROW()-ROW(A$46)+1))),),"")</f>
        <v>0</v>
      </c>
      <c r="AH70">
        <f t="array" ref="AH70">IFERROR(CONCATENATE((INDEX($AK$7:$AK$43,SMALL(IF($AK$7:$AK$43&lt;&gt;"",IF($AH$7:$AH$43&lt;&gt;"",ROW($AH$7:$AH$43)-MIN(ROW($AH$7:$AH$43))+1,""),""),ROW()-ROW(A$46)+1)))," "),"")</f>
        <v>0</v>
      </c>
      <c r="AI70">
        <f t="array" ref="AI70">IFERROR(CONCATENATE(TEXT(INDEX($AH$7:$AH$43,SMALL(IF($AK$7:$AK$43&lt;&gt;"",IF($AH$7:$AH$43&lt;&gt;"",ROW($AH$7:$AH$43)-MIN(ROW($AH$7:$AH$43))+1,""),""),ROW()-ROW(A$46)+1)),"##0")," "),"")</f>
        <v>0</v>
      </c>
      <c r="AJ70">
        <f t="array" ref="AJ70">IFERROR(CONCATENATE((INDEX($A$7:$A$43,SMALL(IF($AK$7:$AK$43&lt;&gt;"",IF($AH$7:$AH$43&lt;&gt;"",ROW($AH$7:$AH$43)-MIN(ROW($AH$7:$AH$43))+1,""),""),ROW()-ROW(A$46)+1))),),"")</f>
        <v>0</v>
      </c>
      <c r="AM70">
        <f t="array" ref="AM70">IFERROR(CONCATENATE((INDEX($AP$7:$AP$43,SMALL(IF($AP$7:$AP$43&lt;&gt;"",IF($AM$7:$AM$43&lt;&gt;"",ROW($AM$7:$AM$43)-MIN(ROW($AM$7:$AM$43))+1,""),""),ROW()-ROW(A$46)+1)))," "),"")</f>
        <v>0</v>
      </c>
      <c r="AN70">
        <f t="array" ref="AN70">IFERROR(CONCATENATE(TEXT(INDEX($AM$7:$AM$43,SMALL(IF($AP$7:$AP$43&lt;&gt;"",IF($AM$7:$AM$43&lt;&gt;"",ROW($AM$7:$AM$43)-MIN(ROW($AM$7:$AM$43))+1,""),""),ROW()-ROW(A$46)+1)),"##0")," "),"")</f>
        <v>0</v>
      </c>
      <c r="AO70">
        <f t="array" ref="AO70">IFERROR(CONCATENATE((INDEX($A$7:$A$43,SMALL(IF($AP$7:$AP$43&lt;&gt;"",IF($AM$7:$AM$43&lt;&gt;"",ROW($AM$7:$AM$43)-MIN(ROW($AM$7:$AM$43))+1,""),""),ROW()-ROW(A$46)+1))),),"")</f>
        <v>0</v>
      </c>
    </row>
    <row r="71" spans="9:41">
      <c r="I71">
        <f t="array" ref="I71">IFERROR(CONCATENATE((INDEX($L$7:$L$43,SMALL(IF($L$7:$L$43&lt;&gt;"",IF($I$7:$I$43&lt;&gt;"",ROW($I$7:$I$43)-MIN(ROW($I$7:$I$43))+1,""),""),ROW()-ROW(A$46)+1))),","),"")</f>
        <v>0</v>
      </c>
      <c r="J71">
        <f t="array" ref="J71">IFERROR(CONCATENATE(TEXT(INDEX($I$7:$I$43,SMALL(IF($L$7:$L$43&lt;&gt;"",IF($I$7:$I$43&lt;&gt;"",ROW($I$7:$I$43)-MIN(ROW($I$7:$I$43))+1,""),""),ROW()-ROW(A$46)+1)),"##0"),","),"")</f>
        <v>0</v>
      </c>
      <c r="K71">
        <f t="array" ref="K71">IFERROR(CONCATENATE((INDEX($A$7:$A$43,SMALL(IF($L$7:$L$43&lt;&gt;"",IF($I$7:$I$43&lt;&gt;"",ROW($I$7:$I$43)-MIN(ROW($I$7:$I$43))+1,""),""),ROW()-ROW(A$46)+1))),),"")</f>
        <v>0</v>
      </c>
      <c r="N71">
        <f t="array" ref="N71">IFERROR(CONCATENATE(TEXT(INDEX($N$7:$N$43,SMALL(IF($Q$7:$Q$43&lt;&gt;"",IF($N$7:$N$43&lt;&gt;"",ROW($N$7:$N$43)-MIN(ROW($N$7:$N$43))+1,""),""),ROW()-ROW(A$46)+1)),"##0"),","),"")</f>
        <v>0</v>
      </c>
      <c r="O71">
        <f t="array" ref="O71">IFERROR(CONCATENATE((INDEX($Q$7:$Q$43,SMALL(IF($Q$7:$Q$43&lt;&gt;"",IF($N$7:$N$43&lt;&gt;"",ROW($N$7:$N$43)-MIN(ROW($N$7:$N$43))+1,""),""),ROW()-ROW(A$46)+1))),","),"")</f>
        <v>0</v>
      </c>
      <c r="P71">
        <f t="array" ref="P71">IFERROR(CONCATENATE((INDEX($A$7:$A$43,SMALL(IF($Q$7:$Q$43&lt;&gt;"",IF($N$7:$N$43&lt;&gt;"",ROW($N$7:$N$43)-MIN(ROW($N$7:$N$43))+1,""),""),ROW()-ROW(A$46)+1))),),"")</f>
        <v>0</v>
      </c>
      <c r="S71">
        <f t="array" ref="S71">IFERROR(CONCATENATE((INDEX($V$7:$V$43,SMALL(IF($V$7:$V$43&lt;&gt;"",IF($S$7:$S$43&lt;&gt;"",ROW($S$7:$S$43)-MIN(ROW($S$7:$S$43))+1,""),""),ROW()-ROW(A$46)+1)))," "),"")</f>
        <v>0</v>
      </c>
      <c r="T71">
        <f t="array" ref="T71">IFERROR(CONCATENATE(TEXT(INDEX($S$7:$S$43,SMALL(IF($V$7:$V$43&lt;&gt;"",IF($S$7:$S$43&lt;&gt;"",ROW($S$7:$S$43)-MIN(ROW($S$7:$S$43))+1,""),""),ROW()-ROW(A$46)+1)),"##0")," "),"")</f>
        <v>0</v>
      </c>
      <c r="U71">
        <f t="array" ref="U71">IFERROR(CONCATENATE((INDEX($A$7:$A$43,SMALL(IF($V$7:$V$43&lt;&gt;"",IF($S$7:$S$43&lt;&gt;"",ROW($S$7:$S$43)-MIN(ROW($S$7:$S$43))+1,""),""),ROW()-ROW(A$46)+1))),),"")</f>
        <v>0</v>
      </c>
      <c r="X71">
        <f t="array" ref="X71">IFERROR(CONCATENATE((INDEX($AA$7:$AA$43,SMALL(IF($AA$7:$AA$43&lt;&gt;"",IF($X$7:$X$43&lt;&gt;"",ROW($X$7:$X$43)-MIN(ROW($X$7:$X$43))+1,""),""),ROW()-ROW(A$46)+1)))," "),"")</f>
        <v>0</v>
      </c>
      <c r="Y71">
        <f t="array" ref="Y71">IFERROR(CONCATENATE(TEXT(INDEX($X$7:$X$43,SMALL(IF($AA$7:$AA$43&lt;&gt;"",IF($X$7:$X$43&lt;&gt;"",ROW($X$7:$X$43)-MIN(ROW($X$7:$X$43))+1,""),""),ROW()-ROW(A$46)+1)),"##0")," "),"")</f>
        <v>0</v>
      </c>
      <c r="Z71">
        <f t="array" ref="Z71">IFERROR(CONCATENATE((INDEX($A$7:$A$43,SMALL(IF($AA$7:$AA$43&lt;&gt;"",IF($X$7:$X$43&lt;&gt;"",ROW($X$7:$X$43)-MIN(ROW($X$7:$X$43))+1,""),""),ROW()-ROW(A$46)+1))),),"")</f>
        <v>0</v>
      </c>
      <c r="AC71">
        <f t="array" ref="AC71">IFERROR(CONCATENATE((INDEX($AF$7:$AF$43,SMALL(IF($AF$7:$AF$43&lt;&gt;"",IF($AC$7:$AC$43&lt;&gt;"",ROW($AC$7:$AC$43)-MIN(ROW($AC$7:$AC$43))+1,""),""),ROW()-ROW(A$46)+1))),","),"")</f>
        <v>0</v>
      </c>
      <c r="AD71">
        <f t="array" ref="AD71">IFERROR(CONCATENATE(TEXT(INDEX($AC$7:$AC$43,SMALL(IF($AF$7:$AF$43&lt;&gt;"",IF($AC$7:$AC$43&lt;&gt;"",ROW($AC$7:$AC$43)-MIN(ROW($AC$7:$AC$43))+1,""),""),ROW()-ROW(A$46)+1)),"##0"),","),"")</f>
        <v>0</v>
      </c>
      <c r="AE71">
        <f t="array" ref="AE71">IFERROR(CONCATENATE((INDEX($A$7:$A$43,SMALL(IF($AF$7:$AF$43&lt;&gt;"",IF($AC$7:$AC$43&lt;&gt;"",ROW($AC$7:$AC$43)-MIN(ROW($AC$7:$AC$43))+1,""),""),ROW()-ROW(A$46)+1))),),"")</f>
        <v>0</v>
      </c>
      <c r="AH71">
        <f t="array" ref="AH71">IFERROR(CONCATENATE((INDEX($AK$7:$AK$43,SMALL(IF($AK$7:$AK$43&lt;&gt;"",IF($AH$7:$AH$43&lt;&gt;"",ROW($AH$7:$AH$43)-MIN(ROW($AH$7:$AH$43))+1,""),""),ROW()-ROW(A$46)+1)))," "),"")</f>
        <v>0</v>
      </c>
      <c r="AI71">
        <f t="array" ref="AI71">IFERROR(CONCATENATE(TEXT(INDEX($AH$7:$AH$43,SMALL(IF($AK$7:$AK$43&lt;&gt;"",IF($AH$7:$AH$43&lt;&gt;"",ROW($AH$7:$AH$43)-MIN(ROW($AH$7:$AH$43))+1,""),""),ROW()-ROW(A$46)+1)),"##0")," "),"")</f>
        <v>0</v>
      </c>
      <c r="AJ71">
        <f t="array" ref="AJ71">IFERROR(CONCATENATE((INDEX($A$7:$A$43,SMALL(IF($AK$7:$AK$43&lt;&gt;"",IF($AH$7:$AH$43&lt;&gt;"",ROW($AH$7:$AH$43)-MIN(ROW($AH$7:$AH$43))+1,""),""),ROW()-ROW(A$46)+1))),),"")</f>
        <v>0</v>
      </c>
      <c r="AM71">
        <f t="array" ref="AM71">IFERROR(CONCATENATE((INDEX($AP$7:$AP$43,SMALL(IF($AP$7:$AP$43&lt;&gt;"",IF($AM$7:$AM$43&lt;&gt;"",ROW($AM$7:$AM$43)-MIN(ROW($AM$7:$AM$43))+1,""),""),ROW()-ROW(A$46)+1)))," "),"")</f>
        <v>0</v>
      </c>
      <c r="AN71">
        <f t="array" ref="AN71">IFERROR(CONCATENATE(TEXT(INDEX($AM$7:$AM$43,SMALL(IF($AP$7:$AP$43&lt;&gt;"",IF($AM$7:$AM$43&lt;&gt;"",ROW($AM$7:$AM$43)-MIN(ROW($AM$7:$AM$43))+1,""),""),ROW()-ROW(A$46)+1)),"##0")," "),"")</f>
        <v>0</v>
      </c>
      <c r="AO71">
        <f t="array" ref="AO71">IFERROR(CONCATENATE((INDEX($A$7:$A$43,SMALL(IF($AP$7:$AP$43&lt;&gt;"",IF($AM$7:$AM$43&lt;&gt;"",ROW($AM$7:$AM$43)-MIN(ROW($AM$7:$AM$43))+1,""),""),ROW()-ROW(A$46)+1))),),"")</f>
        <v>0</v>
      </c>
    </row>
    <row r="72" spans="9:41">
      <c r="I72">
        <f t="array" ref="I72">IFERROR(CONCATENATE((INDEX($L$7:$L$43,SMALL(IF($L$7:$L$43&lt;&gt;"",IF($I$7:$I$43&lt;&gt;"",ROW($I$7:$I$43)-MIN(ROW($I$7:$I$43))+1,""),""),ROW()-ROW(A$46)+1))),","),"")</f>
        <v>0</v>
      </c>
      <c r="J72">
        <f t="array" ref="J72">IFERROR(CONCATENATE(TEXT(INDEX($I$7:$I$43,SMALL(IF($L$7:$L$43&lt;&gt;"",IF($I$7:$I$43&lt;&gt;"",ROW($I$7:$I$43)-MIN(ROW($I$7:$I$43))+1,""),""),ROW()-ROW(A$46)+1)),"##0"),","),"")</f>
        <v>0</v>
      </c>
      <c r="K72">
        <f t="array" ref="K72">IFERROR(CONCATENATE((INDEX($A$7:$A$43,SMALL(IF($L$7:$L$43&lt;&gt;"",IF($I$7:$I$43&lt;&gt;"",ROW($I$7:$I$43)-MIN(ROW($I$7:$I$43))+1,""),""),ROW()-ROW(A$46)+1))),),"")</f>
        <v>0</v>
      </c>
      <c r="N72">
        <f t="array" ref="N72">IFERROR(CONCATENATE(TEXT(INDEX($N$7:$N$43,SMALL(IF($Q$7:$Q$43&lt;&gt;"",IF($N$7:$N$43&lt;&gt;"",ROW($N$7:$N$43)-MIN(ROW($N$7:$N$43))+1,""),""),ROW()-ROW(A$46)+1)),"##0"),","),"")</f>
        <v>0</v>
      </c>
      <c r="O72">
        <f t="array" ref="O72">IFERROR(CONCATENATE((INDEX($Q$7:$Q$43,SMALL(IF($Q$7:$Q$43&lt;&gt;"",IF($N$7:$N$43&lt;&gt;"",ROW($N$7:$N$43)-MIN(ROW($N$7:$N$43))+1,""),""),ROW()-ROW(A$46)+1))),","),"")</f>
        <v>0</v>
      </c>
      <c r="P72">
        <f t="array" ref="P72">IFERROR(CONCATENATE((INDEX($A$7:$A$43,SMALL(IF($Q$7:$Q$43&lt;&gt;"",IF($N$7:$N$43&lt;&gt;"",ROW($N$7:$N$43)-MIN(ROW($N$7:$N$43))+1,""),""),ROW()-ROW(A$46)+1))),),"")</f>
        <v>0</v>
      </c>
      <c r="S72">
        <f t="array" ref="S72">IFERROR(CONCATENATE((INDEX($V$7:$V$43,SMALL(IF($V$7:$V$43&lt;&gt;"",IF($S$7:$S$43&lt;&gt;"",ROW($S$7:$S$43)-MIN(ROW($S$7:$S$43))+1,""),""),ROW()-ROW(A$46)+1)))," "),"")</f>
        <v>0</v>
      </c>
      <c r="T72">
        <f t="array" ref="T72">IFERROR(CONCATENATE(TEXT(INDEX($S$7:$S$43,SMALL(IF($V$7:$V$43&lt;&gt;"",IF($S$7:$S$43&lt;&gt;"",ROW($S$7:$S$43)-MIN(ROW($S$7:$S$43))+1,""),""),ROW()-ROW(A$46)+1)),"##0")," "),"")</f>
        <v>0</v>
      </c>
      <c r="U72">
        <f t="array" ref="U72">IFERROR(CONCATENATE((INDEX($A$7:$A$43,SMALL(IF($V$7:$V$43&lt;&gt;"",IF($S$7:$S$43&lt;&gt;"",ROW($S$7:$S$43)-MIN(ROW($S$7:$S$43))+1,""),""),ROW()-ROW(A$46)+1))),),"")</f>
        <v>0</v>
      </c>
      <c r="X72">
        <f t="array" ref="X72">IFERROR(CONCATENATE((INDEX($AA$7:$AA$43,SMALL(IF($AA$7:$AA$43&lt;&gt;"",IF($X$7:$X$43&lt;&gt;"",ROW($X$7:$X$43)-MIN(ROW($X$7:$X$43))+1,""),""),ROW()-ROW(A$46)+1)))," "),"")</f>
        <v>0</v>
      </c>
      <c r="Y72">
        <f t="array" ref="Y72">IFERROR(CONCATENATE(TEXT(INDEX($X$7:$X$43,SMALL(IF($AA$7:$AA$43&lt;&gt;"",IF($X$7:$X$43&lt;&gt;"",ROW($X$7:$X$43)-MIN(ROW($X$7:$X$43))+1,""),""),ROW()-ROW(A$46)+1)),"##0")," "),"")</f>
        <v>0</v>
      </c>
      <c r="Z72">
        <f t="array" ref="Z72">IFERROR(CONCATENATE((INDEX($A$7:$A$43,SMALL(IF($AA$7:$AA$43&lt;&gt;"",IF($X$7:$X$43&lt;&gt;"",ROW($X$7:$X$43)-MIN(ROW($X$7:$X$43))+1,""),""),ROW()-ROW(A$46)+1))),),"")</f>
        <v>0</v>
      </c>
      <c r="AC72">
        <f t="array" ref="AC72">IFERROR(CONCATENATE((INDEX($AF$7:$AF$43,SMALL(IF($AF$7:$AF$43&lt;&gt;"",IF($AC$7:$AC$43&lt;&gt;"",ROW($AC$7:$AC$43)-MIN(ROW($AC$7:$AC$43))+1,""),""),ROW()-ROW(A$46)+1))),","),"")</f>
        <v>0</v>
      </c>
      <c r="AD72">
        <f t="array" ref="AD72">IFERROR(CONCATENATE(TEXT(INDEX($AC$7:$AC$43,SMALL(IF($AF$7:$AF$43&lt;&gt;"",IF($AC$7:$AC$43&lt;&gt;"",ROW($AC$7:$AC$43)-MIN(ROW($AC$7:$AC$43))+1,""),""),ROW()-ROW(A$46)+1)),"##0"),","),"")</f>
        <v>0</v>
      </c>
      <c r="AE72">
        <f t="array" ref="AE72">IFERROR(CONCATENATE((INDEX($A$7:$A$43,SMALL(IF($AF$7:$AF$43&lt;&gt;"",IF($AC$7:$AC$43&lt;&gt;"",ROW($AC$7:$AC$43)-MIN(ROW($AC$7:$AC$43))+1,""),""),ROW()-ROW(A$46)+1))),),"")</f>
        <v>0</v>
      </c>
      <c r="AH72">
        <f t="array" ref="AH72">IFERROR(CONCATENATE((INDEX($AK$7:$AK$43,SMALL(IF($AK$7:$AK$43&lt;&gt;"",IF($AH$7:$AH$43&lt;&gt;"",ROW($AH$7:$AH$43)-MIN(ROW($AH$7:$AH$43))+1,""),""),ROW()-ROW(A$46)+1)))," "),"")</f>
        <v>0</v>
      </c>
      <c r="AI72">
        <f t="array" ref="AI72">IFERROR(CONCATENATE(TEXT(INDEX($AH$7:$AH$43,SMALL(IF($AK$7:$AK$43&lt;&gt;"",IF($AH$7:$AH$43&lt;&gt;"",ROW($AH$7:$AH$43)-MIN(ROW($AH$7:$AH$43))+1,""),""),ROW()-ROW(A$46)+1)),"##0")," "),"")</f>
        <v>0</v>
      </c>
      <c r="AJ72">
        <f t="array" ref="AJ72">IFERROR(CONCATENATE((INDEX($A$7:$A$43,SMALL(IF($AK$7:$AK$43&lt;&gt;"",IF($AH$7:$AH$43&lt;&gt;"",ROW($AH$7:$AH$43)-MIN(ROW($AH$7:$AH$43))+1,""),""),ROW()-ROW(A$46)+1))),),"")</f>
        <v>0</v>
      </c>
      <c r="AM72">
        <f t="array" ref="AM72">IFERROR(CONCATENATE((INDEX($AP$7:$AP$43,SMALL(IF($AP$7:$AP$43&lt;&gt;"",IF($AM$7:$AM$43&lt;&gt;"",ROW($AM$7:$AM$43)-MIN(ROW($AM$7:$AM$43))+1,""),""),ROW()-ROW(A$46)+1)))," "),"")</f>
        <v>0</v>
      </c>
      <c r="AN72">
        <f t="array" ref="AN72">IFERROR(CONCATENATE(TEXT(INDEX($AM$7:$AM$43,SMALL(IF($AP$7:$AP$43&lt;&gt;"",IF($AM$7:$AM$43&lt;&gt;"",ROW($AM$7:$AM$43)-MIN(ROW($AM$7:$AM$43))+1,""),""),ROW()-ROW(A$46)+1)),"##0")," "),"")</f>
        <v>0</v>
      </c>
      <c r="AO72">
        <f t="array" ref="AO72">IFERROR(CONCATENATE((INDEX($A$7:$A$43,SMALL(IF($AP$7:$AP$43&lt;&gt;"",IF($AM$7:$AM$43&lt;&gt;"",ROW($AM$7:$AM$43)-MIN(ROW($AM$7:$AM$43))+1,""),""),ROW()-ROW(A$46)+1))),),"")</f>
        <v>0</v>
      </c>
    </row>
    <row r="73" spans="9:41">
      <c r="I73">
        <f t="array" ref="I73">IFERROR(CONCATENATE((INDEX($L$7:$L$43,SMALL(IF($L$7:$L$43&lt;&gt;"",IF($I$7:$I$43&lt;&gt;"",ROW($I$7:$I$43)-MIN(ROW($I$7:$I$43))+1,""),""),ROW()-ROW(A$46)+1))),","),"")</f>
        <v>0</v>
      </c>
      <c r="J73">
        <f t="array" ref="J73">IFERROR(CONCATENATE(TEXT(INDEX($I$7:$I$43,SMALL(IF($L$7:$L$43&lt;&gt;"",IF($I$7:$I$43&lt;&gt;"",ROW($I$7:$I$43)-MIN(ROW($I$7:$I$43))+1,""),""),ROW()-ROW(A$46)+1)),"##0"),","),"")</f>
        <v>0</v>
      </c>
      <c r="K73">
        <f t="array" ref="K73">IFERROR(CONCATENATE((INDEX($A$7:$A$43,SMALL(IF($L$7:$L$43&lt;&gt;"",IF($I$7:$I$43&lt;&gt;"",ROW($I$7:$I$43)-MIN(ROW($I$7:$I$43))+1,""),""),ROW()-ROW(A$46)+1))),),"")</f>
        <v>0</v>
      </c>
      <c r="N73">
        <f t="array" ref="N73">IFERROR(CONCATENATE(TEXT(INDEX($N$7:$N$43,SMALL(IF($Q$7:$Q$43&lt;&gt;"",IF($N$7:$N$43&lt;&gt;"",ROW($N$7:$N$43)-MIN(ROW($N$7:$N$43))+1,""),""),ROW()-ROW(A$46)+1)),"##0"),","),"")</f>
        <v>0</v>
      </c>
      <c r="O73">
        <f t="array" ref="O73">IFERROR(CONCATENATE((INDEX($Q$7:$Q$43,SMALL(IF($Q$7:$Q$43&lt;&gt;"",IF($N$7:$N$43&lt;&gt;"",ROW($N$7:$N$43)-MIN(ROW($N$7:$N$43))+1,""),""),ROW()-ROW(A$46)+1))),","),"")</f>
        <v>0</v>
      </c>
      <c r="P73">
        <f t="array" ref="P73">IFERROR(CONCATENATE((INDEX($A$7:$A$43,SMALL(IF($Q$7:$Q$43&lt;&gt;"",IF($N$7:$N$43&lt;&gt;"",ROW($N$7:$N$43)-MIN(ROW($N$7:$N$43))+1,""),""),ROW()-ROW(A$46)+1))),),"")</f>
        <v>0</v>
      </c>
      <c r="S73">
        <f t="array" ref="S73">IFERROR(CONCATENATE((INDEX($V$7:$V$43,SMALL(IF($V$7:$V$43&lt;&gt;"",IF($S$7:$S$43&lt;&gt;"",ROW($S$7:$S$43)-MIN(ROW($S$7:$S$43))+1,""),""),ROW()-ROW(A$46)+1)))," "),"")</f>
        <v>0</v>
      </c>
      <c r="T73">
        <f t="array" ref="T73">IFERROR(CONCATENATE(TEXT(INDEX($S$7:$S$43,SMALL(IF($V$7:$V$43&lt;&gt;"",IF($S$7:$S$43&lt;&gt;"",ROW($S$7:$S$43)-MIN(ROW($S$7:$S$43))+1,""),""),ROW()-ROW(A$46)+1)),"##0")," "),"")</f>
        <v>0</v>
      </c>
      <c r="U73">
        <f t="array" ref="U73">IFERROR(CONCATENATE((INDEX($A$7:$A$43,SMALL(IF($V$7:$V$43&lt;&gt;"",IF($S$7:$S$43&lt;&gt;"",ROW($S$7:$S$43)-MIN(ROW($S$7:$S$43))+1,""),""),ROW()-ROW(A$46)+1))),),"")</f>
        <v>0</v>
      </c>
      <c r="X73">
        <f t="array" ref="X73">IFERROR(CONCATENATE((INDEX($AA$7:$AA$43,SMALL(IF($AA$7:$AA$43&lt;&gt;"",IF($X$7:$X$43&lt;&gt;"",ROW($X$7:$X$43)-MIN(ROW($X$7:$X$43))+1,""),""),ROW()-ROW(A$46)+1)))," "),"")</f>
        <v>0</v>
      </c>
      <c r="Y73">
        <f t="array" ref="Y73">IFERROR(CONCATENATE(TEXT(INDEX($X$7:$X$43,SMALL(IF($AA$7:$AA$43&lt;&gt;"",IF($X$7:$X$43&lt;&gt;"",ROW($X$7:$X$43)-MIN(ROW($X$7:$X$43))+1,""),""),ROW()-ROW(A$46)+1)),"##0")," "),"")</f>
        <v>0</v>
      </c>
      <c r="Z73">
        <f t="array" ref="Z73">IFERROR(CONCATENATE((INDEX($A$7:$A$43,SMALL(IF($AA$7:$AA$43&lt;&gt;"",IF($X$7:$X$43&lt;&gt;"",ROW($X$7:$X$43)-MIN(ROW($X$7:$X$43))+1,""),""),ROW()-ROW(A$46)+1))),),"")</f>
        <v>0</v>
      </c>
      <c r="AC73">
        <f t="array" ref="AC73">IFERROR(CONCATENATE((INDEX($AF$7:$AF$43,SMALL(IF($AF$7:$AF$43&lt;&gt;"",IF($AC$7:$AC$43&lt;&gt;"",ROW($AC$7:$AC$43)-MIN(ROW($AC$7:$AC$43))+1,""),""),ROW()-ROW(A$46)+1))),","),"")</f>
        <v>0</v>
      </c>
      <c r="AD73">
        <f t="array" ref="AD73">IFERROR(CONCATENATE(TEXT(INDEX($AC$7:$AC$43,SMALL(IF($AF$7:$AF$43&lt;&gt;"",IF($AC$7:$AC$43&lt;&gt;"",ROW($AC$7:$AC$43)-MIN(ROW($AC$7:$AC$43))+1,""),""),ROW()-ROW(A$46)+1)),"##0"),","),"")</f>
        <v>0</v>
      </c>
      <c r="AE73">
        <f t="array" ref="AE73">IFERROR(CONCATENATE((INDEX($A$7:$A$43,SMALL(IF($AF$7:$AF$43&lt;&gt;"",IF($AC$7:$AC$43&lt;&gt;"",ROW($AC$7:$AC$43)-MIN(ROW($AC$7:$AC$43))+1,""),""),ROW()-ROW(A$46)+1))),),"")</f>
        <v>0</v>
      </c>
      <c r="AH73">
        <f t="array" ref="AH73">IFERROR(CONCATENATE((INDEX($AK$7:$AK$43,SMALL(IF($AK$7:$AK$43&lt;&gt;"",IF($AH$7:$AH$43&lt;&gt;"",ROW($AH$7:$AH$43)-MIN(ROW($AH$7:$AH$43))+1,""),""),ROW()-ROW(A$46)+1)))," "),"")</f>
        <v>0</v>
      </c>
      <c r="AI73">
        <f t="array" ref="AI73">IFERROR(CONCATENATE(TEXT(INDEX($AH$7:$AH$43,SMALL(IF($AK$7:$AK$43&lt;&gt;"",IF($AH$7:$AH$43&lt;&gt;"",ROW($AH$7:$AH$43)-MIN(ROW($AH$7:$AH$43))+1,""),""),ROW()-ROW(A$46)+1)),"##0")," "),"")</f>
        <v>0</v>
      </c>
      <c r="AJ73">
        <f t="array" ref="AJ73">IFERROR(CONCATENATE((INDEX($A$7:$A$43,SMALL(IF($AK$7:$AK$43&lt;&gt;"",IF($AH$7:$AH$43&lt;&gt;"",ROW($AH$7:$AH$43)-MIN(ROW($AH$7:$AH$43))+1,""),""),ROW()-ROW(A$46)+1))),),"")</f>
        <v>0</v>
      </c>
      <c r="AM73">
        <f t="array" ref="AM73">IFERROR(CONCATENATE((INDEX($AP$7:$AP$43,SMALL(IF($AP$7:$AP$43&lt;&gt;"",IF($AM$7:$AM$43&lt;&gt;"",ROW($AM$7:$AM$43)-MIN(ROW($AM$7:$AM$43))+1,""),""),ROW()-ROW(A$46)+1)))," "),"")</f>
        <v>0</v>
      </c>
      <c r="AN73">
        <f t="array" ref="AN73">IFERROR(CONCATENATE(TEXT(INDEX($AM$7:$AM$43,SMALL(IF($AP$7:$AP$43&lt;&gt;"",IF($AM$7:$AM$43&lt;&gt;"",ROW($AM$7:$AM$43)-MIN(ROW($AM$7:$AM$43))+1,""),""),ROW()-ROW(A$46)+1)),"##0")," "),"")</f>
        <v>0</v>
      </c>
      <c r="AO73">
        <f t="array" ref="AO73">IFERROR(CONCATENATE((INDEX($A$7:$A$43,SMALL(IF($AP$7:$AP$43&lt;&gt;"",IF($AM$7:$AM$43&lt;&gt;"",ROW($AM$7:$AM$43)-MIN(ROW($AM$7:$AM$43))+1,""),""),ROW()-ROW(A$46)+1))),),"")</f>
        <v>0</v>
      </c>
    </row>
    <row r="74" spans="9:41">
      <c r="I74">
        <f t="array" ref="I74">IFERROR(CONCATENATE((INDEX($L$7:$L$43,SMALL(IF($L$7:$L$43&lt;&gt;"",IF($I$7:$I$43&lt;&gt;"",ROW($I$7:$I$43)-MIN(ROW($I$7:$I$43))+1,""),""),ROW()-ROW(A$46)+1))),","),"")</f>
        <v>0</v>
      </c>
      <c r="J74">
        <f t="array" ref="J74">IFERROR(CONCATENATE(TEXT(INDEX($I$7:$I$43,SMALL(IF($L$7:$L$43&lt;&gt;"",IF($I$7:$I$43&lt;&gt;"",ROW($I$7:$I$43)-MIN(ROW($I$7:$I$43))+1,""),""),ROW()-ROW(A$46)+1)),"##0"),","),"")</f>
        <v>0</v>
      </c>
      <c r="K74">
        <f t="array" ref="K74">IFERROR(CONCATENATE((INDEX($A$7:$A$43,SMALL(IF($L$7:$L$43&lt;&gt;"",IF($I$7:$I$43&lt;&gt;"",ROW($I$7:$I$43)-MIN(ROW($I$7:$I$43))+1,""),""),ROW()-ROW(A$46)+1))),),"")</f>
        <v>0</v>
      </c>
      <c r="N74">
        <f t="array" ref="N74">IFERROR(CONCATENATE(TEXT(INDEX($N$7:$N$43,SMALL(IF($Q$7:$Q$43&lt;&gt;"",IF($N$7:$N$43&lt;&gt;"",ROW($N$7:$N$43)-MIN(ROW($N$7:$N$43))+1,""),""),ROW()-ROW(A$46)+1)),"##0"),","),"")</f>
        <v>0</v>
      </c>
      <c r="O74">
        <f t="array" ref="O74">IFERROR(CONCATENATE((INDEX($Q$7:$Q$43,SMALL(IF($Q$7:$Q$43&lt;&gt;"",IF($N$7:$N$43&lt;&gt;"",ROW($N$7:$N$43)-MIN(ROW($N$7:$N$43))+1,""),""),ROW()-ROW(A$46)+1))),","),"")</f>
        <v>0</v>
      </c>
      <c r="P74">
        <f t="array" ref="P74">IFERROR(CONCATENATE((INDEX($A$7:$A$43,SMALL(IF($Q$7:$Q$43&lt;&gt;"",IF($N$7:$N$43&lt;&gt;"",ROW($N$7:$N$43)-MIN(ROW($N$7:$N$43))+1,""),""),ROW()-ROW(A$46)+1))),),"")</f>
        <v>0</v>
      </c>
      <c r="S74">
        <f t="array" ref="S74">IFERROR(CONCATENATE((INDEX($V$7:$V$43,SMALL(IF($V$7:$V$43&lt;&gt;"",IF($S$7:$S$43&lt;&gt;"",ROW($S$7:$S$43)-MIN(ROW($S$7:$S$43))+1,""),""),ROW()-ROW(A$46)+1)))," "),"")</f>
        <v>0</v>
      </c>
      <c r="T74">
        <f t="array" ref="T74">IFERROR(CONCATENATE(TEXT(INDEX($S$7:$S$43,SMALL(IF($V$7:$V$43&lt;&gt;"",IF($S$7:$S$43&lt;&gt;"",ROW($S$7:$S$43)-MIN(ROW($S$7:$S$43))+1,""),""),ROW()-ROW(A$46)+1)),"##0")," "),"")</f>
        <v>0</v>
      </c>
      <c r="U74">
        <f t="array" ref="U74">IFERROR(CONCATENATE((INDEX($A$7:$A$43,SMALL(IF($V$7:$V$43&lt;&gt;"",IF($S$7:$S$43&lt;&gt;"",ROW($S$7:$S$43)-MIN(ROW($S$7:$S$43))+1,""),""),ROW()-ROW(A$46)+1))),),"")</f>
        <v>0</v>
      </c>
      <c r="X74">
        <f t="array" ref="X74">IFERROR(CONCATENATE((INDEX($AA$7:$AA$43,SMALL(IF($AA$7:$AA$43&lt;&gt;"",IF($X$7:$X$43&lt;&gt;"",ROW($X$7:$X$43)-MIN(ROW($X$7:$X$43))+1,""),""),ROW()-ROW(A$46)+1)))," "),"")</f>
        <v>0</v>
      </c>
      <c r="Y74">
        <f t="array" ref="Y74">IFERROR(CONCATENATE(TEXT(INDEX($X$7:$X$43,SMALL(IF($AA$7:$AA$43&lt;&gt;"",IF($X$7:$X$43&lt;&gt;"",ROW($X$7:$X$43)-MIN(ROW($X$7:$X$43))+1,""),""),ROW()-ROW(A$46)+1)),"##0")," "),"")</f>
        <v>0</v>
      </c>
      <c r="Z74">
        <f t="array" ref="Z74">IFERROR(CONCATENATE((INDEX($A$7:$A$43,SMALL(IF($AA$7:$AA$43&lt;&gt;"",IF($X$7:$X$43&lt;&gt;"",ROW($X$7:$X$43)-MIN(ROW($X$7:$X$43))+1,""),""),ROW()-ROW(A$46)+1))),),"")</f>
        <v>0</v>
      </c>
      <c r="AC74">
        <f t="array" ref="AC74">IFERROR(CONCATENATE((INDEX($AF$7:$AF$43,SMALL(IF($AF$7:$AF$43&lt;&gt;"",IF($AC$7:$AC$43&lt;&gt;"",ROW($AC$7:$AC$43)-MIN(ROW($AC$7:$AC$43))+1,""),""),ROW()-ROW(A$46)+1))),","),"")</f>
        <v>0</v>
      </c>
      <c r="AD74">
        <f t="array" ref="AD74">IFERROR(CONCATENATE(TEXT(INDEX($AC$7:$AC$43,SMALL(IF($AF$7:$AF$43&lt;&gt;"",IF($AC$7:$AC$43&lt;&gt;"",ROW($AC$7:$AC$43)-MIN(ROW($AC$7:$AC$43))+1,""),""),ROW()-ROW(A$46)+1)),"##0"),","),"")</f>
        <v>0</v>
      </c>
      <c r="AE74">
        <f t="array" ref="AE74">IFERROR(CONCATENATE((INDEX($A$7:$A$43,SMALL(IF($AF$7:$AF$43&lt;&gt;"",IF($AC$7:$AC$43&lt;&gt;"",ROW($AC$7:$AC$43)-MIN(ROW($AC$7:$AC$43))+1,""),""),ROW()-ROW(A$46)+1))),),"")</f>
        <v>0</v>
      </c>
      <c r="AH74">
        <f t="array" ref="AH74">IFERROR(CONCATENATE((INDEX($AK$7:$AK$43,SMALL(IF($AK$7:$AK$43&lt;&gt;"",IF($AH$7:$AH$43&lt;&gt;"",ROW($AH$7:$AH$43)-MIN(ROW($AH$7:$AH$43))+1,""),""),ROW()-ROW(A$46)+1)))," "),"")</f>
        <v>0</v>
      </c>
      <c r="AI74">
        <f t="array" ref="AI74">IFERROR(CONCATENATE(TEXT(INDEX($AH$7:$AH$43,SMALL(IF($AK$7:$AK$43&lt;&gt;"",IF($AH$7:$AH$43&lt;&gt;"",ROW($AH$7:$AH$43)-MIN(ROW($AH$7:$AH$43))+1,""),""),ROW()-ROW(A$46)+1)),"##0")," "),"")</f>
        <v>0</v>
      </c>
      <c r="AJ74">
        <f t="array" ref="AJ74">IFERROR(CONCATENATE((INDEX($A$7:$A$43,SMALL(IF($AK$7:$AK$43&lt;&gt;"",IF($AH$7:$AH$43&lt;&gt;"",ROW($AH$7:$AH$43)-MIN(ROW($AH$7:$AH$43))+1,""),""),ROW()-ROW(A$46)+1))),),"")</f>
        <v>0</v>
      </c>
      <c r="AM74">
        <f t="array" ref="AM74">IFERROR(CONCATENATE((INDEX($AP$7:$AP$43,SMALL(IF($AP$7:$AP$43&lt;&gt;"",IF($AM$7:$AM$43&lt;&gt;"",ROW($AM$7:$AM$43)-MIN(ROW($AM$7:$AM$43))+1,""),""),ROW()-ROW(A$46)+1)))," "),"")</f>
        <v>0</v>
      </c>
      <c r="AN74">
        <f t="array" ref="AN74">IFERROR(CONCATENATE(TEXT(INDEX($AM$7:$AM$43,SMALL(IF($AP$7:$AP$43&lt;&gt;"",IF($AM$7:$AM$43&lt;&gt;"",ROW($AM$7:$AM$43)-MIN(ROW($AM$7:$AM$43))+1,""),""),ROW()-ROW(A$46)+1)),"##0")," "),"")</f>
        <v>0</v>
      </c>
      <c r="AO74">
        <f t="array" ref="AO74">IFERROR(CONCATENATE((INDEX($A$7:$A$43,SMALL(IF($AP$7:$AP$43&lt;&gt;"",IF($AM$7:$AM$43&lt;&gt;"",ROW($AM$7:$AM$43)-MIN(ROW($AM$7:$AM$43))+1,""),""),ROW()-ROW(A$46)+1))),),"")</f>
        <v>0</v>
      </c>
    </row>
    <row r="75" spans="9:41">
      <c r="I75">
        <f t="array" ref="I75">IFERROR(CONCATENATE((INDEX($L$7:$L$43,SMALL(IF($L$7:$L$43&lt;&gt;"",IF($I$7:$I$43&lt;&gt;"",ROW($I$7:$I$43)-MIN(ROW($I$7:$I$43))+1,""),""),ROW()-ROW(A$46)+1))),","),"")</f>
        <v>0</v>
      </c>
      <c r="J75">
        <f t="array" ref="J75">IFERROR(CONCATENATE(TEXT(INDEX($I$7:$I$43,SMALL(IF($L$7:$L$43&lt;&gt;"",IF($I$7:$I$43&lt;&gt;"",ROW($I$7:$I$43)-MIN(ROW($I$7:$I$43))+1,""),""),ROW()-ROW(A$46)+1)),"##0"),","),"")</f>
        <v>0</v>
      </c>
      <c r="K75">
        <f t="array" ref="K75">IFERROR(CONCATENATE((INDEX($A$7:$A$43,SMALL(IF($L$7:$L$43&lt;&gt;"",IF($I$7:$I$43&lt;&gt;"",ROW($I$7:$I$43)-MIN(ROW($I$7:$I$43))+1,""),""),ROW()-ROW(A$46)+1))),),"")</f>
        <v>0</v>
      </c>
      <c r="N75">
        <f t="array" ref="N75">IFERROR(CONCATENATE(TEXT(INDEX($N$7:$N$43,SMALL(IF($Q$7:$Q$43&lt;&gt;"",IF($N$7:$N$43&lt;&gt;"",ROW($N$7:$N$43)-MIN(ROW($N$7:$N$43))+1,""),""),ROW()-ROW(A$46)+1)),"##0"),","),"")</f>
        <v>0</v>
      </c>
      <c r="O75">
        <f t="array" ref="O75">IFERROR(CONCATENATE((INDEX($Q$7:$Q$43,SMALL(IF($Q$7:$Q$43&lt;&gt;"",IF($N$7:$N$43&lt;&gt;"",ROW($N$7:$N$43)-MIN(ROW($N$7:$N$43))+1,""),""),ROW()-ROW(A$46)+1))),","),"")</f>
        <v>0</v>
      </c>
      <c r="P75">
        <f t="array" ref="P75">IFERROR(CONCATENATE((INDEX($A$7:$A$43,SMALL(IF($Q$7:$Q$43&lt;&gt;"",IF($N$7:$N$43&lt;&gt;"",ROW($N$7:$N$43)-MIN(ROW($N$7:$N$43))+1,""),""),ROW()-ROW(A$46)+1))),),"")</f>
        <v>0</v>
      </c>
      <c r="S75">
        <f t="array" ref="S75">IFERROR(CONCATENATE((INDEX($V$7:$V$43,SMALL(IF($V$7:$V$43&lt;&gt;"",IF($S$7:$S$43&lt;&gt;"",ROW($S$7:$S$43)-MIN(ROW($S$7:$S$43))+1,""),""),ROW()-ROW(A$46)+1)))," "),"")</f>
        <v>0</v>
      </c>
      <c r="T75">
        <f t="array" ref="T75">IFERROR(CONCATENATE(TEXT(INDEX($S$7:$S$43,SMALL(IF($V$7:$V$43&lt;&gt;"",IF($S$7:$S$43&lt;&gt;"",ROW($S$7:$S$43)-MIN(ROW($S$7:$S$43))+1,""),""),ROW()-ROW(A$46)+1)),"##0")," "),"")</f>
        <v>0</v>
      </c>
      <c r="U75">
        <f t="array" ref="U75">IFERROR(CONCATENATE((INDEX($A$7:$A$43,SMALL(IF($V$7:$V$43&lt;&gt;"",IF($S$7:$S$43&lt;&gt;"",ROW($S$7:$S$43)-MIN(ROW($S$7:$S$43))+1,""),""),ROW()-ROW(A$46)+1))),),"")</f>
        <v>0</v>
      </c>
      <c r="X75">
        <f t="array" ref="X75">IFERROR(CONCATENATE((INDEX($AA$7:$AA$43,SMALL(IF($AA$7:$AA$43&lt;&gt;"",IF($X$7:$X$43&lt;&gt;"",ROW($X$7:$X$43)-MIN(ROW($X$7:$X$43))+1,""),""),ROW()-ROW(A$46)+1)))," "),"")</f>
        <v>0</v>
      </c>
      <c r="Y75">
        <f t="array" ref="Y75">IFERROR(CONCATENATE(TEXT(INDEX($X$7:$X$43,SMALL(IF($AA$7:$AA$43&lt;&gt;"",IF($X$7:$X$43&lt;&gt;"",ROW($X$7:$X$43)-MIN(ROW($X$7:$X$43))+1,""),""),ROW()-ROW(A$46)+1)),"##0")," "),"")</f>
        <v>0</v>
      </c>
      <c r="Z75">
        <f t="array" ref="Z75">IFERROR(CONCATENATE((INDEX($A$7:$A$43,SMALL(IF($AA$7:$AA$43&lt;&gt;"",IF($X$7:$X$43&lt;&gt;"",ROW($X$7:$X$43)-MIN(ROW($X$7:$X$43))+1,""),""),ROW()-ROW(A$46)+1))),),"")</f>
        <v>0</v>
      </c>
      <c r="AC75">
        <f t="array" ref="AC75">IFERROR(CONCATENATE((INDEX($AF$7:$AF$43,SMALL(IF($AF$7:$AF$43&lt;&gt;"",IF($AC$7:$AC$43&lt;&gt;"",ROW($AC$7:$AC$43)-MIN(ROW($AC$7:$AC$43))+1,""),""),ROW()-ROW(A$46)+1))),","),"")</f>
        <v>0</v>
      </c>
      <c r="AD75">
        <f t="array" ref="AD75">IFERROR(CONCATENATE(TEXT(INDEX($AC$7:$AC$43,SMALL(IF($AF$7:$AF$43&lt;&gt;"",IF($AC$7:$AC$43&lt;&gt;"",ROW($AC$7:$AC$43)-MIN(ROW($AC$7:$AC$43))+1,""),""),ROW()-ROW(A$46)+1)),"##0"),","),"")</f>
        <v>0</v>
      </c>
      <c r="AE75">
        <f t="array" ref="AE75">IFERROR(CONCATENATE((INDEX($A$7:$A$43,SMALL(IF($AF$7:$AF$43&lt;&gt;"",IF($AC$7:$AC$43&lt;&gt;"",ROW($AC$7:$AC$43)-MIN(ROW($AC$7:$AC$43))+1,""),""),ROW()-ROW(A$46)+1))),),"")</f>
        <v>0</v>
      </c>
      <c r="AH75">
        <f t="array" ref="AH75">IFERROR(CONCATENATE((INDEX($AK$7:$AK$43,SMALL(IF($AK$7:$AK$43&lt;&gt;"",IF($AH$7:$AH$43&lt;&gt;"",ROW($AH$7:$AH$43)-MIN(ROW($AH$7:$AH$43))+1,""),""),ROW()-ROW(A$46)+1)))," "),"")</f>
        <v>0</v>
      </c>
      <c r="AI75">
        <f t="array" ref="AI75">IFERROR(CONCATENATE(TEXT(INDEX($AH$7:$AH$43,SMALL(IF($AK$7:$AK$43&lt;&gt;"",IF($AH$7:$AH$43&lt;&gt;"",ROW($AH$7:$AH$43)-MIN(ROW($AH$7:$AH$43))+1,""),""),ROW()-ROW(A$46)+1)),"##0")," "),"")</f>
        <v>0</v>
      </c>
      <c r="AJ75">
        <f t="array" ref="AJ75">IFERROR(CONCATENATE((INDEX($A$7:$A$43,SMALL(IF($AK$7:$AK$43&lt;&gt;"",IF($AH$7:$AH$43&lt;&gt;"",ROW($AH$7:$AH$43)-MIN(ROW($AH$7:$AH$43))+1,""),""),ROW()-ROW(A$46)+1))),),"")</f>
        <v>0</v>
      </c>
      <c r="AM75">
        <f t="array" ref="AM75">IFERROR(CONCATENATE((INDEX($AP$7:$AP$43,SMALL(IF($AP$7:$AP$43&lt;&gt;"",IF($AM$7:$AM$43&lt;&gt;"",ROW($AM$7:$AM$43)-MIN(ROW($AM$7:$AM$43))+1,""),""),ROW()-ROW(A$46)+1)))," "),"")</f>
        <v>0</v>
      </c>
      <c r="AN75">
        <f t="array" ref="AN75">IFERROR(CONCATENATE(TEXT(INDEX($AM$7:$AM$43,SMALL(IF($AP$7:$AP$43&lt;&gt;"",IF($AM$7:$AM$43&lt;&gt;"",ROW($AM$7:$AM$43)-MIN(ROW($AM$7:$AM$43))+1,""),""),ROW()-ROW(A$46)+1)),"##0")," "),"")</f>
        <v>0</v>
      </c>
      <c r="AO75">
        <f t="array" ref="AO75">IFERROR(CONCATENATE((INDEX($A$7:$A$43,SMALL(IF($AP$7:$AP$43&lt;&gt;"",IF($AM$7:$AM$43&lt;&gt;"",ROW($AM$7:$AM$43)-MIN(ROW($AM$7:$AM$43))+1,""),""),ROW()-ROW(A$46)+1))),),"")</f>
        <v>0</v>
      </c>
    </row>
    <row r="76" spans="9:41">
      <c r="I76">
        <f t="array" ref="I76">IFERROR(CONCATENATE((INDEX($L$7:$L$43,SMALL(IF($L$7:$L$43&lt;&gt;"",IF($I$7:$I$43&lt;&gt;"",ROW($I$7:$I$43)-MIN(ROW($I$7:$I$43))+1,""),""),ROW()-ROW(A$46)+1))),","),"")</f>
        <v>0</v>
      </c>
      <c r="J76">
        <f t="array" ref="J76">IFERROR(CONCATENATE(TEXT(INDEX($I$7:$I$43,SMALL(IF($L$7:$L$43&lt;&gt;"",IF($I$7:$I$43&lt;&gt;"",ROW($I$7:$I$43)-MIN(ROW($I$7:$I$43))+1,""),""),ROW()-ROW(A$46)+1)),"##0"),","),"")</f>
        <v>0</v>
      </c>
      <c r="K76">
        <f t="array" ref="K76">IFERROR(CONCATENATE((INDEX($A$7:$A$43,SMALL(IF($L$7:$L$43&lt;&gt;"",IF($I$7:$I$43&lt;&gt;"",ROW($I$7:$I$43)-MIN(ROW($I$7:$I$43))+1,""),""),ROW()-ROW(A$46)+1))),),"")</f>
        <v>0</v>
      </c>
      <c r="N76">
        <f t="array" ref="N76">IFERROR(CONCATENATE(TEXT(INDEX($N$7:$N$43,SMALL(IF($Q$7:$Q$43&lt;&gt;"",IF($N$7:$N$43&lt;&gt;"",ROW($N$7:$N$43)-MIN(ROW($N$7:$N$43))+1,""),""),ROW()-ROW(A$46)+1)),"##0"),","),"")</f>
        <v>0</v>
      </c>
      <c r="O76">
        <f t="array" ref="O76">IFERROR(CONCATENATE((INDEX($Q$7:$Q$43,SMALL(IF($Q$7:$Q$43&lt;&gt;"",IF($N$7:$N$43&lt;&gt;"",ROW($N$7:$N$43)-MIN(ROW($N$7:$N$43))+1,""),""),ROW()-ROW(A$46)+1))),","),"")</f>
        <v>0</v>
      </c>
      <c r="P76">
        <f t="array" ref="P76">IFERROR(CONCATENATE((INDEX($A$7:$A$43,SMALL(IF($Q$7:$Q$43&lt;&gt;"",IF($N$7:$N$43&lt;&gt;"",ROW($N$7:$N$43)-MIN(ROW($N$7:$N$43))+1,""),""),ROW()-ROW(A$46)+1))),),"")</f>
        <v>0</v>
      </c>
      <c r="S76">
        <f t="array" ref="S76">IFERROR(CONCATENATE((INDEX($V$7:$V$43,SMALL(IF($V$7:$V$43&lt;&gt;"",IF($S$7:$S$43&lt;&gt;"",ROW($S$7:$S$43)-MIN(ROW($S$7:$S$43))+1,""),""),ROW()-ROW(A$46)+1)))," "),"")</f>
        <v>0</v>
      </c>
      <c r="T76">
        <f t="array" ref="T76">IFERROR(CONCATENATE(TEXT(INDEX($S$7:$S$43,SMALL(IF($V$7:$V$43&lt;&gt;"",IF($S$7:$S$43&lt;&gt;"",ROW($S$7:$S$43)-MIN(ROW($S$7:$S$43))+1,""),""),ROW()-ROW(A$46)+1)),"##0")," "),"")</f>
        <v>0</v>
      </c>
      <c r="U76">
        <f t="array" ref="U76">IFERROR(CONCATENATE((INDEX($A$7:$A$43,SMALL(IF($V$7:$V$43&lt;&gt;"",IF($S$7:$S$43&lt;&gt;"",ROW($S$7:$S$43)-MIN(ROW($S$7:$S$43))+1,""),""),ROW()-ROW(A$46)+1))),),"")</f>
        <v>0</v>
      </c>
      <c r="X76">
        <f t="array" ref="X76">IFERROR(CONCATENATE((INDEX($AA$7:$AA$43,SMALL(IF($AA$7:$AA$43&lt;&gt;"",IF($X$7:$X$43&lt;&gt;"",ROW($X$7:$X$43)-MIN(ROW($X$7:$X$43))+1,""),""),ROW()-ROW(A$46)+1)))," "),"")</f>
        <v>0</v>
      </c>
      <c r="Y76">
        <f t="array" ref="Y76">IFERROR(CONCATENATE(TEXT(INDEX($X$7:$X$43,SMALL(IF($AA$7:$AA$43&lt;&gt;"",IF($X$7:$X$43&lt;&gt;"",ROW($X$7:$X$43)-MIN(ROW($X$7:$X$43))+1,""),""),ROW()-ROW(A$46)+1)),"##0")," "),"")</f>
        <v>0</v>
      </c>
      <c r="Z76">
        <f t="array" ref="Z76">IFERROR(CONCATENATE((INDEX($A$7:$A$43,SMALL(IF($AA$7:$AA$43&lt;&gt;"",IF($X$7:$X$43&lt;&gt;"",ROW($X$7:$X$43)-MIN(ROW($X$7:$X$43))+1,""),""),ROW()-ROW(A$46)+1))),),"")</f>
        <v>0</v>
      </c>
      <c r="AC76">
        <f t="array" ref="AC76">IFERROR(CONCATENATE((INDEX($AF$7:$AF$43,SMALL(IF($AF$7:$AF$43&lt;&gt;"",IF($AC$7:$AC$43&lt;&gt;"",ROW($AC$7:$AC$43)-MIN(ROW($AC$7:$AC$43))+1,""),""),ROW()-ROW(A$46)+1))),","),"")</f>
        <v>0</v>
      </c>
      <c r="AD76">
        <f t="array" ref="AD76">IFERROR(CONCATENATE(TEXT(INDEX($AC$7:$AC$43,SMALL(IF($AF$7:$AF$43&lt;&gt;"",IF($AC$7:$AC$43&lt;&gt;"",ROW($AC$7:$AC$43)-MIN(ROW($AC$7:$AC$43))+1,""),""),ROW()-ROW(A$46)+1)),"##0"),","),"")</f>
        <v>0</v>
      </c>
      <c r="AE76">
        <f t="array" ref="AE76">IFERROR(CONCATENATE((INDEX($A$7:$A$43,SMALL(IF($AF$7:$AF$43&lt;&gt;"",IF($AC$7:$AC$43&lt;&gt;"",ROW($AC$7:$AC$43)-MIN(ROW($AC$7:$AC$43))+1,""),""),ROW()-ROW(A$46)+1))),),"")</f>
        <v>0</v>
      </c>
      <c r="AH76">
        <f t="array" ref="AH76">IFERROR(CONCATENATE((INDEX($AK$7:$AK$43,SMALL(IF($AK$7:$AK$43&lt;&gt;"",IF($AH$7:$AH$43&lt;&gt;"",ROW($AH$7:$AH$43)-MIN(ROW($AH$7:$AH$43))+1,""),""),ROW()-ROW(A$46)+1)))," "),"")</f>
        <v>0</v>
      </c>
      <c r="AI76">
        <f t="array" ref="AI76">IFERROR(CONCATENATE(TEXT(INDEX($AH$7:$AH$43,SMALL(IF($AK$7:$AK$43&lt;&gt;"",IF($AH$7:$AH$43&lt;&gt;"",ROW($AH$7:$AH$43)-MIN(ROW($AH$7:$AH$43))+1,""),""),ROW()-ROW(A$46)+1)),"##0")," "),"")</f>
        <v>0</v>
      </c>
      <c r="AJ76">
        <f t="array" ref="AJ76">IFERROR(CONCATENATE((INDEX($A$7:$A$43,SMALL(IF($AK$7:$AK$43&lt;&gt;"",IF($AH$7:$AH$43&lt;&gt;"",ROW($AH$7:$AH$43)-MIN(ROW($AH$7:$AH$43))+1,""),""),ROW()-ROW(A$46)+1))),),"")</f>
        <v>0</v>
      </c>
      <c r="AM76">
        <f t="array" ref="AM76">IFERROR(CONCATENATE((INDEX($AP$7:$AP$43,SMALL(IF($AP$7:$AP$43&lt;&gt;"",IF($AM$7:$AM$43&lt;&gt;"",ROW($AM$7:$AM$43)-MIN(ROW($AM$7:$AM$43))+1,""),""),ROW()-ROW(A$46)+1)))," "),"")</f>
        <v>0</v>
      </c>
      <c r="AN76">
        <f t="array" ref="AN76">IFERROR(CONCATENATE(TEXT(INDEX($AM$7:$AM$43,SMALL(IF($AP$7:$AP$43&lt;&gt;"",IF($AM$7:$AM$43&lt;&gt;"",ROW($AM$7:$AM$43)-MIN(ROW($AM$7:$AM$43))+1,""),""),ROW()-ROW(A$46)+1)),"##0")," "),"")</f>
        <v>0</v>
      </c>
      <c r="AO76">
        <f t="array" ref="AO76">IFERROR(CONCATENATE((INDEX($A$7:$A$43,SMALL(IF($AP$7:$AP$43&lt;&gt;"",IF($AM$7:$AM$43&lt;&gt;"",ROW($AM$7:$AM$43)-MIN(ROW($AM$7:$AM$43))+1,""),""),ROW()-ROW(A$46)+1))),),"")</f>
        <v>0</v>
      </c>
    </row>
    <row r="77" spans="9:41">
      <c r="I77">
        <f t="array" ref="I77">IFERROR(CONCATENATE((INDEX($L$7:$L$43,SMALL(IF($L$7:$L$43&lt;&gt;"",IF($I$7:$I$43&lt;&gt;"",ROW($I$7:$I$43)-MIN(ROW($I$7:$I$43))+1,""),""),ROW()-ROW(A$46)+1))),","),"")</f>
        <v>0</v>
      </c>
      <c r="J77">
        <f t="array" ref="J77">IFERROR(CONCATENATE(TEXT(INDEX($I$7:$I$43,SMALL(IF($L$7:$L$43&lt;&gt;"",IF($I$7:$I$43&lt;&gt;"",ROW($I$7:$I$43)-MIN(ROW($I$7:$I$43))+1,""),""),ROW()-ROW(A$46)+1)),"##0"),","),"")</f>
        <v>0</v>
      </c>
      <c r="K77">
        <f t="array" ref="K77">IFERROR(CONCATENATE((INDEX($A$7:$A$43,SMALL(IF($L$7:$L$43&lt;&gt;"",IF($I$7:$I$43&lt;&gt;"",ROW($I$7:$I$43)-MIN(ROW($I$7:$I$43))+1,""),""),ROW()-ROW(A$46)+1))),),"")</f>
        <v>0</v>
      </c>
      <c r="N77">
        <f t="array" ref="N77">IFERROR(CONCATENATE(TEXT(INDEX($N$7:$N$43,SMALL(IF($Q$7:$Q$43&lt;&gt;"",IF($N$7:$N$43&lt;&gt;"",ROW($N$7:$N$43)-MIN(ROW($N$7:$N$43))+1,""),""),ROW()-ROW(A$46)+1)),"##0"),","),"")</f>
        <v>0</v>
      </c>
      <c r="O77">
        <f t="array" ref="O77">IFERROR(CONCATENATE((INDEX($Q$7:$Q$43,SMALL(IF($Q$7:$Q$43&lt;&gt;"",IF($N$7:$N$43&lt;&gt;"",ROW($N$7:$N$43)-MIN(ROW($N$7:$N$43))+1,""),""),ROW()-ROW(A$46)+1))),","),"")</f>
        <v>0</v>
      </c>
      <c r="P77">
        <f t="array" ref="P77">IFERROR(CONCATENATE((INDEX($A$7:$A$43,SMALL(IF($Q$7:$Q$43&lt;&gt;"",IF($N$7:$N$43&lt;&gt;"",ROW($N$7:$N$43)-MIN(ROW($N$7:$N$43))+1,""),""),ROW()-ROW(A$46)+1))),),"")</f>
        <v>0</v>
      </c>
      <c r="S77">
        <f t="array" ref="S77">IFERROR(CONCATENATE((INDEX($V$7:$V$43,SMALL(IF($V$7:$V$43&lt;&gt;"",IF($S$7:$S$43&lt;&gt;"",ROW($S$7:$S$43)-MIN(ROW($S$7:$S$43))+1,""),""),ROW()-ROW(A$46)+1)))," "),"")</f>
        <v>0</v>
      </c>
      <c r="T77">
        <f t="array" ref="T77">IFERROR(CONCATENATE(TEXT(INDEX($S$7:$S$43,SMALL(IF($V$7:$V$43&lt;&gt;"",IF($S$7:$S$43&lt;&gt;"",ROW($S$7:$S$43)-MIN(ROW($S$7:$S$43))+1,""),""),ROW()-ROW(A$46)+1)),"##0")," "),"")</f>
        <v>0</v>
      </c>
      <c r="U77">
        <f t="array" ref="U77">IFERROR(CONCATENATE((INDEX($A$7:$A$43,SMALL(IF($V$7:$V$43&lt;&gt;"",IF($S$7:$S$43&lt;&gt;"",ROW($S$7:$S$43)-MIN(ROW($S$7:$S$43))+1,""),""),ROW()-ROW(A$46)+1))),),"")</f>
        <v>0</v>
      </c>
      <c r="X77">
        <f t="array" ref="X77">IFERROR(CONCATENATE((INDEX($AA$7:$AA$43,SMALL(IF($AA$7:$AA$43&lt;&gt;"",IF($X$7:$X$43&lt;&gt;"",ROW($X$7:$X$43)-MIN(ROW($X$7:$X$43))+1,""),""),ROW()-ROW(A$46)+1)))," "),"")</f>
        <v>0</v>
      </c>
      <c r="Y77">
        <f t="array" ref="Y77">IFERROR(CONCATENATE(TEXT(INDEX($X$7:$X$43,SMALL(IF($AA$7:$AA$43&lt;&gt;"",IF($X$7:$X$43&lt;&gt;"",ROW($X$7:$X$43)-MIN(ROW($X$7:$X$43))+1,""),""),ROW()-ROW(A$46)+1)),"##0")," "),"")</f>
        <v>0</v>
      </c>
      <c r="Z77">
        <f t="array" ref="Z77">IFERROR(CONCATENATE((INDEX($A$7:$A$43,SMALL(IF($AA$7:$AA$43&lt;&gt;"",IF($X$7:$X$43&lt;&gt;"",ROW($X$7:$X$43)-MIN(ROW($X$7:$X$43))+1,""),""),ROW()-ROW(A$46)+1))),),"")</f>
        <v>0</v>
      </c>
      <c r="AC77">
        <f t="array" ref="AC77">IFERROR(CONCATENATE((INDEX($AF$7:$AF$43,SMALL(IF($AF$7:$AF$43&lt;&gt;"",IF($AC$7:$AC$43&lt;&gt;"",ROW($AC$7:$AC$43)-MIN(ROW($AC$7:$AC$43))+1,""),""),ROW()-ROW(A$46)+1))),","),"")</f>
        <v>0</v>
      </c>
      <c r="AD77">
        <f t="array" ref="AD77">IFERROR(CONCATENATE(TEXT(INDEX($AC$7:$AC$43,SMALL(IF($AF$7:$AF$43&lt;&gt;"",IF($AC$7:$AC$43&lt;&gt;"",ROW($AC$7:$AC$43)-MIN(ROW($AC$7:$AC$43))+1,""),""),ROW()-ROW(A$46)+1)),"##0"),","),"")</f>
        <v>0</v>
      </c>
      <c r="AE77">
        <f t="array" ref="AE77">IFERROR(CONCATENATE((INDEX($A$7:$A$43,SMALL(IF($AF$7:$AF$43&lt;&gt;"",IF($AC$7:$AC$43&lt;&gt;"",ROW($AC$7:$AC$43)-MIN(ROW($AC$7:$AC$43))+1,""),""),ROW()-ROW(A$46)+1))),),"")</f>
        <v>0</v>
      </c>
      <c r="AH77">
        <f t="array" ref="AH77">IFERROR(CONCATENATE((INDEX($AK$7:$AK$43,SMALL(IF($AK$7:$AK$43&lt;&gt;"",IF($AH$7:$AH$43&lt;&gt;"",ROW($AH$7:$AH$43)-MIN(ROW($AH$7:$AH$43))+1,""),""),ROW()-ROW(A$46)+1)))," "),"")</f>
        <v>0</v>
      </c>
      <c r="AI77">
        <f t="array" ref="AI77">IFERROR(CONCATENATE(TEXT(INDEX($AH$7:$AH$43,SMALL(IF($AK$7:$AK$43&lt;&gt;"",IF($AH$7:$AH$43&lt;&gt;"",ROW($AH$7:$AH$43)-MIN(ROW($AH$7:$AH$43))+1,""),""),ROW()-ROW(A$46)+1)),"##0")," "),"")</f>
        <v>0</v>
      </c>
      <c r="AJ77">
        <f t="array" ref="AJ77">IFERROR(CONCATENATE((INDEX($A$7:$A$43,SMALL(IF($AK$7:$AK$43&lt;&gt;"",IF($AH$7:$AH$43&lt;&gt;"",ROW($AH$7:$AH$43)-MIN(ROW($AH$7:$AH$43))+1,""),""),ROW()-ROW(A$46)+1))),),"")</f>
        <v>0</v>
      </c>
      <c r="AM77">
        <f t="array" ref="AM77">IFERROR(CONCATENATE((INDEX($AP$7:$AP$43,SMALL(IF($AP$7:$AP$43&lt;&gt;"",IF($AM$7:$AM$43&lt;&gt;"",ROW($AM$7:$AM$43)-MIN(ROW($AM$7:$AM$43))+1,""),""),ROW()-ROW(A$46)+1)))," "),"")</f>
        <v>0</v>
      </c>
      <c r="AN77">
        <f t="array" ref="AN77">IFERROR(CONCATENATE(TEXT(INDEX($AM$7:$AM$43,SMALL(IF($AP$7:$AP$43&lt;&gt;"",IF($AM$7:$AM$43&lt;&gt;"",ROW($AM$7:$AM$43)-MIN(ROW($AM$7:$AM$43))+1,""),""),ROW()-ROW(A$46)+1)),"##0")," "),"")</f>
        <v>0</v>
      </c>
      <c r="AO77">
        <f t="array" ref="AO77">IFERROR(CONCATENATE((INDEX($A$7:$A$43,SMALL(IF($AP$7:$AP$43&lt;&gt;"",IF($AM$7:$AM$43&lt;&gt;"",ROW($AM$7:$AM$43)-MIN(ROW($AM$7:$AM$43))+1,""),""),ROW()-ROW(A$46)+1))),),"")</f>
        <v>0</v>
      </c>
    </row>
    <row r="78" spans="9:41">
      <c r="I78">
        <f t="array" ref="I78">IFERROR(CONCATENATE((INDEX($L$7:$L$43,SMALL(IF($L$7:$L$43&lt;&gt;"",IF($I$7:$I$43&lt;&gt;"",ROW($I$7:$I$43)-MIN(ROW($I$7:$I$43))+1,""),""),ROW()-ROW(A$46)+1))),","),"")</f>
        <v>0</v>
      </c>
      <c r="J78">
        <f t="array" ref="J78">IFERROR(CONCATENATE(TEXT(INDEX($I$7:$I$43,SMALL(IF($L$7:$L$43&lt;&gt;"",IF($I$7:$I$43&lt;&gt;"",ROW($I$7:$I$43)-MIN(ROW($I$7:$I$43))+1,""),""),ROW()-ROW(A$46)+1)),"##0"),","),"")</f>
        <v>0</v>
      </c>
      <c r="K78">
        <f t="array" ref="K78">IFERROR(CONCATENATE((INDEX($A$7:$A$43,SMALL(IF($L$7:$L$43&lt;&gt;"",IF($I$7:$I$43&lt;&gt;"",ROW($I$7:$I$43)-MIN(ROW($I$7:$I$43))+1,""),""),ROW()-ROW(A$46)+1))),),"")</f>
        <v>0</v>
      </c>
      <c r="N78">
        <f t="array" ref="N78">IFERROR(CONCATENATE(TEXT(INDEX($N$7:$N$43,SMALL(IF($Q$7:$Q$43&lt;&gt;"",IF($N$7:$N$43&lt;&gt;"",ROW($N$7:$N$43)-MIN(ROW($N$7:$N$43))+1,""),""),ROW()-ROW(A$46)+1)),"##0"),","),"")</f>
        <v>0</v>
      </c>
      <c r="O78">
        <f t="array" ref="O78">IFERROR(CONCATENATE((INDEX($Q$7:$Q$43,SMALL(IF($Q$7:$Q$43&lt;&gt;"",IF($N$7:$N$43&lt;&gt;"",ROW($N$7:$N$43)-MIN(ROW($N$7:$N$43))+1,""),""),ROW()-ROW(A$46)+1))),","),"")</f>
        <v>0</v>
      </c>
      <c r="P78">
        <f t="array" ref="P78">IFERROR(CONCATENATE((INDEX($A$7:$A$43,SMALL(IF($Q$7:$Q$43&lt;&gt;"",IF($N$7:$N$43&lt;&gt;"",ROW($N$7:$N$43)-MIN(ROW($N$7:$N$43))+1,""),""),ROW()-ROW(A$46)+1))),),"")</f>
        <v>0</v>
      </c>
      <c r="S78">
        <f t="array" ref="S78">IFERROR(CONCATENATE((INDEX($V$7:$V$43,SMALL(IF($V$7:$V$43&lt;&gt;"",IF($S$7:$S$43&lt;&gt;"",ROW($S$7:$S$43)-MIN(ROW($S$7:$S$43))+1,""),""),ROW()-ROW(A$46)+1)))," "),"")</f>
        <v>0</v>
      </c>
      <c r="T78">
        <f t="array" ref="T78">IFERROR(CONCATENATE(TEXT(INDEX($S$7:$S$43,SMALL(IF($V$7:$V$43&lt;&gt;"",IF($S$7:$S$43&lt;&gt;"",ROW($S$7:$S$43)-MIN(ROW($S$7:$S$43))+1,""),""),ROW()-ROW(A$46)+1)),"##0")," "),"")</f>
        <v>0</v>
      </c>
      <c r="U78">
        <f t="array" ref="U78">IFERROR(CONCATENATE((INDEX($A$7:$A$43,SMALL(IF($V$7:$V$43&lt;&gt;"",IF($S$7:$S$43&lt;&gt;"",ROW($S$7:$S$43)-MIN(ROW($S$7:$S$43))+1,""),""),ROW()-ROW(A$46)+1))),),"")</f>
        <v>0</v>
      </c>
      <c r="X78">
        <f t="array" ref="X78">IFERROR(CONCATENATE((INDEX($AA$7:$AA$43,SMALL(IF($AA$7:$AA$43&lt;&gt;"",IF($X$7:$X$43&lt;&gt;"",ROW($X$7:$X$43)-MIN(ROW($X$7:$X$43))+1,""),""),ROW()-ROW(A$46)+1)))," "),"")</f>
        <v>0</v>
      </c>
      <c r="Y78">
        <f t="array" ref="Y78">IFERROR(CONCATENATE(TEXT(INDEX($X$7:$X$43,SMALL(IF($AA$7:$AA$43&lt;&gt;"",IF($X$7:$X$43&lt;&gt;"",ROW($X$7:$X$43)-MIN(ROW($X$7:$X$43))+1,""),""),ROW()-ROW(A$46)+1)),"##0")," "),"")</f>
        <v>0</v>
      </c>
      <c r="Z78">
        <f t="array" ref="Z78">IFERROR(CONCATENATE((INDEX($A$7:$A$43,SMALL(IF($AA$7:$AA$43&lt;&gt;"",IF($X$7:$X$43&lt;&gt;"",ROW($X$7:$X$43)-MIN(ROW($X$7:$X$43))+1,""),""),ROW()-ROW(A$46)+1))),),"")</f>
        <v>0</v>
      </c>
      <c r="AC78">
        <f t="array" ref="AC78">IFERROR(CONCATENATE((INDEX($AF$7:$AF$43,SMALL(IF($AF$7:$AF$43&lt;&gt;"",IF($AC$7:$AC$43&lt;&gt;"",ROW($AC$7:$AC$43)-MIN(ROW($AC$7:$AC$43))+1,""),""),ROW()-ROW(A$46)+1))),","),"")</f>
        <v>0</v>
      </c>
      <c r="AD78">
        <f t="array" ref="AD78">IFERROR(CONCATENATE(TEXT(INDEX($AC$7:$AC$43,SMALL(IF($AF$7:$AF$43&lt;&gt;"",IF($AC$7:$AC$43&lt;&gt;"",ROW($AC$7:$AC$43)-MIN(ROW($AC$7:$AC$43))+1,""),""),ROW()-ROW(A$46)+1)),"##0"),","),"")</f>
        <v>0</v>
      </c>
      <c r="AE78">
        <f t="array" ref="AE78">IFERROR(CONCATENATE((INDEX($A$7:$A$43,SMALL(IF($AF$7:$AF$43&lt;&gt;"",IF($AC$7:$AC$43&lt;&gt;"",ROW($AC$7:$AC$43)-MIN(ROW($AC$7:$AC$43))+1,""),""),ROW()-ROW(A$46)+1))),),"")</f>
        <v>0</v>
      </c>
      <c r="AH78">
        <f t="array" ref="AH78">IFERROR(CONCATENATE((INDEX($AK$7:$AK$43,SMALL(IF($AK$7:$AK$43&lt;&gt;"",IF($AH$7:$AH$43&lt;&gt;"",ROW($AH$7:$AH$43)-MIN(ROW($AH$7:$AH$43))+1,""),""),ROW()-ROW(A$46)+1)))," "),"")</f>
        <v>0</v>
      </c>
      <c r="AI78">
        <f t="array" ref="AI78">IFERROR(CONCATENATE(TEXT(INDEX($AH$7:$AH$43,SMALL(IF($AK$7:$AK$43&lt;&gt;"",IF($AH$7:$AH$43&lt;&gt;"",ROW($AH$7:$AH$43)-MIN(ROW($AH$7:$AH$43))+1,""),""),ROW()-ROW(A$46)+1)),"##0")," "),"")</f>
        <v>0</v>
      </c>
      <c r="AJ78">
        <f t="array" ref="AJ78">IFERROR(CONCATENATE((INDEX($A$7:$A$43,SMALL(IF($AK$7:$AK$43&lt;&gt;"",IF($AH$7:$AH$43&lt;&gt;"",ROW($AH$7:$AH$43)-MIN(ROW($AH$7:$AH$43))+1,""),""),ROW()-ROW(A$46)+1))),),"")</f>
        <v>0</v>
      </c>
      <c r="AM78">
        <f t="array" ref="AM78">IFERROR(CONCATENATE((INDEX($AP$7:$AP$43,SMALL(IF($AP$7:$AP$43&lt;&gt;"",IF($AM$7:$AM$43&lt;&gt;"",ROW($AM$7:$AM$43)-MIN(ROW($AM$7:$AM$43))+1,""),""),ROW()-ROW(A$46)+1)))," "),"")</f>
        <v>0</v>
      </c>
      <c r="AN78">
        <f t="array" ref="AN78">IFERROR(CONCATENATE(TEXT(INDEX($AM$7:$AM$43,SMALL(IF($AP$7:$AP$43&lt;&gt;"",IF($AM$7:$AM$43&lt;&gt;"",ROW($AM$7:$AM$43)-MIN(ROW($AM$7:$AM$43))+1,""),""),ROW()-ROW(A$46)+1)),"##0")," "),"")</f>
        <v>0</v>
      </c>
      <c r="AO78">
        <f t="array" ref="AO78">IFERROR(CONCATENATE((INDEX($A$7:$A$43,SMALL(IF($AP$7:$AP$43&lt;&gt;"",IF($AM$7:$AM$43&lt;&gt;"",ROW($AM$7:$AM$43)-MIN(ROW($AM$7:$AM$43))+1,""),""),ROW()-ROW(A$46)+1))),),"")</f>
        <v>0</v>
      </c>
    </row>
    <row r="79" spans="9:41">
      <c r="I79">
        <f t="array" ref="I79">IFERROR(CONCATENATE((INDEX($L$7:$L$43,SMALL(IF($L$7:$L$43&lt;&gt;"",IF($I$7:$I$43&lt;&gt;"",ROW($I$7:$I$43)-MIN(ROW($I$7:$I$43))+1,""),""),ROW()-ROW(A$46)+1))),","),"")</f>
        <v>0</v>
      </c>
      <c r="J79">
        <f t="array" ref="J79">IFERROR(CONCATENATE(TEXT(INDEX($I$7:$I$43,SMALL(IF($L$7:$L$43&lt;&gt;"",IF($I$7:$I$43&lt;&gt;"",ROW($I$7:$I$43)-MIN(ROW($I$7:$I$43))+1,""),""),ROW()-ROW(A$46)+1)),"##0"),","),"")</f>
        <v>0</v>
      </c>
      <c r="K79">
        <f t="array" ref="K79">IFERROR(CONCATENATE((INDEX($A$7:$A$43,SMALL(IF($L$7:$L$43&lt;&gt;"",IF($I$7:$I$43&lt;&gt;"",ROW($I$7:$I$43)-MIN(ROW($I$7:$I$43))+1,""),""),ROW()-ROW(A$46)+1))),),"")</f>
        <v>0</v>
      </c>
      <c r="N79">
        <f t="array" ref="N79">IFERROR(CONCATENATE(TEXT(INDEX($N$7:$N$43,SMALL(IF($Q$7:$Q$43&lt;&gt;"",IF($N$7:$N$43&lt;&gt;"",ROW($N$7:$N$43)-MIN(ROW($N$7:$N$43))+1,""),""),ROW()-ROW(A$46)+1)),"##0"),","),"")</f>
        <v>0</v>
      </c>
      <c r="O79">
        <f t="array" ref="O79">IFERROR(CONCATENATE((INDEX($Q$7:$Q$43,SMALL(IF($Q$7:$Q$43&lt;&gt;"",IF($N$7:$N$43&lt;&gt;"",ROW($N$7:$N$43)-MIN(ROW($N$7:$N$43))+1,""),""),ROW()-ROW(A$46)+1))),","),"")</f>
        <v>0</v>
      </c>
      <c r="P79">
        <f t="array" ref="P79">IFERROR(CONCATENATE((INDEX($A$7:$A$43,SMALL(IF($Q$7:$Q$43&lt;&gt;"",IF($N$7:$N$43&lt;&gt;"",ROW($N$7:$N$43)-MIN(ROW($N$7:$N$43))+1,""),""),ROW()-ROW(A$46)+1))),),"")</f>
        <v>0</v>
      </c>
      <c r="S79">
        <f t="array" ref="S79">IFERROR(CONCATENATE((INDEX($V$7:$V$43,SMALL(IF($V$7:$V$43&lt;&gt;"",IF($S$7:$S$43&lt;&gt;"",ROW($S$7:$S$43)-MIN(ROW($S$7:$S$43))+1,""),""),ROW()-ROW(A$46)+1)))," "),"")</f>
        <v>0</v>
      </c>
      <c r="T79">
        <f t="array" ref="T79">IFERROR(CONCATENATE(TEXT(INDEX($S$7:$S$43,SMALL(IF($V$7:$V$43&lt;&gt;"",IF($S$7:$S$43&lt;&gt;"",ROW($S$7:$S$43)-MIN(ROW($S$7:$S$43))+1,""),""),ROW()-ROW(A$46)+1)),"##0")," "),"")</f>
        <v>0</v>
      </c>
      <c r="U79">
        <f t="array" ref="U79">IFERROR(CONCATENATE((INDEX($A$7:$A$43,SMALL(IF($V$7:$V$43&lt;&gt;"",IF($S$7:$S$43&lt;&gt;"",ROW($S$7:$S$43)-MIN(ROW($S$7:$S$43))+1,""),""),ROW()-ROW(A$46)+1))),),"")</f>
        <v>0</v>
      </c>
      <c r="X79">
        <f t="array" ref="X79">IFERROR(CONCATENATE((INDEX($AA$7:$AA$43,SMALL(IF($AA$7:$AA$43&lt;&gt;"",IF($X$7:$X$43&lt;&gt;"",ROW($X$7:$X$43)-MIN(ROW($X$7:$X$43))+1,""),""),ROW()-ROW(A$46)+1)))," "),"")</f>
        <v>0</v>
      </c>
      <c r="Y79">
        <f t="array" ref="Y79">IFERROR(CONCATENATE(TEXT(INDEX($X$7:$X$43,SMALL(IF($AA$7:$AA$43&lt;&gt;"",IF($X$7:$X$43&lt;&gt;"",ROW($X$7:$X$43)-MIN(ROW($X$7:$X$43))+1,""),""),ROW()-ROW(A$46)+1)),"##0")," "),"")</f>
        <v>0</v>
      </c>
      <c r="Z79">
        <f t="array" ref="Z79">IFERROR(CONCATENATE((INDEX($A$7:$A$43,SMALL(IF($AA$7:$AA$43&lt;&gt;"",IF($X$7:$X$43&lt;&gt;"",ROW($X$7:$X$43)-MIN(ROW($X$7:$X$43))+1,""),""),ROW()-ROW(A$46)+1))),),"")</f>
        <v>0</v>
      </c>
      <c r="AC79">
        <f t="array" ref="AC79">IFERROR(CONCATENATE((INDEX($AF$7:$AF$43,SMALL(IF($AF$7:$AF$43&lt;&gt;"",IF($AC$7:$AC$43&lt;&gt;"",ROW($AC$7:$AC$43)-MIN(ROW($AC$7:$AC$43))+1,""),""),ROW()-ROW(A$46)+1))),","),"")</f>
        <v>0</v>
      </c>
      <c r="AD79">
        <f t="array" ref="AD79">IFERROR(CONCATENATE(TEXT(INDEX($AC$7:$AC$43,SMALL(IF($AF$7:$AF$43&lt;&gt;"",IF($AC$7:$AC$43&lt;&gt;"",ROW($AC$7:$AC$43)-MIN(ROW($AC$7:$AC$43))+1,""),""),ROW()-ROW(A$46)+1)),"##0"),","),"")</f>
        <v>0</v>
      </c>
      <c r="AE79">
        <f t="array" ref="AE79">IFERROR(CONCATENATE((INDEX($A$7:$A$43,SMALL(IF($AF$7:$AF$43&lt;&gt;"",IF($AC$7:$AC$43&lt;&gt;"",ROW($AC$7:$AC$43)-MIN(ROW($AC$7:$AC$43))+1,""),""),ROW()-ROW(A$46)+1))),),"")</f>
        <v>0</v>
      </c>
      <c r="AH79">
        <f t="array" ref="AH79">IFERROR(CONCATENATE((INDEX($AK$7:$AK$43,SMALL(IF($AK$7:$AK$43&lt;&gt;"",IF($AH$7:$AH$43&lt;&gt;"",ROW($AH$7:$AH$43)-MIN(ROW($AH$7:$AH$43))+1,""),""),ROW()-ROW(A$46)+1)))," "),"")</f>
        <v>0</v>
      </c>
      <c r="AI79">
        <f t="array" ref="AI79">IFERROR(CONCATENATE(TEXT(INDEX($AH$7:$AH$43,SMALL(IF($AK$7:$AK$43&lt;&gt;"",IF($AH$7:$AH$43&lt;&gt;"",ROW($AH$7:$AH$43)-MIN(ROW($AH$7:$AH$43))+1,""),""),ROW()-ROW(A$46)+1)),"##0")," "),"")</f>
        <v>0</v>
      </c>
      <c r="AJ79">
        <f t="array" ref="AJ79">IFERROR(CONCATENATE((INDEX($A$7:$A$43,SMALL(IF($AK$7:$AK$43&lt;&gt;"",IF($AH$7:$AH$43&lt;&gt;"",ROW($AH$7:$AH$43)-MIN(ROW($AH$7:$AH$43))+1,""),""),ROW()-ROW(A$46)+1))),),"")</f>
        <v>0</v>
      </c>
      <c r="AM79">
        <f t="array" ref="AM79">IFERROR(CONCATENATE((INDEX($AP$7:$AP$43,SMALL(IF($AP$7:$AP$43&lt;&gt;"",IF($AM$7:$AM$43&lt;&gt;"",ROW($AM$7:$AM$43)-MIN(ROW($AM$7:$AM$43))+1,""),""),ROW()-ROW(A$46)+1)))," "),"")</f>
        <v>0</v>
      </c>
      <c r="AN79">
        <f t="array" ref="AN79">IFERROR(CONCATENATE(TEXT(INDEX($AM$7:$AM$43,SMALL(IF($AP$7:$AP$43&lt;&gt;"",IF($AM$7:$AM$43&lt;&gt;"",ROW($AM$7:$AM$43)-MIN(ROW($AM$7:$AM$43))+1,""),""),ROW()-ROW(A$46)+1)),"##0")," "),"")</f>
        <v>0</v>
      </c>
      <c r="AO79">
        <f t="array" ref="AO79">IFERROR(CONCATENATE((INDEX($A$7:$A$43,SMALL(IF($AP$7:$AP$43&lt;&gt;"",IF($AM$7:$AM$43&lt;&gt;"",ROW($AM$7:$AM$43)-MIN(ROW($AM$7:$AM$43))+1,""),""),ROW()-ROW(A$46)+1))),),"")</f>
        <v>0</v>
      </c>
    </row>
    <row r="80" spans="9:41">
      <c r="I80">
        <f t="array" ref="I80">IFERROR(CONCATENATE((INDEX($L$7:$L$43,SMALL(IF($L$7:$L$43&lt;&gt;"",IF($I$7:$I$43&lt;&gt;"",ROW($I$7:$I$43)-MIN(ROW($I$7:$I$43))+1,""),""),ROW()-ROW(A$46)+1))),","),"")</f>
        <v>0</v>
      </c>
      <c r="J80">
        <f t="array" ref="J80">IFERROR(CONCATENATE(TEXT(INDEX($I$7:$I$43,SMALL(IF($L$7:$L$43&lt;&gt;"",IF($I$7:$I$43&lt;&gt;"",ROW($I$7:$I$43)-MIN(ROW($I$7:$I$43))+1,""),""),ROW()-ROW(A$46)+1)),"##0"),","),"")</f>
        <v>0</v>
      </c>
      <c r="K80">
        <f t="array" ref="K80">IFERROR(CONCATENATE((INDEX($A$7:$A$43,SMALL(IF($L$7:$L$43&lt;&gt;"",IF($I$7:$I$43&lt;&gt;"",ROW($I$7:$I$43)-MIN(ROW($I$7:$I$43))+1,""),""),ROW()-ROW(A$46)+1))),),"")</f>
        <v>0</v>
      </c>
      <c r="N80">
        <f t="array" ref="N80">IFERROR(CONCATENATE(TEXT(INDEX($N$7:$N$43,SMALL(IF($Q$7:$Q$43&lt;&gt;"",IF($N$7:$N$43&lt;&gt;"",ROW($N$7:$N$43)-MIN(ROW($N$7:$N$43))+1,""),""),ROW()-ROW(A$46)+1)),"##0"),","),"")</f>
        <v>0</v>
      </c>
      <c r="O80">
        <f t="array" ref="O80">IFERROR(CONCATENATE((INDEX($Q$7:$Q$43,SMALL(IF($Q$7:$Q$43&lt;&gt;"",IF($N$7:$N$43&lt;&gt;"",ROW($N$7:$N$43)-MIN(ROW($N$7:$N$43))+1,""),""),ROW()-ROW(A$46)+1))),","),"")</f>
        <v>0</v>
      </c>
      <c r="P80">
        <f t="array" ref="P80">IFERROR(CONCATENATE((INDEX($A$7:$A$43,SMALL(IF($Q$7:$Q$43&lt;&gt;"",IF($N$7:$N$43&lt;&gt;"",ROW($N$7:$N$43)-MIN(ROW($N$7:$N$43))+1,""),""),ROW()-ROW(A$46)+1))),),"")</f>
        <v>0</v>
      </c>
      <c r="S80">
        <f t="array" ref="S80">IFERROR(CONCATENATE((INDEX($V$7:$V$43,SMALL(IF($V$7:$V$43&lt;&gt;"",IF($S$7:$S$43&lt;&gt;"",ROW($S$7:$S$43)-MIN(ROW($S$7:$S$43))+1,""),""),ROW()-ROW(A$46)+1)))," "),"")</f>
        <v>0</v>
      </c>
      <c r="T80">
        <f t="array" ref="T80">IFERROR(CONCATENATE(TEXT(INDEX($S$7:$S$43,SMALL(IF($V$7:$V$43&lt;&gt;"",IF($S$7:$S$43&lt;&gt;"",ROW($S$7:$S$43)-MIN(ROW($S$7:$S$43))+1,""),""),ROW()-ROW(A$46)+1)),"##0")," "),"")</f>
        <v>0</v>
      </c>
      <c r="U80">
        <f t="array" ref="U80">IFERROR(CONCATENATE((INDEX($A$7:$A$43,SMALL(IF($V$7:$V$43&lt;&gt;"",IF($S$7:$S$43&lt;&gt;"",ROW($S$7:$S$43)-MIN(ROW($S$7:$S$43))+1,""),""),ROW()-ROW(A$46)+1))),),"")</f>
        <v>0</v>
      </c>
      <c r="X80">
        <f t="array" ref="X80">IFERROR(CONCATENATE((INDEX($AA$7:$AA$43,SMALL(IF($AA$7:$AA$43&lt;&gt;"",IF($X$7:$X$43&lt;&gt;"",ROW($X$7:$X$43)-MIN(ROW($X$7:$X$43))+1,""),""),ROW()-ROW(A$46)+1)))," "),"")</f>
        <v>0</v>
      </c>
      <c r="Y80">
        <f t="array" ref="Y80">IFERROR(CONCATENATE(TEXT(INDEX($X$7:$X$43,SMALL(IF($AA$7:$AA$43&lt;&gt;"",IF($X$7:$X$43&lt;&gt;"",ROW($X$7:$X$43)-MIN(ROW($X$7:$X$43))+1,""),""),ROW()-ROW(A$46)+1)),"##0")," "),"")</f>
        <v>0</v>
      </c>
      <c r="Z80">
        <f t="array" ref="Z80">IFERROR(CONCATENATE((INDEX($A$7:$A$43,SMALL(IF($AA$7:$AA$43&lt;&gt;"",IF($X$7:$X$43&lt;&gt;"",ROW($X$7:$X$43)-MIN(ROW($X$7:$X$43))+1,""),""),ROW()-ROW(A$46)+1))),),"")</f>
        <v>0</v>
      </c>
      <c r="AC80">
        <f t="array" ref="AC80">IFERROR(CONCATENATE((INDEX($AF$7:$AF$43,SMALL(IF($AF$7:$AF$43&lt;&gt;"",IF($AC$7:$AC$43&lt;&gt;"",ROW($AC$7:$AC$43)-MIN(ROW($AC$7:$AC$43))+1,""),""),ROW()-ROW(A$46)+1))),","),"")</f>
        <v>0</v>
      </c>
      <c r="AD80">
        <f t="array" ref="AD80">IFERROR(CONCATENATE(TEXT(INDEX($AC$7:$AC$43,SMALL(IF($AF$7:$AF$43&lt;&gt;"",IF($AC$7:$AC$43&lt;&gt;"",ROW($AC$7:$AC$43)-MIN(ROW($AC$7:$AC$43))+1,""),""),ROW()-ROW(A$46)+1)),"##0"),","),"")</f>
        <v>0</v>
      </c>
      <c r="AE80">
        <f t="array" ref="AE80">IFERROR(CONCATENATE((INDEX($A$7:$A$43,SMALL(IF($AF$7:$AF$43&lt;&gt;"",IF($AC$7:$AC$43&lt;&gt;"",ROW($AC$7:$AC$43)-MIN(ROW($AC$7:$AC$43))+1,""),""),ROW()-ROW(A$46)+1))),),"")</f>
        <v>0</v>
      </c>
      <c r="AH80">
        <f t="array" ref="AH80">IFERROR(CONCATENATE((INDEX($AK$7:$AK$43,SMALL(IF($AK$7:$AK$43&lt;&gt;"",IF($AH$7:$AH$43&lt;&gt;"",ROW($AH$7:$AH$43)-MIN(ROW($AH$7:$AH$43))+1,""),""),ROW()-ROW(A$46)+1)))," "),"")</f>
        <v>0</v>
      </c>
      <c r="AI80">
        <f t="array" ref="AI80">IFERROR(CONCATENATE(TEXT(INDEX($AH$7:$AH$43,SMALL(IF($AK$7:$AK$43&lt;&gt;"",IF($AH$7:$AH$43&lt;&gt;"",ROW($AH$7:$AH$43)-MIN(ROW($AH$7:$AH$43))+1,""),""),ROW()-ROW(A$46)+1)),"##0")," "),"")</f>
        <v>0</v>
      </c>
      <c r="AJ80">
        <f t="array" ref="AJ80">IFERROR(CONCATENATE((INDEX($A$7:$A$43,SMALL(IF($AK$7:$AK$43&lt;&gt;"",IF($AH$7:$AH$43&lt;&gt;"",ROW($AH$7:$AH$43)-MIN(ROW($AH$7:$AH$43))+1,""),""),ROW()-ROW(A$46)+1))),),"")</f>
        <v>0</v>
      </c>
      <c r="AM80">
        <f t="array" ref="AM80">IFERROR(CONCATENATE((INDEX($AP$7:$AP$43,SMALL(IF($AP$7:$AP$43&lt;&gt;"",IF($AM$7:$AM$43&lt;&gt;"",ROW($AM$7:$AM$43)-MIN(ROW($AM$7:$AM$43))+1,""),""),ROW()-ROW(A$46)+1)))," "),"")</f>
        <v>0</v>
      </c>
      <c r="AN80">
        <f t="array" ref="AN80">IFERROR(CONCATENATE(TEXT(INDEX($AM$7:$AM$43,SMALL(IF($AP$7:$AP$43&lt;&gt;"",IF($AM$7:$AM$43&lt;&gt;"",ROW($AM$7:$AM$43)-MIN(ROW($AM$7:$AM$43))+1,""),""),ROW()-ROW(A$46)+1)),"##0")," "),"")</f>
        <v>0</v>
      </c>
      <c r="AO80">
        <f t="array" ref="AO80">IFERROR(CONCATENATE((INDEX($A$7:$A$43,SMALL(IF($AP$7:$AP$43&lt;&gt;"",IF($AM$7:$AM$43&lt;&gt;"",ROW($AM$7:$AM$43)-MIN(ROW($AM$7:$AM$43))+1,""),""),ROW()-ROW(A$46)+1))),),"")</f>
        <v>0</v>
      </c>
    </row>
    <row r="81" spans="9:41">
      <c r="I81">
        <f t="array" ref="I81">IFERROR(CONCATENATE((INDEX($L$7:$L$43,SMALL(IF($L$7:$L$43&lt;&gt;"",IF($I$7:$I$43&lt;&gt;"",ROW($I$7:$I$43)-MIN(ROW($I$7:$I$43))+1,""),""),ROW()-ROW(A$46)+1))),","),"")</f>
        <v>0</v>
      </c>
      <c r="J81">
        <f t="array" ref="J81">IFERROR(CONCATENATE(TEXT(INDEX($I$7:$I$43,SMALL(IF($L$7:$L$43&lt;&gt;"",IF($I$7:$I$43&lt;&gt;"",ROW($I$7:$I$43)-MIN(ROW($I$7:$I$43))+1,""),""),ROW()-ROW(A$46)+1)),"##0"),","),"")</f>
        <v>0</v>
      </c>
      <c r="K81">
        <f t="array" ref="K81">IFERROR(CONCATENATE((INDEX($A$7:$A$43,SMALL(IF($L$7:$L$43&lt;&gt;"",IF($I$7:$I$43&lt;&gt;"",ROW($I$7:$I$43)-MIN(ROW($I$7:$I$43))+1,""),""),ROW()-ROW(A$46)+1))),),"")</f>
        <v>0</v>
      </c>
      <c r="N81">
        <f t="array" ref="N81">IFERROR(CONCATENATE(TEXT(INDEX($N$7:$N$43,SMALL(IF($Q$7:$Q$43&lt;&gt;"",IF($N$7:$N$43&lt;&gt;"",ROW($N$7:$N$43)-MIN(ROW($N$7:$N$43))+1,""),""),ROW()-ROW(A$46)+1)),"##0"),","),"")</f>
        <v>0</v>
      </c>
      <c r="O81">
        <f t="array" ref="O81">IFERROR(CONCATENATE((INDEX($Q$7:$Q$43,SMALL(IF($Q$7:$Q$43&lt;&gt;"",IF($N$7:$N$43&lt;&gt;"",ROW($N$7:$N$43)-MIN(ROW($N$7:$N$43))+1,""),""),ROW()-ROW(A$46)+1))),","),"")</f>
        <v>0</v>
      </c>
      <c r="P81">
        <f t="array" ref="P81">IFERROR(CONCATENATE((INDEX($A$7:$A$43,SMALL(IF($Q$7:$Q$43&lt;&gt;"",IF($N$7:$N$43&lt;&gt;"",ROW($N$7:$N$43)-MIN(ROW($N$7:$N$43))+1,""),""),ROW()-ROW(A$46)+1))),),"")</f>
        <v>0</v>
      </c>
      <c r="S81">
        <f t="array" ref="S81">IFERROR(CONCATENATE((INDEX($V$7:$V$43,SMALL(IF($V$7:$V$43&lt;&gt;"",IF($S$7:$S$43&lt;&gt;"",ROW($S$7:$S$43)-MIN(ROW($S$7:$S$43))+1,""),""),ROW()-ROW(A$46)+1)))," "),"")</f>
        <v>0</v>
      </c>
      <c r="T81">
        <f t="array" ref="T81">IFERROR(CONCATENATE(TEXT(INDEX($S$7:$S$43,SMALL(IF($V$7:$V$43&lt;&gt;"",IF($S$7:$S$43&lt;&gt;"",ROW($S$7:$S$43)-MIN(ROW($S$7:$S$43))+1,""),""),ROW()-ROW(A$46)+1)),"##0")," "),"")</f>
        <v>0</v>
      </c>
      <c r="U81">
        <f t="array" ref="U81">IFERROR(CONCATENATE((INDEX($A$7:$A$43,SMALL(IF($V$7:$V$43&lt;&gt;"",IF($S$7:$S$43&lt;&gt;"",ROW($S$7:$S$43)-MIN(ROW($S$7:$S$43))+1,""),""),ROW()-ROW(A$46)+1))),),"")</f>
        <v>0</v>
      </c>
      <c r="X81">
        <f t="array" ref="X81">IFERROR(CONCATENATE((INDEX($AA$7:$AA$43,SMALL(IF($AA$7:$AA$43&lt;&gt;"",IF($X$7:$X$43&lt;&gt;"",ROW($X$7:$X$43)-MIN(ROW($X$7:$X$43))+1,""),""),ROW()-ROW(A$46)+1)))," "),"")</f>
        <v>0</v>
      </c>
      <c r="Y81">
        <f t="array" ref="Y81">IFERROR(CONCATENATE(TEXT(INDEX($X$7:$X$43,SMALL(IF($AA$7:$AA$43&lt;&gt;"",IF($X$7:$X$43&lt;&gt;"",ROW($X$7:$X$43)-MIN(ROW($X$7:$X$43))+1,""),""),ROW()-ROW(A$46)+1)),"##0")," "),"")</f>
        <v>0</v>
      </c>
      <c r="Z81">
        <f t="array" ref="Z81">IFERROR(CONCATENATE((INDEX($A$7:$A$43,SMALL(IF($AA$7:$AA$43&lt;&gt;"",IF($X$7:$X$43&lt;&gt;"",ROW($X$7:$X$43)-MIN(ROW($X$7:$X$43))+1,""),""),ROW()-ROW(A$46)+1))),),"")</f>
        <v>0</v>
      </c>
      <c r="AC81">
        <f t="array" ref="AC81">IFERROR(CONCATENATE((INDEX($AF$7:$AF$43,SMALL(IF($AF$7:$AF$43&lt;&gt;"",IF($AC$7:$AC$43&lt;&gt;"",ROW($AC$7:$AC$43)-MIN(ROW($AC$7:$AC$43))+1,""),""),ROW()-ROW(A$46)+1))),","),"")</f>
        <v>0</v>
      </c>
      <c r="AD81">
        <f t="array" ref="AD81">IFERROR(CONCATENATE(TEXT(INDEX($AC$7:$AC$43,SMALL(IF($AF$7:$AF$43&lt;&gt;"",IF($AC$7:$AC$43&lt;&gt;"",ROW($AC$7:$AC$43)-MIN(ROW($AC$7:$AC$43))+1,""),""),ROW()-ROW(A$46)+1)),"##0"),","),"")</f>
        <v>0</v>
      </c>
      <c r="AE81">
        <f t="array" ref="AE81">IFERROR(CONCATENATE((INDEX($A$7:$A$43,SMALL(IF($AF$7:$AF$43&lt;&gt;"",IF($AC$7:$AC$43&lt;&gt;"",ROW($AC$7:$AC$43)-MIN(ROW($AC$7:$AC$43))+1,""),""),ROW()-ROW(A$46)+1))),),"")</f>
        <v>0</v>
      </c>
      <c r="AH81">
        <f t="array" ref="AH81">IFERROR(CONCATENATE((INDEX($AK$7:$AK$43,SMALL(IF($AK$7:$AK$43&lt;&gt;"",IF($AH$7:$AH$43&lt;&gt;"",ROW($AH$7:$AH$43)-MIN(ROW($AH$7:$AH$43))+1,""),""),ROW()-ROW(A$46)+1)))," "),"")</f>
        <v>0</v>
      </c>
      <c r="AI81">
        <f t="array" ref="AI81">IFERROR(CONCATENATE(TEXT(INDEX($AH$7:$AH$43,SMALL(IF($AK$7:$AK$43&lt;&gt;"",IF($AH$7:$AH$43&lt;&gt;"",ROW($AH$7:$AH$43)-MIN(ROW($AH$7:$AH$43))+1,""),""),ROW()-ROW(A$46)+1)),"##0")," "),"")</f>
        <v>0</v>
      </c>
      <c r="AJ81">
        <f t="array" ref="AJ81">IFERROR(CONCATENATE((INDEX($A$7:$A$43,SMALL(IF($AK$7:$AK$43&lt;&gt;"",IF($AH$7:$AH$43&lt;&gt;"",ROW($AH$7:$AH$43)-MIN(ROW($AH$7:$AH$43))+1,""),""),ROW()-ROW(A$46)+1))),),"")</f>
        <v>0</v>
      </c>
      <c r="AM81">
        <f t="array" ref="AM81">IFERROR(CONCATENATE((INDEX($AP$7:$AP$43,SMALL(IF($AP$7:$AP$43&lt;&gt;"",IF($AM$7:$AM$43&lt;&gt;"",ROW($AM$7:$AM$43)-MIN(ROW($AM$7:$AM$43))+1,""),""),ROW()-ROW(A$46)+1)))," "),"")</f>
        <v>0</v>
      </c>
      <c r="AN81">
        <f t="array" ref="AN81">IFERROR(CONCATENATE(TEXT(INDEX($AM$7:$AM$43,SMALL(IF($AP$7:$AP$43&lt;&gt;"",IF($AM$7:$AM$43&lt;&gt;"",ROW($AM$7:$AM$43)-MIN(ROW($AM$7:$AM$43))+1,""),""),ROW()-ROW(A$46)+1)),"##0")," "),"")</f>
        <v>0</v>
      </c>
      <c r="AO81">
        <f t="array" ref="AO81">IFERROR(CONCATENATE((INDEX($A$7:$A$43,SMALL(IF($AP$7:$AP$43&lt;&gt;"",IF($AM$7:$AM$43&lt;&gt;"",ROW($AM$7:$AM$43)-MIN(ROW($AM$7:$AM$43))+1,""),""),ROW()-ROW(A$46)+1))),),"")</f>
        <v>0</v>
      </c>
    </row>
    <row r="82" spans="9:41">
      <c r="I82">
        <f t="array" ref="I82">IFERROR(CONCATENATE((INDEX($L$7:$L$43,SMALL(IF($L$7:$L$43&lt;&gt;"",IF($I$7:$I$43&lt;&gt;"",ROW($I$7:$I$43)-MIN(ROW($I$7:$I$43))+1,""),""),ROW()-ROW(A$46)+1))),","),"")</f>
        <v>0</v>
      </c>
      <c r="J82">
        <f t="array" ref="J82">IFERROR(CONCATENATE(TEXT(INDEX($I$7:$I$43,SMALL(IF($L$7:$L$43&lt;&gt;"",IF($I$7:$I$43&lt;&gt;"",ROW($I$7:$I$43)-MIN(ROW($I$7:$I$43))+1,""),""),ROW()-ROW(A$46)+1)),"##0"),","),"")</f>
        <v>0</v>
      </c>
      <c r="K82">
        <f t="array" ref="K82">IFERROR(CONCATENATE((INDEX($A$7:$A$43,SMALL(IF($L$7:$L$43&lt;&gt;"",IF($I$7:$I$43&lt;&gt;"",ROW($I$7:$I$43)-MIN(ROW($I$7:$I$43))+1,""),""),ROW()-ROW(A$46)+1))),),"")</f>
        <v>0</v>
      </c>
      <c r="N82">
        <f t="array" ref="N82">IFERROR(CONCATENATE(TEXT(INDEX($N$7:$N$43,SMALL(IF($Q$7:$Q$43&lt;&gt;"",IF($N$7:$N$43&lt;&gt;"",ROW($N$7:$N$43)-MIN(ROW($N$7:$N$43))+1,""),""),ROW()-ROW(A$46)+1)),"##0"),","),"")</f>
        <v>0</v>
      </c>
      <c r="O82">
        <f t="array" ref="O82">IFERROR(CONCATENATE((INDEX($Q$7:$Q$43,SMALL(IF($Q$7:$Q$43&lt;&gt;"",IF($N$7:$N$43&lt;&gt;"",ROW($N$7:$N$43)-MIN(ROW($N$7:$N$43))+1,""),""),ROW()-ROW(A$46)+1))),","),"")</f>
        <v>0</v>
      </c>
      <c r="P82">
        <f t="array" ref="P82">IFERROR(CONCATENATE((INDEX($A$7:$A$43,SMALL(IF($Q$7:$Q$43&lt;&gt;"",IF($N$7:$N$43&lt;&gt;"",ROW($N$7:$N$43)-MIN(ROW($N$7:$N$43))+1,""),""),ROW()-ROW(A$46)+1))),),"")</f>
        <v>0</v>
      </c>
      <c r="S82">
        <f t="array" ref="S82">IFERROR(CONCATENATE((INDEX($V$7:$V$43,SMALL(IF($V$7:$V$43&lt;&gt;"",IF($S$7:$S$43&lt;&gt;"",ROW($S$7:$S$43)-MIN(ROW($S$7:$S$43))+1,""),""),ROW()-ROW(A$46)+1)))," "),"")</f>
        <v>0</v>
      </c>
      <c r="T82">
        <f t="array" ref="T82">IFERROR(CONCATENATE(TEXT(INDEX($S$7:$S$43,SMALL(IF($V$7:$V$43&lt;&gt;"",IF($S$7:$S$43&lt;&gt;"",ROW($S$7:$S$43)-MIN(ROW($S$7:$S$43))+1,""),""),ROW()-ROW(A$46)+1)),"##0")," "),"")</f>
        <v>0</v>
      </c>
      <c r="U82">
        <f t="array" ref="U82">IFERROR(CONCATENATE((INDEX($A$7:$A$43,SMALL(IF($V$7:$V$43&lt;&gt;"",IF($S$7:$S$43&lt;&gt;"",ROW($S$7:$S$43)-MIN(ROW($S$7:$S$43))+1,""),""),ROW()-ROW(A$46)+1))),),"")</f>
        <v>0</v>
      </c>
      <c r="X82">
        <f t="array" ref="X82">IFERROR(CONCATENATE((INDEX($AA$7:$AA$43,SMALL(IF($AA$7:$AA$43&lt;&gt;"",IF($X$7:$X$43&lt;&gt;"",ROW($X$7:$X$43)-MIN(ROW($X$7:$X$43))+1,""),""),ROW()-ROW(A$46)+1)))," "),"")</f>
        <v>0</v>
      </c>
      <c r="Y82">
        <f t="array" ref="Y82">IFERROR(CONCATENATE(TEXT(INDEX($X$7:$X$43,SMALL(IF($AA$7:$AA$43&lt;&gt;"",IF($X$7:$X$43&lt;&gt;"",ROW($X$7:$X$43)-MIN(ROW($X$7:$X$43))+1,""),""),ROW()-ROW(A$46)+1)),"##0")," "),"")</f>
        <v>0</v>
      </c>
      <c r="Z82">
        <f t="array" ref="Z82">IFERROR(CONCATENATE((INDEX($A$7:$A$43,SMALL(IF($AA$7:$AA$43&lt;&gt;"",IF($X$7:$X$43&lt;&gt;"",ROW($X$7:$X$43)-MIN(ROW($X$7:$X$43))+1,""),""),ROW()-ROW(A$46)+1))),),"")</f>
        <v>0</v>
      </c>
      <c r="AC82">
        <f t="array" ref="AC82">IFERROR(CONCATENATE((INDEX($AF$7:$AF$43,SMALL(IF($AF$7:$AF$43&lt;&gt;"",IF($AC$7:$AC$43&lt;&gt;"",ROW($AC$7:$AC$43)-MIN(ROW($AC$7:$AC$43))+1,""),""),ROW()-ROW(A$46)+1))),","),"")</f>
        <v>0</v>
      </c>
      <c r="AD82">
        <f t="array" ref="AD82">IFERROR(CONCATENATE(TEXT(INDEX($AC$7:$AC$43,SMALL(IF($AF$7:$AF$43&lt;&gt;"",IF($AC$7:$AC$43&lt;&gt;"",ROW($AC$7:$AC$43)-MIN(ROW($AC$7:$AC$43))+1,""),""),ROW()-ROW(A$46)+1)),"##0"),","),"")</f>
        <v>0</v>
      </c>
      <c r="AE82">
        <f t="array" ref="AE82">IFERROR(CONCATENATE((INDEX($A$7:$A$43,SMALL(IF($AF$7:$AF$43&lt;&gt;"",IF($AC$7:$AC$43&lt;&gt;"",ROW($AC$7:$AC$43)-MIN(ROW($AC$7:$AC$43))+1,""),""),ROW()-ROW(A$46)+1))),),"")</f>
        <v>0</v>
      </c>
      <c r="AH82">
        <f t="array" ref="AH82">IFERROR(CONCATENATE((INDEX($AK$7:$AK$43,SMALL(IF($AK$7:$AK$43&lt;&gt;"",IF($AH$7:$AH$43&lt;&gt;"",ROW($AH$7:$AH$43)-MIN(ROW($AH$7:$AH$43))+1,""),""),ROW()-ROW(A$46)+1)))," "),"")</f>
        <v>0</v>
      </c>
      <c r="AI82">
        <f t="array" ref="AI82">IFERROR(CONCATENATE(TEXT(INDEX($AH$7:$AH$43,SMALL(IF($AK$7:$AK$43&lt;&gt;"",IF($AH$7:$AH$43&lt;&gt;"",ROW($AH$7:$AH$43)-MIN(ROW($AH$7:$AH$43))+1,""),""),ROW()-ROW(A$46)+1)),"##0")," "),"")</f>
        <v>0</v>
      </c>
      <c r="AJ82">
        <f t="array" ref="AJ82">IFERROR(CONCATENATE((INDEX($A$7:$A$43,SMALL(IF($AK$7:$AK$43&lt;&gt;"",IF($AH$7:$AH$43&lt;&gt;"",ROW($AH$7:$AH$43)-MIN(ROW($AH$7:$AH$43))+1,""),""),ROW()-ROW(A$46)+1))),),"")</f>
        <v>0</v>
      </c>
      <c r="AM82">
        <f t="array" ref="AM82">IFERROR(CONCATENATE((INDEX($AP$7:$AP$43,SMALL(IF($AP$7:$AP$43&lt;&gt;"",IF($AM$7:$AM$43&lt;&gt;"",ROW($AM$7:$AM$43)-MIN(ROW($AM$7:$AM$43))+1,""),""),ROW()-ROW(A$46)+1)))," "),"")</f>
        <v>0</v>
      </c>
      <c r="AN82">
        <f t="array" ref="AN82">IFERROR(CONCATENATE(TEXT(INDEX($AM$7:$AM$43,SMALL(IF($AP$7:$AP$43&lt;&gt;"",IF($AM$7:$AM$43&lt;&gt;"",ROW($AM$7:$AM$43)-MIN(ROW($AM$7:$AM$43))+1,""),""),ROW()-ROW(A$46)+1)),"##0")," "),"")</f>
        <v>0</v>
      </c>
      <c r="AO82">
        <f t="array" ref="AO82">IFERROR(CONCATENATE((INDEX($A$7:$A$43,SMALL(IF($AP$7:$AP$43&lt;&gt;"",IF($AM$7:$AM$43&lt;&gt;"",ROW($AM$7:$AM$43)-MIN(ROW($AM$7:$AM$43))+1,""),""),ROW()-ROW(A$46)+1))),),"")</f>
        <v>0</v>
      </c>
    </row>
  </sheetData>
  <mergeCells count="8">
    <mergeCell ref="A5:G5"/>
    <mergeCell ref="H5:L5"/>
    <mergeCell ref="M5:Q5"/>
    <mergeCell ref="R5:V5"/>
    <mergeCell ref="W5:AA5"/>
    <mergeCell ref="AB5:AF5"/>
    <mergeCell ref="AG5:AK5"/>
    <mergeCell ref="AL5:AP5"/>
  </mergeCells>
  <conditionalFormatting sqref="AB10">
    <cfRule type="cellIs" dxfId="1" priority="779" operator="equal">
      <formula>0</formula>
    </cfRule>
    <cfRule type="cellIs" dxfId="2" priority="780" operator="lessThan">
      <formula>E10</formula>
    </cfRule>
  </conditionalFormatting>
  <conditionalFormatting sqref="AB11">
    <cfRule type="cellIs" dxfId="1" priority="784" operator="equal">
      <formula>0</formula>
    </cfRule>
    <cfRule type="cellIs" dxfId="2" priority="785" operator="lessThan">
      <formula>E11</formula>
    </cfRule>
  </conditionalFormatting>
  <conditionalFormatting sqref="AB12">
    <cfRule type="cellIs" dxfId="1" priority="789" operator="equal">
      <formula>0</formula>
    </cfRule>
    <cfRule type="cellIs" dxfId="2" priority="790" operator="lessThan">
      <formula>E12</formula>
    </cfRule>
  </conditionalFormatting>
  <conditionalFormatting sqref="AB13">
    <cfRule type="cellIs" dxfId="1" priority="794" operator="equal">
      <formula>0</formula>
    </cfRule>
    <cfRule type="cellIs" dxfId="2" priority="795" operator="lessThan">
      <formula>E13</formula>
    </cfRule>
  </conditionalFormatting>
  <conditionalFormatting sqref="AB15">
    <cfRule type="cellIs" dxfId="1" priority="799" operator="equal">
      <formula>0</formula>
    </cfRule>
    <cfRule type="cellIs" dxfId="2" priority="800" operator="lessThan">
      <formula>E15</formula>
    </cfRule>
  </conditionalFormatting>
  <conditionalFormatting sqref="AB16">
    <cfRule type="cellIs" dxfId="1" priority="804" operator="equal">
      <formula>0</formula>
    </cfRule>
    <cfRule type="cellIs" dxfId="2" priority="805" operator="lessThan">
      <formula>E16</formula>
    </cfRule>
  </conditionalFormatting>
  <conditionalFormatting sqref="AB17">
    <cfRule type="cellIs" dxfId="1" priority="809" operator="equal">
      <formula>0</formula>
    </cfRule>
    <cfRule type="cellIs" dxfId="2" priority="810" operator="lessThan">
      <formula>E17</formula>
    </cfRule>
  </conditionalFormatting>
  <conditionalFormatting sqref="AB19">
    <cfRule type="cellIs" dxfId="1" priority="814" operator="equal">
      <formula>0</formula>
    </cfRule>
    <cfRule type="cellIs" dxfId="2" priority="815" operator="lessThan">
      <formula>E19</formula>
    </cfRule>
  </conditionalFormatting>
  <conditionalFormatting sqref="AB20">
    <cfRule type="cellIs" dxfId="1" priority="819" operator="equal">
      <formula>0</formula>
    </cfRule>
    <cfRule type="cellIs" dxfId="2" priority="820" operator="lessThan">
      <formula>E20</formula>
    </cfRule>
  </conditionalFormatting>
  <conditionalFormatting sqref="AB22">
    <cfRule type="cellIs" dxfId="1" priority="824" operator="equal">
      <formula>0</formula>
    </cfRule>
    <cfRule type="cellIs" dxfId="2" priority="825" operator="lessThan">
      <formula>E22</formula>
    </cfRule>
  </conditionalFormatting>
  <conditionalFormatting sqref="AB23">
    <cfRule type="cellIs" dxfId="1" priority="829" operator="equal">
      <formula>0</formula>
    </cfRule>
    <cfRule type="cellIs" dxfId="2" priority="830" operator="lessThan">
      <formula>E23</formula>
    </cfRule>
  </conditionalFormatting>
  <conditionalFormatting sqref="AB24">
    <cfRule type="cellIs" dxfId="1" priority="834" operator="equal">
      <formula>0</formula>
    </cfRule>
    <cfRule type="cellIs" dxfId="2" priority="835" operator="lessThan">
      <formula>E24</formula>
    </cfRule>
  </conditionalFormatting>
  <conditionalFormatting sqref="AB25">
    <cfRule type="cellIs" dxfId="1" priority="839" operator="equal">
      <formula>0</formula>
    </cfRule>
    <cfRule type="cellIs" dxfId="2" priority="840" operator="lessThan">
      <formula>E25</formula>
    </cfRule>
  </conditionalFormatting>
  <conditionalFormatting sqref="AB26">
    <cfRule type="cellIs" dxfId="1" priority="844" operator="equal">
      <formula>0</formula>
    </cfRule>
    <cfRule type="cellIs" dxfId="2" priority="845" operator="lessThan">
      <formula>E26</formula>
    </cfRule>
  </conditionalFormatting>
  <conditionalFormatting sqref="AB27">
    <cfRule type="cellIs" dxfId="1" priority="849" operator="equal">
      <formula>0</formula>
    </cfRule>
    <cfRule type="cellIs" dxfId="2" priority="850" operator="lessThan">
      <formula>E27</formula>
    </cfRule>
  </conditionalFormatting>
  <conditionalFormatting sqref="AB28">
    <cfRule type="cellIs" dxfId="1" priority="854" operator="equal">
      <formula>0</formula>
    </cfRule>
    <cfRule type="cellIs" dxfId="2" priority="855" operator="lessThan">
      <formula>E28</formula>
    </cfRule>
  </conditionalFormatting>
  <conditionalFormatting sqref="AB30">
    <cfRule type="cellIs" dxfId="1" priority="859" operator="equal">
      <formula>0</formula>
    </cfRule>
    <cfRule type="cellIs" dxfId="2" priority="860" operator="lessThan">
      <formula>E30</formula>
    </cfRule>
  </conditionalFormatting>
  <conditionalFormatting sqref="AB31">
    <cfRule type="cellIs" dxfId="1" priority="864" operator="equal">
      <formula>0</formula>
    </cfRule>
    <cfRule type="cellIs" dxfId="2" priority="865" operator="lessThan">
      <formula>E31</formula>
    </cfRule>
  </conditionalFormatting>
  <conditionalFormatting sqref="AB32">
    <cfRule type="cellIs" dxfId="1" priority="869" operator="equal">
      <formula>0</formula>
    </cfRule>
    <cfRule type="cellIs" dxfId="2" priority="870" operator="lessThan">
      <formula>E32</formula>
    </cfRule>
  </conditionalFormatting>
  <conditionalFormatting sqref="AB33">
    <cfRule type="cellIs" dxfId="1" priority="874" operator="equal">
      <formula>0</formula>
    </cfRule>
    <cfRule type="cellIs" dxfId="2" priority="875" operator="lessThan">
      <formula>E33</formula>
    </cfRule>
  </conditionalFormatting>
  <conditionalFormatting sqref="AB34">
    <cfRule type="cellIs" dxfId="1" priority="879" operator="equal">
      <formula>0</formula>
    </cfRule>
    <cfRule type="cellIs" dxfId="2" priority="880" operator="lessThan">
      <formula>E34</formula>
    </cfRule>
  </conditionalFormatting>
  <conditionalFormatting sqref="AB35">
    <cfRule type="cellIs" dxfId="1" priority="884" operator="equal">
      <formula>0</formula>
    </cfRule>
    <cfRule type="cellIs" dxfId="2" priority="885" operator="lessThan">
      <formula>E35</formula>
    </cfRule>
  </conditionalFormatting>
  <conditionalFormatting sqref="AB36">
    <cfRule type="cellIs" dxfId="1" priority="889" operator="equal">
      <formula>0</formula>
    </cfRule>
    <cfRule type="cellIs" dxfId="2" priority="890" operator="lessThan">
      <formula>E36</formula>
    </cfRule>
  </conditionalFormatting>
  <conditionalFormatting sqref="AB38">
    <cfRule type="cellIs" dxfId="1" priority="894" operator="equal">
      <formula>0</formula>
    </cfRule>
    <cfRule type="cellIs" dxfId="2" priority="895" operator="lessThan">
      <formula>E38</formula>
    </cfRule>
  </conditionalFormatting>
  <conditionalFormatting sqref="AB40">
    <cfRule type="cellIs" dxfId="1" priority="899" operator="equal">
      <formula>0</formula>
    </cfRule>
    <cfRule type="cellIs" dxfId="2" priority="900" operator="lessThan">
      <formula>E40</formula>
    </cfRule>
  </conditionalFormatting>
  <conditionalFormatting sqref="AB42">
    <cfRule type="cellIs" dxfId="1" priority="904" operator="equal">
      <formula>0</formula>
    </cfRule>
    <cfRule type="cellIs" dxfId="2" priority="905" operator="lessThan">
      <formula>E42</formula>
    </cfRule>
  </conditionalFormatting>
  <conditionalFormatting sqref="AB43">
    <cfRule type="cellIs" dxfId="1" priority="909" operator="equal">
      <formula>0</formula>
    </cfRule>
    <cfRule type="cellIs" dxfId="2" priority="910" operator="lessThan">
      <formula>E43</formula>
    </cfRule>
  </conditionalFormatting>
  <conditionalFormatting sqref="AB7">
    <cfRule type="cellIs" dxfId="1" priority="764" operator="equal">
      <formula>0</formula>
    </cfRule>
    <cfRule type="cellIs" dxfId="2" priority="765" operator="lessThan">
      <formula>E7</formula>
    </cfRule>
  </conditionalFormatting>
  <conditionalFormatting sqref="AB8">
    <cfRule type="cellIs" dxfId="1" priority="769" operator="equal">
      <formula>0</formula>
    </cfRule>
    <cfRule type="cellIs" dxfId="2" priority="770" operator="lessThan">
      <formula>E8</formula>
    </cfRule>
  </conditionalFormatting>
  <conditionalFormatting sqref="AB9">
    <cfRule type="cellIs" dxfId="1" priority="774" operator="equal">
      <formula>0</formula>
    </cfRule>
    <cfRule type="cellIs" dxfId="2" priority="775" operator="lessThan">
      <formula>E9</formula>
    </cfRule>
  </conditionalFormatting>
  <conditionalFormatting sqref="AC10">
    <cfRule type="cellIs" dxfId="1" priority="781" operator="greaterThan">
      <formula>AB10</formula>
    </cfRule>
  </conditionalFormatting>
  <conditionalFormatting sqref="AC11">
    <cfRule type="cellIs" dxfId="1" priority="786" operator="greaterThan">
      <formula>AB11</formula>
    </cfRule>
  </conditionalFormatting>
  <conditionalFormatting sqref="AC12">
    <cfRule type="cellIs" dxfId="1" priority="791" operator="greaterThan">
      <formula>AB12</formula>
    </cfRule>
  </conditionalFormatting>
  <conditionalFormatting sqref="AC13">
    <cfRule type="cellIs" dxfId="1" priority="796" operator="greaterThan">
      <formula>AB13</formula>
    </cfRule>
  </conditionalFormatting>
  <conditionalFormatting sqref="AC15">
    <cfRule type="cellIs" dxfId="1" priority="801" operator="greaterThan">
      <formula>AB15</formula>
    </cfRule>
  </conditionalFormatting>
  <conditionalFormatting sqref="AC16">
    <cfRule type="cellIs" dxfId="1" priority="806" operator="greaterThan">
      <formula>AB16</formula>
    </cfRule>
  </conditionalFormatting>
  <conditionalFormatting sqref="AC17">
    <cfRule type="cellIs" dxfId="1" priority="811" operator="greaterThan">
      <formula>AB17</formula>
    </cfRule>
  </conditionalFormatting>
  <conditionalFormatting sqref="AC19">
    <cfRule type="cellIs" dxfId="1" priority="816" operator="greaterThan">
      <formula>AB19</formula>
    </cfRule>
  </conditionalFormatting>
  <conditionalFormatting sqref="AC20">
    <cfRule type="cellIs" dxfId="1" priority="821" operator="greaterThan">
      <formula>AB20</formula>
    </cfRule>
  </conditionalFormatting>
  <conditionalFormatting sqref="AC22">
    <cfRule type="cellIs" dxfId="1" priority="826" operator="greaterThan">
      <formula>AB22</formula>
    </cfRule>
  </conditionalFormatting>
  <conditionalFormatting sqref="AC23">
    <cfRule type="cellIs" dxfId="1" priority="831" operator="greaterThan">
      <formula>AB23</formula>
    </cfRule>
  </conditionalFormatting>
  <conditionalFormatting sqref="AC24">
    <cfRule type="cellIs" dxfId="1" priority="836" operator="greaterThan">
      <formula>AB24</formula>
    </cfRule>
  </conditionalFormatting>
  <conditionalFormatting sqref="AC25">
    <cfRule type="cellIs" dxfId="1" priority="841" operator="greaterThan">
      <formula>AB25</formula>
    </cfRule>
  </conditionalFormatting>
  <conditionalFormatting sqref="AC26">
    <cfRule type="cellIs" dxfId="1" priority="846" operator="greaterThan">
      <formula>AB26</formula>
    </cfRule>
  </conditionalFormatting>
  <conditionalFormatting sqref="AC27">
    <cfRule type="cellIs" dxfId="1" priority="851" operator="greaterThan">
      <formula>AB27</formula>
    </cfRule>
  </conditionalFormatting>
  <conditionalFormatting sqref="AC28">
    <cfRule type="cellIs" dxfId="1" priority="856" operator="greaterThan">
      <formula>AB28</formula>
    </cfRule>
  </conditionalFormatting>
  <conditionalFormatting sqref="AC30">
    <cfRule type="cellIs" dxfId="1" priority="861" operator="greaterThan">
      <formula>AB30</formula>
    </cfRule>
  </conditionalFormatting>
  <conditionalFormatting sqref="AC31">
    <cfRule type="cellIs" dxfId="1" priority="866" operator="greaterThan">
      <formula>AB31</formula>
    </cfRule>
  </conditionalFormatting>
  <conditionalFormatting sqref="AC32">
    <cfRule type="cellIs" dxfId="1" priority="871" operator="greaterThan">
      <formula>AB32</formula>
    </cfRule>
  </conditionalFormatting>
  <conditionalFormatting sqref="AC33">
    <cfRule type="cellIs" dxfId="1" priority="876" operator="greaterThan">
      <formula>AB33</formula>
    </cfRule>
  </conditionalFormatting>
  <conditionalFormatting sqref="AC34">
    <cfRule type="cellIs" dxfId="1" priority="881" operator="greaterThan">
      <formula>AB34</formula>
    </cfRule>
  </conditionalFormatting>
  <conditionalFormatting sqref="AC35">
    <cfRule type="cellIs" dxfId="1" priority="886" operator="greaterThan">
      <formula>AB35</formula>
    </cfRule>
  </conditionalFormatting>
  <conditionalFormatting sqref="AC36">
    <cfRule type="cellIs" dxfId="1" priority="891" operator="greaterThan">
      <formula>AB36</formula>
    </cfRule>
  </conditionalFormatting>
  <conditionalFormatting sqref="AC38">
    <cfRule type="cellIs" dxfId="1" priority="896" operator="greaterThan">
      <formula>AB38</formula>
    </cfRule>
  </conditionalFormatting>
  <conditionalFormatting sqref="AC40">
    <cfRule type="cellIs" dxfId="1" priority="901" operator="greaterThan">
      <formula>AB40</formula>
    </cfRule>
  </conditionalFormatting>
  <conditionalFormatting sqref="AC42">
    <cfRule type="cellIs" dxfId="1" priority="906" operator="greaterThan">
      <formula>AB42</formula>
    </cfRule>
  </conditionalFormatting>
  <conditionalFormatting sqref="AC43">
    <cfRule type="cellIs" dxfId="1" priority="911" operator="greaterThan">
      <formula>AB43</formula>
    </cfRule>
  </conditionalFormatting>
  <conditionalFormatting sqref="AC7">
    <cfRule type="cellIs" dxfId="1" priority="766" operator="greaterThan">
      <formula>AB7</formula>
    </cfRule>
  </conditionalFormatting>
  <conditionalFormatting sqref="AC8">
    <cfRule type="cellIs" dxfId="1" priority="771" operator="greaterThan">
      <formula>AB8</formula>
    </cfRule>
  </conditionalFormatting>
  <conditionalFormatting sqref="AC9">
    <cfRule type="cellIs" dxfId="1" priority="776" operator="greaterThan">
      <formula>AB9</formula>
    </cfRule>
  </conditionalFormatting>
  <conditionalFormatting sqref="AD10">
    <cfRule type="cellIs" dxfId="4" priority="783" operator="lessThanOrEqual">
      <formula>F10</formula>
    </cfRule>
  </conditionalFormatting>
  <conditionalFormatting sqref="AD11">
    <cfRule type="cellIs" dxfId="4" priority="788" operator="lessThanOrEqual">
      <formula>F11</formula>
    </cfRule>
  </conditionalFormatting>
  <conditionalFormatting sqref="AD12">
    <cfRule type="cellIs" dxfId="4" priority="793" operator="lessThanOrEqual">
      <formula>F12</formula>
    </cfRule>
  </conditionalFormatting>
  <conditionalFormatting sqref="AD13">
    <cfRule type="cellIs" dxfId="4" priority="798" operator="lessThanOrEqual">
      <formula>F13</formula>
    </cfRule>
  </conditionalFormatting>
  <conditionalFormatting sqref="AD15">
    <cfRule type="cellIs" dxfId="4" priority="803" operator="lessThanOrEqual">
      <formula>F15</formula>
    </cfRule>
  </conditionalFormatting>
  <conditionalFormatting sqref="AD16">
    <cfRule type="cellIs" dxfId="4" priority="808" operator="lessThanOrEqual">
      <formula>F16</formula>
    </cfRule>
  </conditionalFormatting>
  <conditionalFormatting sqref="AD17">
    <cfRule type="cellIs" dxfId="4" priority="813" operator="lessThanOrEqual">
      <formula>F17</formula>
    </cfRule>
  </conditionalFormatting>
  <conditionalFormatting sqref="AD19">
    <cfRule type="cellIs" dxfId="4" priority="818" operator="lessThanOrEqual">
      <formula>F19</formula>
    </cfRule>
  </conditionalFormatting>
  <conditionalFormatting sqref="AD20">
    <cfRule type="cellIs" dxfId="4" priority="823" operator="lessThanOrEqual">
      <formula>F20</formula>
    </cfRule>
  </conditionalFormatting>
  <conditionalFormatting sqref="AD22">
    <cfRule type="cellIs" dxfId="4" priority="828" operator="lessThanOrEqual">
      <formula>F22</formula>
    </cfRule>
  </conditionalFormatting>
  <conditionalFormatting sqref="AD23">
    <cfRule type="cellIs" dxfId="4" priority="833" operator="lessThanOrEqual">
      <formula>F23</formula>
    </cfRule>
  </conditionalFormatting>
  <conditionalFormatting sqref="AD24">
    <cfRule type="cellIs" dxfId="4" priority="838" operator="lessThanOrEqual">
      <formula>F24</formula>
    </cfRule>
  </conditionalFormatting>
  <conditionalFormatting sqref="AD25">
    <cfRule type="cellIs" dxfId="4" priority="843" operator="lessThanOrEqual">
      <formula>F25</formula>
    </cfRule>
  </conditionalFormatting>
  <conditionalFormatting sqref="AD26">
    <cfRule type="cellIs" dxfId="4" priority="848" operator="lessThanOrEqual">
      <formula>F26</formula>
    </cfRule>
  </conditionalFormatting>
  <conditionalFormatting sqref="AD27">
    <cfRule type="cellIs" dxfId="4" priority="853" operator="lessThanOrEqual">
      <formula>F27</formula>
    </cfRule>
  </conditionalFormatting>
  <conditionalFormatting sqref="AD28">
    <cfRule type="cellIs" dxfId="4" priority="858" operator="lessThanOrEqual">
      <formula>F28</formula>
    </cfRule>
  </conditionalFormatting>
  <conditionalFormatting sqref="AD30">
    <cfRule type="cellIs" dxfId="4" priority="863" operator="lessThanOrEqual">
      <formula>F30</formula>
    </cfRule>
  </conditionalFormatting>
  <conditionalFormatting sqref="AD31">
    <cfRule type="cellIs" dxfId="4" priority="868" operator="lessThanOrEqual">
      <formula>F31</formula>
    </cfRule>
  </conditionalFormatting>
  <conditionalFormatting sqref="AD32">
    <cfRule type="cellIs" dxfId="4" priority="873" operator="lessThanOrEqual">
      <formula>F32</formula>
    </cfRule>
  </conditionalFormatting>
  <conditionalFormatting sqref="AD33">
    <cfRule type="cellIs" dxfId="4" priority="878" operator="lessThanOrEqual">
      <formula>F33</formula>
    </cfRule>
  </conditionalFormatting>
  <conditionalFormatting sqref="AD34">
    <cfRule type="cellIs" dxfId="4" priority="883" operator="lessThanOrEqual">
      <formula>F34</formula>
    </cfRule>
  </conditionalFormatting>
  <conditionalFormatting sqref="AD35">
    <cfRule type="cellIs" dxfId="4" priority="888" operator="lessThanOrEqual">
      <formula>F35</formula>
    </cfRule>
  </conditionalFormatting>
  <conditionalFormatting sqref="AD36">
    <cfRule type="cellIs" dxfId="4" priority="893" operator="lessThanOrEqual">
      <formula>F36</formula>
    </cfRule>
  </conditionalFormatting>
  <conditionalFormatting sqref="AD38">
    <cfRule type="cellIs" dxfId="4" priority="898" operator="lessThanOrEqual">
      <formula>F38</formula>
    </cfRule>
  </conditionalFormatting>
  <conditionalFormatting sqref="AD40">
    <cfRule type="cellIs" dxfId="4" priority="903" operator="lessThanOrEqual">
      <formula>F40</formula>
    </cfRule>
  </conditionalFormatting>
  <conditionalFormatting sqref="AD42">
    <cfRule type="cellIs" dxfId="4" priority="908" operator="lessThanOrEqual">
      <formula>F42</formula>
    </cfRule>
  </conditionalFormatting>
  <conditionalFormatting sqref="AD43">
    <cfRule type="cellIs" dxfId="4" priority="913" operator="lessThanOrEqual">
      <formula>F43</formula>
    </cfRule>
  </conditionalFormatting>
  <conditionalFormatting sqref="AD7">
    <cfRule type="cellIs" dxfId="4" priority="768" operator="lessThanOrEqual">
      <formula>F7</formula>
    </cfRule>
  </conditionalFormatting>
  <conditionalFormatting sqref="AD8">
    <cfRule type="cellIs" dxfId="4" priority="773" operator="lessThanOrEqual">
      <formula>F8</formula>
    </cfRule>
  </conditionalFormatting>
  <conditionalFormatting sqref="AD9">
    <cfRule type="cellIs" dxfId="4" priority="778" operator="lessThanOrEqual">
      <formula>F9</formula>
    </cfRule>
  </conditionalFormatting>
  <conditionalFormatting sqref="AE10">
    <cfRule type="cellIs" dxfId="4" priority="782" operator="lessThanOrEqual">
      <formula>G10</formula>
    </cfRule>
  </conditionalFormatting>
  <conditionalFormatting sqref="AE11">
    <cfRule type="cellIs" dxfId="4" priority="787" operator="lessThanOrEqual">
      <formula>G11</formula>
    </cfRule>
  </conditionalFormatting>
  <conditionalFormatting sqref="AE12">
    <cfRule type="cellIs" dxfId="4" priority="792" operator="lessThanOrEqual">
      <formula>G12</formula>
    </cfRule>
  </conditionalFormatting>
  <conditionalFormatting sqref="AE13">
    <cfRule type="cellIs" dxfId="4" priority="797" operator="lessThanOrEqual">
      <formula>G13</formula>
    </cfRule>
  </conditionalFormatting>
  <conditionalFormatting sqref="AE15">
    <cfRule type="cellIs" dxfId="4" priority="802" operator="lessThanOrEqual">
      <formula>G15</formula>
    </cfRule>
  </conditionalFormatting>
  <conditionalFormatting sqref="AE16">
    <cfRule type="cellIs" dxfId="4" priority="807" operator="lessThanOrEqual">
      <formula>G16</formula>
    </cfRule>
  </conditionalFormatting>
  <conditionalFormatting sqref="AE17">
    <cfRule type="cellIs" dxfId="4" priority="812" operator="lessThanOrEqual">
      <formula>G17</formula>
    </cfRule>
  </conditionalFormatting>
  <conditionalFormatting sqref="AE19">
    <cfRule type="cellIs" dxfId="4" priority="817" operator="lessThanOrEqual">
      <formula>G19</formula>
    </cfRule>
  </conditionalFormatting>
  <conditionalFormatting sqref="AE20">
    <cfRule type="cellIs" dxfId="4" priority="822" operator="lessThanOrEqual">
      <formula>G20</formula>
    </cfRule>
  </conditionalFormatting>
  <conditionalFormatting sqref="AE22">
    <cfRule type="cellIs" dxfId="4" priority="827" operator="lessThanOrEqual">
      <formula>G22</formula>
    </cfRule>
  </conditionalFormatting>
  <conditionalFormatting sqref="AE23">
    <cfRule type="cellIs" dxfId="4" priority="832" operator="lessThanOrEqual">
      <formula>G23</formula>
    </cfRule>
  </conditionalFormatting>
  <conditionalFormatting sqref="AE24">
    <cfRule type="cellIs" dxfId="4" priority="837" operator="lessThanOrEqual">
      <formula>G24</formula>
    </cfRule>
  </conditionalFormatting>
  <conditionalFormatting sqref="AE25">
    <cfRule type="cellIs" dxfId="4" priority="842" operator="lessThanOrEqual">
      <formula>G25</formula>
    </cfRule>
  </conditionalFormatting>
  <conditionalFormatting sqref="AE26">
    <cfRule type="cellIs" dxfId="4" priority="847" operator="lessThanOrEqual">
      <formula>G26</formula>
    </cfRule>
  </conditionalFormatting>
  <conditionalFormatting sqref="AE27">
    <cfRule type="cellIs" dxfId="4" priority="852" operator="lessThanOrEqual">
      <formula>G27</formula>
    </cfRule>
  </conditionalFormatting>
  <conditionalFormatting sqref="AE28">
    <cfRule type="cellIs" dxfId="4" priority="857" operator="lessThanOrEqual">
      <formula>G28</formula>
    </cfRule>
  </conditionalFormatting>
  <conditionalFormatting sqref="AE30">
    <cfRule type="cellIs" dxfId="4" priority="862" operator="lessThanOrEqual">
      <formula>G30</formula>
    </cfRule>
  </conditionalFormatting>
  <conditionalFormatting sqref="AE31">
    <cfRule type="cellIs" dxfId="4" priority="867" operator="lessThanOrEqual">
      <formula>G31</formula>
    </cfRule>
  </conditionalFormatting>
  <conditionalFormatting sqref="AE32">
    <cfRule type="cellIs" dxfId="4" priority="872" operator="lessThanOrEqual">
      <formula>G32</formula>
    </cfRule>
  </conditionalFormatting>
  <conditionalFormatting sqref="AE33">
    <cfRule type="cellIs" dxfId="4" priority="877" operator="lessThanOrEqual">
      <formula>G33</formula>
    </cfRule>
  </conditionalFormatting>
  <conditionalFormatting sqref="AE34">
    <cfRule type="cellIs" dxfId="4" priority="882" operator="lessThanOrEqual">
      <formula>G34</formula>
    </cfRule>
  </conditionalFormatting>
  <conditionalFormatting sqref="AE35">
    <cfRule type="cellIs" dxfId="4" priority="887" operator="lessThanOrEqual">
      <formula>G35</formula>
    </cfRule>
  </conditionalFormatting>
  <conditionalFormatting sqref="AE36">
    <cfRule type="cellIs" dxfId="4" priority="892" operator="lessThanOrEqual">
      <formula>G36</formula>
    </cfRule>
  </conditionalFormatting>
  <conditionalFormatting sqref="AE38">
    <cfRule type="cellIs" dxfId="4" priority="897" operator="lessThanOrEqual">
      <formula>G38</formula>
    </cfRule>
  </conditionalFormatting>
  <conditionalFormatting sqref="AE40">
    <cfRule type="cellIs" dxfId="4" priority="902" operator="lessThanOrEqual">
      <formula>G40</formula>
    </cfRule>
  </conditionalFormatting>
  <conditionalFormatting sqref="AE42">
    <cfRule type="cellIs" dxfId="4" priority="907" operator="lessThanOrEqual">
      <formula>G42</formula>
    </cfRule>
  </conditionalFormatting>
  <conditionalFormatting sqref="AE43">
    <cfRule type="cellIs" dxfId="4" priority="912" operator="lessThanOrEqual">
      <formula>G43</formula>
    </cfRule>
  </conditionalFormatting>
  <conditionalFormatting sqref="AE7">
    <cfRule type="cellIs" dxfId="4" priority="767" operator="lessThanOrEqual">
      <formula>G7</formula>
    </cfRule>
  </conditionalFormatting>
  <conditionalFormatting sqref="AE8">
    <cfRule type="cellIs" dxfId="4" priority="772" operator="lessThanOrEqual">
      <formula>G8</formula>
    </cfRule>
  </conditionalFormatting>
  <conditionalFormatting sqref="AE9">
    <cfRule type="cellIs" dxfId="4" priority="777" operator="lessThanOrEqual">
      <formula>G9</formula>
    </cfRule>
  </conditionalFormatting>
  <conditionalFormatting sqref="AL11">
    <cfRule type="cellIs" dxfId="1" priority="919" operator="equal">
      <formula>0</formula>
    </cfRule>
    <cfRule type="cellIs" dxfId="2" priority="920" operator="lessThan">
      <formula>E11</formula>
    </cfRule>
  </conditionalFormatting>
  <conditionalFormatting sqref="AL12">
    <cfRule type="cellIs" dxfId="1" priority="924" operator="equal">
      <formula>0</formula>
    </cfRule>
    <cfRule type="cellIs" dxfId="2" priority="925" operator="lessThan">
      <formula>E12</formula>
    </cfRule>
  </conditionalFormatting>
  <conditionalFormatting sqref="AL14">
    <cfRule type="cellIs" dxfId="1" priority="929" operator="equal">
      <formula>0</formula>
    </cfRule>
    <cfRule type="cellIs" dxfId="2" priority="930" operator="lessThan">
      <formula>E14</formula>
    </cfRule>
  </conditionalFormatting>
  <conditionalFormatting sqref="AL15">
    <cfRule type="cellIs" dxfId="1" priority="934" operator="equal">
      <formula>0</formula>
    </cfRule>
    <cfRule type="cellIs" dxfId="2" priority="935" operator="lessThan">
      <formula>E15</formula>
    </cfRule>
  </conditionalFormatting>
  <conditionalFormatting sqref="AL17">
    <cfRule type="cellIs" dxfId="1" priority="939" operator="equal">
      <formula>0</formula>
    </cfRule>
    <cfRule type="cellIs" dxfId="2" priority="940" operator="lessThan">
      <formula>E17</formula>
    </cfRule>
  </conditionalFormatting>
  <conditionalFormatting sqref="AL20">
    <cfRule type="cellIs" dxfId="1" priority="944" operator="equal">
      <formula>0</formula>
    </cfRule>
    <cfRule type="cellIs" dxfId="2" priority="945" operator="lessThan">
      <formula>E20</formula>
    </cfRule>
  </conditionalFormatting>
  <conditionalFormatting sqref="AL23">
    <cfRule type="cellIs" dxfId="1" priority="949" operator="equal">
      <formula>0</formula>
    </cfRule>
    <cfRule type="cellIs" dxfId="2" priority="950" operator="lessThan">
      <formula>E23</formula>
    </cfRule>
  </conditionalFormatting>
  <conditionalFormatting sqref="AL24">
    <cfRule type="cellIs" dxfId="1" priority="954" operator="equal">
      <formula>0</formula>
    </cfRule>
    <cfRule type="cellIs" dxfId="2" priority="955" operator="lessThan">
      <formula>E24</formula>
    </cfRule>
  </conditionalFormatting>
  <conditionalFormatting sqref="AL25">
    <cfRule type="cellIs" dxfId="1" priority="959" operator="equal">
      <formula>0</formula>
    </cfRule>
    <cfRule type="cellIs" dxfId="2" priority="960" operator="lessThan">
      <formula>E25</formula>
    </cfRule>
  </conditionalFormatting>
  <conditionalFormatting sqref="AL31">
    <cfRule type="cellIs" dxfId="1" priority="964" operator="equal">
      <formula>0</formula>
    </cfRule>
    <cfRule type="cellIs" dxfId="2" priority="965" operator="lessThan">
      <formula>E31</formula>
    </cfRule>
  </conditionalFormatting>
  <conditionalFormatting sqref="AL36">
    <cfRule type="cellIs" dxfId="1" priority="969" operator="equal">
      <formula>0</formula>
    </cfRule>
    <cfRule type="cellIs" dxfId="2" priority="970" operator="lessThan">
      <formula>E36</formula>
    </cfRule>
  </conditionalFormatting>
  <conditionalFormatting sqref="AL38">
    <cfRule type="cellIs" dxfId="1" priority="974" operator="equal">
      <formula>0</formula>
    </cfRule>
    <cfRule type="cellIs" dxfId="2" priority="975" operator="lessThan">
      <formula>E38</formula>
    </cfRule>
  </conditionalFormatting>
  <conditionalFormatting sqref="AL9">
    <cfRule type="cellIs" dxfId="1" priority="914" operator="equal">
      <formula>0</formula>
    </cfRule>
    <cfRule type="cellIs" dxfId="2" priority="915" operator="lessThan">
      <formula>E9</formula>
    </cfRule>
  </conditionalFormatting>
  <conditionalFormatting sqref="AM11">
    <cfRule type="cellIs" dxfId="1" priority="921" operator="greaterThan">
      <formula>AL11</formula>
    </cfRule>
  </conditionalFormatting>
  <conditionalFormatting sqref="AM12">
    <cfRule type="cellIs" dxfId="1" priority="926" operator="greaterThan">
      <formula>AL12</formula>
    </cfRule>
  </conditionalFormatting>
  <conditionalFormatting sqref="AM14">
    <cfRule type="cellIs" dxfId="1" priority="931" operator="greaterThan">
      <formula>AL14</formula>
    </cfRule>
  </conditionalFormatting>
  <conditionalFormatting sqref="AM15">
    <cfRule type="cellIs" dxfId="1" priority="936" operator="greaterThan">
      <formula>AL15</formula>
    </cfRule>
  </conditionalFormatting>
  <conditionalFormatting sqref="AM17">
    <cfRule type="cellIs" dxfId="1" priority="941" operator="greaterThan">
      <formula>AL17</formula>
    </cfRule>
  </conditionalFormatting>
  <conditionalFormatting sqref="AM20">
    <cfRule type="cellIs" dxfId="1" priority="946" operator="greaterThan">
      <formula>AL20</formula>
    </cfRule>
  </conditionalFormatting>
  <conditionalFormatting sqref="AM23">
    <cfRule type="cellIs" dxfId="1" priority="951" operator="greaterThan">
      <formula>AL23</formula>
    </cfRule>
  </conditionalFormatting>
  <conditionalFormatting sqref="AM24">
    <cfRule type="cellIs" dxfId="1" priority="956" operator="greaterThan">
      <formula>AL24</formula>
    </cfRule>
  </conditionalFormatting>
  <conditionalFormatting sqref="AM25">
    <cfRule type="cellIs" dxfId="1" priority="961" operator="greaterThan">
      <formula>AL25</formula>
    </cfRule>
  </conditionalFormatting>
  <conditionalFormatting sqref="AM31">
    <cfRule type="cellIs" dxfId="1" priority="966" operator="greaterThan">
      <formula>AL31</formula>
    </cfRule>
  </conditionalFormatting>
  <conditionalFormatting sqref="AM36">
    <cfRule type="cellIs" dxfId="1" priority="971" operator="greaterThan">
      <formula>AL36</formula>
    </cfRule>
  </conditionalFormatting>
  <conditionalFormatting sqref="AM38">
    <cfRule type="cellIs" dxfId="1" priority="976" operator="greaterThan">
      <formula>AL38</formula>
    </cfRule>
  </conditionalFormatting>
  <conditionalFormatting sqref="AM9">
    <cfRule type="cellIs" dxfId="1" priority="916" operator="greaterThan">
      <formula>AL9</formula>
    </cfRule>
  </conditionalFormatting>
  <conditionalFormatting sqref="AN11">
    <cfRule type="cellIs" dxfId="4" priority="923" operator="lessThanOrEqual">
      <formula>F11</formula>
    </cfRule>
  </conditionalFormatting>
  <conditionalFormatting sqref="AN12">
    <cfRule type="cellIs" dxfId="4" priority="928" operator="lessThanOrEqual">
      <formula>F12</formula>
    </cfRule>
  </conditionalFormatting>
  <conditionalFormatting sqref="AN14">
    <cfRule type="cellIs" dxfId="4" priority="933" operator="lessThanOrEqual">
      <formula>F14</formula>
    </cfRule>
  </conditionalFormatting>
  <conditionalFormatting sqref="AN15">
    <cfRule type="cellIs" dxfId="4" priority="938" operator="lessThanOrEqual">
      <formula>F15</formula>
    </cfRule>
  </conditionalFormatting>
  <conditionalFormatting sqref="AN17">
    <cfRule type="cellIs" dxfId="4" priority="943" operator="lessThanOrEqual">
      <formula>F17</formula>
    </cfRule>
  </conditionalFormatting>
  <conditionalFormatting sqref="AN20">
    <cfRule type="cellIs" dxfId="4" priority="948" operator="lessThanOrEqual">
      <formula>F20</formula>
    </cfRule>
  </conditionalFormatting>
  <conditionalFormatting sqref="AN23">
    <cfRule type="cellIs" dxfId="4" priority="953" operator="lessThanOrEqual">
      <formula>F23</formula>
    </cfRule>
  </conditionalFormatting>
  <conditionalFormatting sqref="AN24">
    <cfRule type="cellIs" dxfId="4" priority="958" operator="lessThanOrEqual">
      <formula>F24</formula>
    </cfRule>
  </conditionalFormatting>
  <conditionalFormatting sqref="AN25">
    <cfRule type="cellIs" dxfId="4" priority="963" operator="lessThanOrEqual">
      <formula>F25</formula>
    </cfRule>
  </conditionalFormatting>
  <conditionalFormatting sqref="AN31">
    <cfRule type="cellIs" dxfId="4" priority="968" operator="lessThanOrEqual">
      <formula>F31</formula>
    </cfRule>
  </conditionalFormatting>
  <conditionalFormatting sqref="AN36">
    <cfRule type="cellIs" dxfId="4" priority="973" operator="lessThanOrEqual">
      <formula>F36</formula>
    </cfRule>
  </conditionalFormatting>
  <conditionalFormatting sqref="AN38">
    <cfRule type="cellIs" dxfId="4" priority="978" operator="lessThanOrEqual">
      <formula>F38</formula>
    </cfRule>
  </conditionalFormatting>
  <conditionalFormatting sqref="AN9">
    <cfRule type="cellIs" dxfId="4" priority="918" operator="lessThanOrEqual">
      <formula>F9</formula>
    </cfRule>
  </conditionalFormatting>
  <conditionalFormatting sqref="AO11">
    <cfRule type="cellIs" dxfId="4" priority="922" operator="lessThanOrEqual">
      <formula>G11</formula>
    </cfRule>
  </conditionalFormatting>
  <conditionalFormatting sqref="AO12">
    <cfRule type="cellIs" dxfId="4" priority="927" operator="lessThanOrEqual">
      <formula>G12</formula>
    </cfRule>
  </conditionalFormatting>
  <conditionalFormatting sqref="AO14">
    <cfRule type="cellIs" dxfId="4" priority="932" operator="lessThanOrEqual">
      <formula>G14</formula>
    </cfRule>
  </conditionalFormatting>
  <conditionalFormatting sqref="AO15">
    <cfRule type="cellIs" dxfId="4" priority="937" operator="lessThanOrEqual">
      <formula>G15</formula>
    </cfRule>
  </conditionalFormatting>
  <conditionalFormatting sqref="AO17">
    <cfRule type="cellIs" dxfId="4" priority="942" operator="lessThanOrEqual">
      <formula>G17</formula>
    </cfRule>
  </conditionalFormatting>
  <conditionalFormatting sqref="AO20">
    <cfRule type="cellIs" dxfId="4" priority="947" operator="lessThanOrEqual">
      <formula>G20</formula>
    </cfRule>
  </conditionalFormatting>
  <conditionalFormatting sqref="AO23">
    <cfRule type="cellIs" dxfId="4" priority="952" operator="lessThanOrEqual">
      <formula>G23</formula>
    </cfRule>
  </conditionalFormatting>
  <conditionalFormatting sqref="AO24">
    <cfRule type="cellIs" dxfId="4" priority="957" operator="lessThanOrEqual">
      <formula>G24</formula>
    </cfRule>
  </conditionalFormatting>
  <conditionalFormatting sqref="AO25">
    <cfRule type="cellIs" dxfId="4" priority="962" operator="lessThanOrEqual">
      <formula>G25</formula>
    </cfRule>
  </conditionalFormatting>
  <conditionalFormatting sqref="AO31">
    <cfRule type="cellIs" dxfId="4" priority="967" operator="lessThanOrEqual">
      <formula>G31</formula>
    </cfRule>
  </conditionalFormatting>
  <conditionalFormatting sqref="AO36">
    <cfRule type="cellIs" dxfId="4" priority="972" operator="lessThanOrEqual">
      <formula>G36</formula>
    </cfRule>
  </conditionalFormatting>
  <conditionalFormatting sqref="AO38">
    <cfRule type="cellIs" dxfId="4" priority="977" operator="lessThanOrEqual">
      <formula>G38</formula>
    </cfRule>
  </conditionalFormatting>
  <conditionalFormatting sqref="AO9">
    <cfRule type="cellIs" dxfId="4" priority="917" operator="lessThanOrEqual">
      <formula>G9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2">
    <cfRule type="expression" dxfId="0" priority="61">
      <formula>AND(ISBLANK(D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3">
    <cfRule type="expression" dxfId="0" priority="65">
      <formula>AND(ISBLANK(D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4">
    <cfRule type="expression" dxfId="0" priority="69">
      <formula>AND(ISBLANK(D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5">
    <cfRule type="expression" dxfId="0" priority="73">
      <formula>AND(ISBLANK(D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6">
    <cfRule type="expression" dxfId="0" priority="77">
      <formula>AND(ISBLANK(D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7">
    <cfRule type="expression" dxfId="0" priority="81">
      <formula>AND(ISBLANK(D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8">
    <cfRule type="expression" dxfId="0" priority="85">
      <formula>AND(ISBLANK(D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9">
    <cfRule type="expression" dxfId="0" priority="89">
      <formula>AND(ISBLANK(D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0">
    <cfRule type="expression" dxfId="0" priority="93">
      <formula>AND(ISBLANK(D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1">
    <cfRule type="expression" dxfId="0" priority="97">
      <formula>AND(ISBLANK(D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2">
    <cfRule type="expression" dxfId="0" priority="101">
      <formula>AND(ISBLANK(D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3">
    <cfRule type="expression" dxfId="0" priority="105">
      <formula>AND(ISBLANK(D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4">
    <cfRule type="expression" dxfId="0" priority="109">
      <formula>AND(ISBLANK(D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5">
    <cfRule type="expression" dxfId="0" priority="113">
      <formula>AND(ISBLANK(D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6">
    <cfRule type="expression" dxfId="0" priority="117">
      <formula>AND(ISBLANK(D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7">
    <cfRule type="expression" dxfId="0" priority="121">
      <formula>AND(ISBLANK(D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8">
    <cfRule type="expression" dxfId="0" priority="125">
      <formula>AND(ISBLANK(D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39">
    <cfRule type="expression" dxfId="0" priority="129">
      <formula>AND(ISBLANK(D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40">
    <cfRule type="expression" dxfId="0" priority="133">
      <formula>AND(ISBLANK(D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41">
    <cfRule type="expression" dxfId="0" priority="137">
      <formula>AND(ISBLANK(D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42">
    <cfRule type="expression" dxfId="0" priority="141">
      <formula>AND(ISBLANK(D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43">
    <cfRule type="expression" dxfId="0" priority="145">
      <formula>AND(ISBLANK(D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H11">
    <cfRule type="cellIs" dxfId="1" priority="164" operator="equal">
      <formula>0</formula>
    </cfRule>
    <cfRule type="cellIs" dxfId="2" priority="165" operator="lessThan">
      <formula>E11</formula>
    </cfRule>
  </conditionalFormatting>
  <conditionalFormatting sqref="H12">
    <cfRule type="cellIs" dxfId="1" priority="169" operator="equal">
      <formula>0</formula>
    </cfRule>
    <cfRule type="cellIs" dxfId="2" priority="170" operator="lessThan">
      <formula>E12</formula>
    </cfRule>
  </conditionalFormatting>
  <conditionalFormatting sqref="H13">
    <cfRule type="cellIs" dxfId="1" priority="174" operator="equal">
      <formula>0</formula>
    </cfRule>
    <cfRule type="cellIs" dxfId="2" priority="175" operator="lessThan">
      <formula>E13</formula>
    </cfRule>
  </conditionalFormatting>
  <conditionalFormatting sqref="H14">
    <cfRule type="cellIs" dxfId="1" priority="179" operator="equal">
      <formula>0</formula>
    </cfRule>
    <cfRule type="cellIs" dxfId="2" priority="180" operator="lessThan">
      <formula>E14</formula>
    </cfRule>
  </conditionalFormatting>
  <conditionalFormatting sqref="H15">
    <cfRule type="cellIs" dxfId="1" priority="184" operator="equal">
      <formula>0</formula>
    </cfRule>
    <cfRule type="cellIs" dxfId="2" priority="185" operator="lessThan">
      <formula>E15</formula>
    </cfRule>
  </conditionalFormatting>
  <conditionalFormatting sqref="H16">
    <cfRule type="cellIs" dxfId="1" priority="189" operator="equal">
      <formula>0</formula>
    </cfRule>
    <cfRule type="cellIs" dxfId="2" priority="190" operator="lessThan">
      <formula>E16</formula>
    </cfRule>
  </conditionalFormatting>
  <conditionalFormatting sqref="H18">
    <cfRule type="cellIs" dxfId="1" priority="194" operator="equal">
      <formula>0</formula>
    </cfRule>
    <cfRule type="cellIs" dxfId="2" priority="195" operator="lessThan">
      <formula>E18</formula>
    </cfRule>
  </conditionalFormatting>
  <conditionalFormatting sqref="H20">
    <cfRule type="cellIs" dxfId="1" priority="199" operator="equal">
      <formula>0</formula>
    </cfRule>
    <cfRule type="cellIs" dxfId="2" priority="200" operator="lessThan">
      <formula>E20</formula>
    </cfRule>
  </conditionalFormatting>
  <conditionalFormatting sqref="H22">
    <cfRule type="cellIs" dxfId="1" priority="204" operator="equal">
      <formula>0</formula>
    </cfRule>
    <cfRule type="cellIs" dxfId="2" priority="205" operator="lessThan">
      <formula>E22</formula>
    </cfRule>
  </conditionalFormatting>
  <conditionalFormatting sqref="H23">
    <cfRule type="cellIs" dxfId="1" priority="209" operator="equal">
      <formula>0</formula>
    </cfRule>
    <cfRule type="cellIs" dxfId="2" priority="210" operator="lessThan">
      <formula>E23</formula>
    </cfRule>
  </conditionalFormatting>
  <conditionalFormatting sqref="H24">
    <cfRule type="cellIs" dxfId="1" priority="214" operator="equal">
      <formula>0</formula>
    </cfRule>
    <cfRule type="cellIs" dxfId="2" priority="215" operator="lessThan">
      <formula>E24</formula>
    </cfRule>
  </conditionalFormatting>
  <conditionalFormatting sqref="H25">
    <cfRule type="cellIs" dxfId="1" priority="219" operator="equal">
      <formula>0</formula>
    </cfRule>
    <cfRule type="cellIs" dxfId="2" priority="220" operator="lessThan">
      <formula>E25</formula>
    </cfRule>
  </conditionalFormatting>
  <conditionalFormatting sqref="H26">
    <cfRule type="cellIs" dxfId="1" priority="224" operator="equal">
      <formula>0</formula>
    </cfRule>
    <cfRule type="cellIs" dxfId="2" priority="225" operator="lessThan">
      <formula>E26</formula>
    </cfRule>
  </conditionalFormatting>
  <conditionalFormatting sqref="H27">
    <cfRule type="cellIs" dxfId="1" priority="229" operator="equal">
      <formula>0</formula>
    </cfRule>
    <cfRule type="cellIs" dxfId="2" priority="230" operator="lessThan">
      <formula>E27</formula>
    </cfRule>
  </conditionalFormatting>
  <conditionalFormatting sqref="H28">
    <cfRule type="cellIs" dxfId="1" priority="234" operator="equal">
      <formula>0</formula>
    </cfRule>
    <cfRule type="cellIs" dxfId="2" priority="235" operator="lessThan">
      <formula>E28</formula>
    </cfRule>
  </conditionalFormatting>
  <conditionalFormatting sqref="H30">
    <cfRule type="cellIs" dxfId="1" priority="239" operator="equal">
      <formula>0</formula>
    </cfRule>
    <cfRule type="cellIs" dxfId="2" priority="240" operator="lessThan">
      <formula>E30</formula>
    </cfRule>
  </conditionalFormatting>
  <conditionalFormatting sqref="H31">
    <cfRule type="cellIs" dxfId="1" priority="244" operator="equal">
      <formula>0</formula>
    </cfRule>
    <cfRule type="cellIs" dxfId="2" priority="245" operator="lessThan">
      <formula>E31</formula>
    </cfRule>
  </conditionalFormatting>
  <conditionalFormatting sqref="H32">
    <cfRule type="cellIs" dxfId="1" priority="249" operator="equal">
      <formula>0</formula>
    </cfRule>
    <cfRule type="cellIs" dxfId="2" priority="250" operator="lessThan">
      <formula>E32</formula>
    </cfRule>
  </conditionalFormatting>
  <conditionalFormatting sqref="H36">
    <cfRule type="cellIs" dxfId="1" priority="254" operator="equal">
      <formula>0</formula>
    </cfRule>
    <cfRule type="cellIs" dxfId="2" priority="255" operator="lessThan">
      <formula>E36</formula>
    </cfRule>
  </conditionalFormatting>
  <conditionalFormatting sqref="H37">
    <cfRule type="cellIs" dxfId="1" priority="259" operator="equal">
      <formula>0</formula>
    </cfRule>
    <cfRule type="cellIs" dxfId="2" priority="260" operator="lessThan">
      <formula>E37</formula>
    </cfRule>
  </conditionalFormatting>
  <conditionalFormatting sqref="H38">
    <cfRule type="cellIs" dxfId="1" priority="264" operator="equal">
      <formula>0</formula>
    </cfRule>
    <cfRule type="cellIs" dxfId="2" priority="265" operator="lessThan">
      <formula>E38</formula>
    </cfRule>
  </conditionalFormatting>
  <conditionalFormatting sqref="H39">
    <cfRule type="cellIs" dxfId="1" priority="269" operator="equal">
      <formula>0</formula>
    </cfRule>
    <cfRule type="cellIs" dxfId="2" priority="270" operator="lessThan">
      <formula>E39</formula>
    </cfRule>
  </conditionalFormatting>
  <conditionalFormatting sqref="H40">
    <cfRule type="cellIs" dxfId="1" priority="274" operator="equal">
      <formula>0</formula>
    </cfRule>
    <cfRule type="cellIs" dxfId="2" priority="275" operator="lessThan">
      <formula>E40</formula>
    </cfRule>
  </conditionalFormatting>
  <conditionalFormatting sqref="H42">
    <cfRule type="cellIs" dxfId="1" priority="279" operator="equal">
      <formula>0</formula>
    </cfRule>
    <cfRule type="cellIs" dxfId="2" priority="280" operator="lessThan">
      <formula>E42</formula>
    </cfRule>
  </conditionalFormatting>
  <conditionalFormatting sqref="H43">
    <cfRule type="cellIs" dxfId="1" priority="284" operator="equal">
      <formula>0</formula>
    </cfRule>
    <cfRule type="cellIs" dxfId="2" priority="285" operator="lessThan">
      <formula>E43</formula>
    </cfRule>
  </conditionalFormatting>
  <conditionalFormatting sqref="H7">
    <cfRule type="cellIs" dxfId="1" priority="149" operator="equal">
      <formula>0</formula>
    </cfRule>
    <cfRule type="cellIs" dxfId="2" priority="150" operator="lessThan">
      <formula>E7</formula>
    </cfRule>
  </conditionalFormatting>
  <conditionalFormatting sqref="H8">
    <cfRule type="cellIs" dxfId="1" priority="154" operator="equal">
      <formula>0</formula>
    </cfRule>
    <cfRule type="cellIs" dxfId="2" priority="155" operator="lessThan">
      <formula>E8</formula>
    </cfRule>
  </conditionalFormatting>
  <conditionalFormatting sqref="H9">
    <cfRule type="cellIs" dxfId="1" priority="159" operator="equal">
      <formula>0</formula>
    </cfRule>
    <cfRule type="cellIs" dxfId="2" priority="160" operator="lessThan">
      <formula>E9</formula>
    </cfRule>
  </conditionalFormatting>
  <conditionalFormatting sqref="I11">
    <cfRule type="cellIs" dxfId="1" priority="166" operator="greaterThan">
      <formula>H11</formula>
    </cfRule>
  </conditionalFormatting>
  <conditionalFormatting sqref="I12">
    <cfRule type="cellIs" dxfId="1" priority="171" operator="greaterThan">
      <formula>H12</formula>
    </cfRule>
  </conditionalFormatting>
  <conditionalFormatting sqref="I13">
    <cfRule type="cellIs" dxfId="1" priority="176" operator="greaterThan">
      <formula>H13</formula>
    </cfRule>
  </conditionalFormatting>
  <conditionalFormatting sqref="I14">
    <cfRule type="cellIs" dxfId="1" priority="181" operator="greaterThan">
      <formula>H14</formula>
    </cfRule>
  </conditionalFormatting>
  <conditionalFormatting sqref="I15">
    <cfRule type="cellIs" dxfId="1" priority="186" operator="greaterThan">
      <formula>H15</formula>
    </cfRule>
  </conditionalFormatting>
  <conditionalFormatting sqref="I16">
    <cfRule type="cellIs" dxfId="1" priority="191" operator="greaterThan">
      <formula>H16</formula>
    </cfRule>
  </conditionalFormatting>
  <conditionalFormatting sqref="I18">
    <cfRule type="cellIs" dxfId="1" priority="196" operator="greaterThan">
      <formula>H18</formula>
    </cfRule>
  </conditionalFormatting>
  <conditionalFormatting sqref="I20">
    <cfRule type="cellIs" dxfId="1" priority="201" operator="greaterThan">
      <formula>H20</formula>
    </cfRule>
  </conditionalFormatting>
  <conditionalFormatting sqref="I22">
    <cfRule type="cellIs" dxfId="1" priority="206" operator="greaterThan">
      <formula>H22</formula>
    </cfRule>
  </conditionalFormatting>
  <conditionalFormatting sqref="I23">
    <cfRule type="cellIs" dxfId="1" priority="211" operator="greaterThan">
      <formula>H23</formula>
    </cfRule>
  </conditionalFormatting>
  <conditionalFormatting sqref="I24">
    <cfRule type="cellIs" dxfId="1" priority="216" operator="greaterThan">
      <formula>H24</formula>
    </cfRule>
  </conditionalFormatting>
  <conditionalFormatting sqref="I25">
    <cfRule type="cellIs" dxfId="1" priority="221" operator="greaterThan">
      <formula>H25</formula>
    </cfRule>
  </conditionalFormatting>
  <conditionalFormatting sqref="I26">
    <cfRule type="cellIs" dxfId="1" priority="226" operator="greaterThan">
      <formula>H26</formula>
    </cfRule>
  </conditionalFormatting>
  <conditionalFormatting sqref="I27">
    <cfRule type="cellIs" dxfId="1" priority="231" operator="greaterThan">
      <formula>H27</formula>
    </cfRule>
  </conditionalFormatting>
  <conditionalFormatting sqref="I28">
    <cfRule type="cellIs" dxfId="1" priority="236" operator="greaterThan">
      <formula>H28</formula>
    </cfRule>
  </conditionalFormatting>
  <conditionalFormatting sqref="I30">
    <cfRule type="cellIs" dxfId="1" priority="241" operator="greaterThan">
      <formula>H30</formula>
    </cfRule>
  </conditionalFormatting>
  <conditionalFormatting sqref="I31">
    <cfRule type="cellIs" dxfId="1" priority="246" operator="greaterThan">
      <formula>H31</formula>
    </cfRule>
  </conditionalFormatting>
  <conditionalFormatting sqref="I32">
    <cfRule type="cellIs" dxfId="1" priority="251" operator="greaterThan">
      <formula>H32</formula>
    </cfRule>
  </conditionalFormatting>
  <conditionalFormatting sqref="I36">
    <cfRule type="cellIs" dxfId="1" priority="256" operator="greaterThan">
      <formula>H36</formula>
    </cfRule>
  </conditionalFormatting>
  <conditionalFormatting sqref="I37">
    <cfRule type="cellIs" dxfId="1" priority="261" operator="greaterThan">
      <formula>H37</formula>
    </cfRule>
  </conditionalFormatting>
  <conditionalFormatting sqref="I38">
    <cfRule type="cellIs" dxfId="1" priority="266" operator="greaterThan">
      <formula>H38</formula>
    </cfRule>
  </conditionalFormatting>
  <conditionalFormatting sqref="I39">
    <cfRule type="cellIs" dxfId="1" priority="271" operator="greaterThan">
      <formula>H39</formula>
    </cfRule>
  </conditionalFormatting>
  <conditionalFormatting sqref="I40">
    <cfRule type="cellIs" dxfId="1" priority="276" operator="greaterThan">
      <formula>H40</formula>
    </cfRule>
  </conditionalFormatting>
  <conditionalFormatting sqref="I42">
    <cfRule type="cellIs" dxfId="1" priority="281" operator="greaterThan">
      <formula>H42</formula>
    </cfRule>
  </conditionalFormatting>
  <conditionalFormatting sqref="I43">
    <cfRule type="cellIs" dxfId="1" priority="286" operator="greaterThan">
      <formula>H43</formula>
    </cfRule>
  </conditionalFormatting>
  <conditionalFormatting sqref="I7">
    <cfRule type="cellIs" dxfId="1" priority="151" operator="greaterThan">
      <formula>H7</formula>
    </cfRule>
  </conditionalFormatting>
  <conditionalFormatting sqref="I8">
    <cfRule type="cellIs" dxfId="1" priority="156" operator="greaterThan">
      <formula>H8</formula>
    </cfRule>
  </conditionalFormatting>
  <conditionalFormatting sqref="I9">
    <cfRule type="cellIs" dxfId="1" priority="161" operator="greaterThan">
      <formula>H9</formula>
    </cfRule>
  </conditionalFormatting>
  <conditionalFormatting sqref="J11">
    <cfRule type="cellIs" dxfId="4" priority="168" operator="lessThanOrEqual">
      <formula>F11</formula>
    </cfRule>
  </conditionalFormatting>
  <conditionalFormatting sqref="J12">
    <cfRule type="cellIs" dxfId="4" priority="173" operator="lessThanOrEqual">
      <formula>F12</formula>
    </cfRule>
  </conditionalFormatting>
  <conditionalFormatting sqref="J13">
    <cfRule type="cellIs" dxfId="4" priority="178" operator="lessThanOrEqual">
      <formula>F13</formula>
    </cfRule>
  </conditionalFormatting>
  <conditionalFormatting sqref="J14">
    <cfRule type="cellIs" dxfId="4" priority="183" operator="lessThanOrEqual">
      <formula>F14</formula>
    </cfRule>
  </conditionalFormatting>
  <conditionalFormatting sqref="J15">
    <cfRule type="cellIs" dxfId="4" priority="188" operator="lessThanOrEqual">
      <formula>F15</formula>
    </cfRule>
  </conditionalFormatting>
  <conditionalFormatting sqref="J16">
    <cfRule type="cellIs" dxfId="4" priority="193" operator="lessThanOrEqual">
      <formula>F16</formula>
    </cfRule>
  </conditionalFormatting>
  <conditionalFormatting sqref="J18">
    <cfRule type="cellIs" dxfId="4" priority="198" operator="lessThanOrEqual">
      <formula>F18</formula>
    </cfRule>
  </conditionalFormatting>
  <conditionalFormatting sqref="J20">
    <cfRule type="cellIs" dxfId="4" priority="203" operator="lessThanOrEqual">
      <formula>F20</formula>
    </cfRule>
  </conditionalFormatting>
  <conditionalFormatting sqref="J22">
    <cfRule type="cellIs" dxfId="4" priority="208" operator="lessThanOrEqual">
      <formula>F22</formula>
    </cfRule>
  </conditionalFormatting>
  <conditionalFormatting sqref="J23">
    <cfRule type="cellIs" dxfId="4" priority="213" operator="lessThanOrEqual">
      <formula>F23</formula>
    </cfRule>
  </conditionalFormatting>
  <conditionalFormatting sqref="J24">
    <cfRule type="cellIs" dxfId="4" priority="218" operator="lessThanOrEqual">
      <formula>F24</formula>
    </cfRule>
  </conditionalFormatting>
  <conditionalFormatting sqref="J25">
    <cfRule type="cellIs" dxfId="4" priority="223" operator="lessThanOrEqual">
      <formula>F25</formula>
    </cfRule>
  </conditionalFormatting>
  <conditionalFormatting sqref="J26">
    <cfRule type="cellIs" dxfId="4" priority="228" operator="lessThanOrEqual">
      <formula>F26</formula>
    </cfRule>
  </conditionalFormatting>
  <conditionalFormatting sqref="J27">
    <cfRule type="cellIs" dxfId="4" priority="233" operator="lessThanOrEqual">
      <formula>F27</formula>
    </cfRule>
  </conditionalFormatting>
  <conditionalFormatting sqref="J28">
    <cfRule type="cellIs" dxfId="4" priority="238" operator="lessThanOrEqual">
      <formula>F28</formula>
    </cfRule>
  </conditionalFormatting>
  <conditionalFormatting sqref="J30">
    <cfRule type="cellIs" dxfId="4" priority="243" operator="lessThanOrEqual">
      <formula>F30</formula>
    </cfRule>
  </conditionalFormatting>
  <conditionalFormatting sqref="J31">
    <cfRule type="cellIs" dxfId="4" priority="248" operator="lessThanOrEqual">
      <formula>F31</formula>
    </cfRule>
  </conditionalFormatting>
  <conditionalFormatting sqref="J32">
    <cfRule type="cellIs" dxfId="4" priority="253" operator="lessThanOrEqual">
      <formula>F32</formula>
    </cfRule>
  </conditionalFormatting>
  <conditionalFormatting sqref="J36">
    <cfRule type="cellIs" dxfId="4" priority="258" operator="lessThanOrEqual">
      <formula>F36</formula>
    </cfRule>
  </conditionalFormatting>
  <conditionalFormatting sqref="J37">
    <cfRule type="cellIs" dxfId="4" priority="263" operator="lessThanOrEqual">
      <formula>F37</formula>
    </cfRule>
  </conditionalFormatting>
  <conditionalFormatting sqref="J38">
    <cfRule type="cellIs" dxfId="4" priority="268" operator="lessThanOrEqual">
      <formula>F38</formula>
    </cfRule>
  </conditionalFormatting>
  <conditionalFormatting sqref="J39">
    <cfRule type="cellIs" dxfId="4" priority="273" operator="lessThanOrEqual">
      <formula>F39</formula>
    </cfRule>
  </conditionalFormatting>
  <conditionalFormatting sqref="J40">
    <cfRule type="cellIs" dxfId="4" priority="278" operator="lessThanOrEqual">
      <formula>F40</formula>
    </cfRule>
  </conditionalFormatting>
  <conditionalFormatting sqref="J42">
    <cfRule type="cellIs" dxfId="4" priority="283" operator="lessThanOrEqual">
      <formula>F42</formula>
    </cfRule>
  </conditionalFormatting>
  <conditionalFormatting sqref="J43">
    <cfRule type="cellIs" dxfId="4" priority="288" operator="lessThanOrEqual">
      <formula>F43</formula>
    </cfRule>
  </conditionalFormatting>
  <conditionalFormatting sqref="J7">
    <cfRule type="cellIs" dxfId="4" priority="153" operator="lessThanOrEqual">
      <formula>F7</formula>
    </cfRule>
  </conditionalFormatting>
  <conditionalFormatting sqref="J8">
    <cfRule type="cellIs" dxfId="4" priority="158" operator="lessThanOrEqual">
      <formula>F8</formula>
    </cfRule>
  </conditionalFormatting>
  <conditionalFormatting sqref="J9">
    <cfRule type="cellIs" dxfId="4" priority="163" operator="lessThanOrEqual">
      <formula>F9</formula>
    </cfRule>
  </conditionalFormatting>
  <conditionalFormatting sqref="K11">
    <cfRule type="cellIs" dxfId="4" priority="167" operator="lessThanOrEqual">
      <formula>G11</formula>
    </cfRule>
  </conditionalFormatting>
  <conditionalFormatting sqref="K12">
    <cfRule type="cellIs" dxfId="4" priority="172" operator="lessThanOrEqual">
      <formula>G12</formula>
    </cfRule>
  </conditionalFormatting>
  <conditionalFormatting sqref="K13">
    <cfRule type="cellIs" dxfId="4" priority="177" operator="lessThanOrEqual">
      <formula>G13</formula>
    </cfRule>
  </conditionalFormatting>
  <conditionalFormatting sqref="K14">
    <cfRule type="cellIs" dxfId="4" priority="182" operator="lessThanOrEqual">
      <formula>G14</formula>
    </cfRule>
  </conditionalFormatting>
  <conditionalFormatting sqref="K15">
    <cfRule type="cellIs" dxfId="4" priority="187" operator="lessThanOrEqual">
      <formula>G15</formula>
    </cfRule>
  </conditionalFormatting>
  <conditionalFormatting sqref="K16">
    <cfRule type="cellIs" dxfId="4" priority="192" operator="lessThanOrEqual">
      <formula>G16</formula>
    </cfRule>
  </conditionalFormatting>
  <conditionalFormatting sqref="K18">
    <cfRule type="cellIs" dxfId="4" priority="197" operator="lessThanOrEqual">
      <formula>G18</formula>
    </cfRule>
  </conditionalFormatting>
  <conditionalFormatting sqref="K20">
    <cfRule type="cellIs" dxfId="4" priority="202" operator="lessThanOrEqual">
      <formula>G20</formula>
    </cfRule>
  </conditionalFormatting>
  <conditionalFormatting sqref="K22">
    <cfRule type="cellIs" dxfId="4" priority="207" operator="lessThanOrEqual">
      <formula>G22</formula>
    </cfRule>
  </conditionalFormatting>
  <conditionalFormatting sqref="K23">
    <cfRule type="cellIs" dxfId="4" priority="212" operator="lessThanOrEqual">
      <formula>G23</formula>
    </cfRule>
  </conditionalFormatting>
  <conditionalFormatting sqref="K24">
    <cfRule type="cellIs" dxfId="4" priority="217" operator="lessThanOrEqual">
      <formula>G24</formula>
    </cfRule>
  </conditionalFormatting>
  <conditionalFormatting sqref="K25">
    <cfRule type="cellIs" dxfId="4" priority="222" operator="lessThanOrEqual">
      <formula>G25</formula>
    </cfRule>
  </conditionalFormatting>
  <conditionalFormatting sqref="K26">
    <cfRule type="cellIs" dxfId="4" priority="227" operator="lessThanOrEqual">
      <formula>G26</formula>
    </cfRule>
  </conditionalFormatting>
  <conditionalFormatting sqref="K27">
    <cfRule type="cellIs" dxfId="4" priority="232" operator="lessThanOrEqual">
      <formula>G27</formula>
    </cfRule>
  </conditionalFormatting>
  <conditionalFormatting sqref="K28">
    <cfRule type="cellIs" dxfId="4" priority="237" operator="lessThanOrEqual">
      <formula>G28</formula>
    </cfRule>
  </conditionalFormatting>
  <conditionalFormatting sqref="K30">
    <cfRule type="cellIs" dxfId="4" priority="242" operator="lessThanOrEqual">
      <formula>G30</formula>
    </cfRule>
  </conditionalFormatting>
  <conditionalFormatting sqref="K31">
    <cfRule type="cellIs" dxfId="4" priority="247" operator="lessThanOrEqual">
      <formula>G31</formula>
    </cfRule>
  </conditionalFormatting>
  <conditionalFormatting sqref="K32">
    <cfRule type="cellIs" dxfId="4" priority="252" operator="lessThanOrEqual">
      <formula>G32</formula>
    </cfRule>
  </conditionalFormatting>
  <conditionalFormatting sqref="K36">
    <cfRule type="cellIs" dxfId="4" priority="257" operator="lessThanOrEqual">
      <formula>G36</formula>
    </cfRule>
  </conditionalFormatting>
  <conditionalFormatting sqref="K37">
    <cfRule type="cellIs" dxfId="4" priority="262" operator="lessThanOrEqual">
      <formula>G37</formula>
    </cfRule>
  </conditionalFormatting>
  <conditionalFormatting sqref="K38">
    <cfRule type="cellIs" dxfId="4" priority="267" operator="lessThanOrEqual">
      <formula>G38</formula>
    </cfRule>
  </conditionalFormatting>
  <conditionalFormatting sqref="K39">
    <cfRule type="cellIs" dxfId="4" priority="272" operator="lessThanOrEqual">
      <formula>G39</formula>
    </cfRule>
  </conditionalFormatting>
  <conditionalFormatting sqref="K40">
    <cfRule type="cellIs" dxfId="4" priority="277" operator="lessThanOrEqual">
      <formula>G40</formula>
    </cfRule>
  </conditionalFormatting>
  <conditionalFormatting sqref="K42">
    <cfRule type="cellIs" dxfId="4" priority="282" operator="lessThanOrEqual">
      <formula>G42</formula>
    </cfRule>
  </conditionalFormatting>
  <conditionalFormatting sqref="K43">
    <cfRule type="cellIs" dxfId="4" priority="287" operator="lessThanOrEqual">
      <formula>G43</formula>
    </cfRule>
  </conditionalFormatting>
  <conditionalFormatting sqref="K7">
    <cfRule type="cellIs" dxfId="4" priority="152" operator="lessThanOrEqual">
      <formula>G7</formula>
    </cfRule>
  </conditionalFormatting>
  <conditionalFormatting sqref="K8">
    <cfRule type="cellIs" dxfId="4" priority="157" operator="lessThanOrEqual">
      <formula>G8</formula>
    </cfRule>
  </conditionalFormatting>
  <conditionalFormatting sqref="K9">
    <cfRule type="cellIs" dxfId="4" priority="162" operator="lessThanOrEqual">
      <formula>G9</formula>
    </cfRule>
  </conditionalFormatting>
  <conditionalFormatting sqref="M10">
    <cfRule type="cellIs" dxfId="1" priority="304" operator="equal">
      <formula>0</formula>
    </cfRule>
    <cfRule type="cellIs" dxfId="2" priority="305" operator="lessThan">
      <formula>E10</formula>
    </cfRule>
  </conditionalFormatting>
  <conditionalFormatting sqref="M11">
    <cfRule type="cellIs" dxfId="1" priority="309" operator="equal">
      <formula>0</formula>
    </cfRule>
    <cfRule type="cellIs" dxfId="2" priority="310" operator="lessThan">
      <formula>E11</formula>
    </cfRule>
  </conditionalFormatting>
  <conditionalFormatting sqref="M12">
    <cfRule type="cellIs" dxfId="1" priority="314" operator="equal">
      <formula>0</formula>
    </cfRule>
    <cfRule type="cellIs" dxfId="2" priority="315" operator="lessThan">
      <formula>E12</formula>
    </cfRule>
  </conditionalFormatting>
  <conditionalFormatting sqref="M13">
    <cfRule type="cellIs" dxfId="1" priority="319" operator="equal">
      <formula>0</formula>
    </cfRule>
    <cfRule type="cellIs" dxfId="2" priority="320" operator="lessThan">
      <formula>E13</formula>
    </cfRule>
  </conditionalFormatting>
  <conditionalFormatting sqref="M14">
    <cfRule type="cellIs" dxfId="1" priority="324" operator="equal">
      <formula>0</formula>
    </cfRule>
    <cfRule type="cellIs" dxfId="2" priority="325" operator="lessThan">
      <formula>E14</formula>
    </cfRule>
  </conditionalFormatting>
  <conditionalFormatting sqref="M15">
    <cfRule type="cellIs" dxfId="1" priority="329" operator="equal">
      <formula>0</formula>
    </cfRule>
    <cfRule type="cellIs" dxfId="2" priority="330" operator="lessThan">
      <formula>E15</formula>
    </cfRule>
  </conditionalFormatting>
  <conditionalFormatting sqref="M16">
    <cfRule type="cellIs" dxfId="1" priority="334" operator="equal">
      <formula>0</formula>
    </cfRule>
    <cfRule type="cellIs" dxfId="2" priority="335" operator="lessThan">
      <formula>E16</formula>
    </cfRule>
  </conditionalFormatting>
  <conditionalFormatting sqref="M17">
    <cfRule type="cellIs" dxfId="1" priority="339" operator="equal">
      <formula>0</formula>
    </cfRule>
    <cfRule type="cellIs" dxfId="2" priority="340" operator="lessThan">
      <formula>E17</formula>
    </cfRule>
  </conditionalFormatting>
  <conditionalFormatting sqref="M18">
    <cfRule type="cellIs" dxfId="1" priority="344" operator="equal">
      <formula>0</formula>
    </cfRule>
    <cfRule type="cellIs" dxfId="2" priority="345" operator="lessThan">
      <formula>E18</formula>
    </cfRule>
  </conditionalFormatting>
  <conditionalFormatting sqref="M19">
    <cfRule type="cellIs" dxfId="1" priority="349" operator="equal">
      <formula>0</formula>
    </cfRule>
    <cfRule type="cellIs" dxfId="2" priority="350" operator="lessThan">
      <formula>E19</formula>
    </cfRule>
  </conditionalFormatting>
  <conditionalFormatting sqref="M20">
    <cfRule type="cellIs" dxfId="1" priority="354" operator="equal">
      <formula>0</formula>
    </cfRule>
    <cfRule type="cellIs" dxfId="2" priority="355" operator="lessThan">
      <formula>E20</formula>
    </cfRule>
  </conditionalFormatting>
  <conditionalFormatting sqref="M21">
    <cfRule type="cellIs" dxfId="1" priority="359" operator="equal">
      <formula>0</formula>
    </cfRule>
    <cfRule type="cellIs" dxfId="2" priority="360" operator="lessThan">
      <formula>E21</formula>
    </cfRule>
  </conditionalFormatting>
  <conditionalFormatting sqref="M22">
    <cfRule type="cellIs" dxfId="1" priority="364" operator="equal">
      <formula>0</formula>
    </cfRule>
    <cfRule type="cellIs" dxfId="2" priority="365" operator="lessThan">
      <formula>E22</formula>
    </cfRule>
  </conditionalFormatting>
  <conditionalFormatting sqref="M23">
    <cfRule type="cellIs" dxfId="1" priority="369" operator="equal">
      <formula>0</formula>
    </cfRule>
    <cfRule type="cellIs" dxfId="2" priority="370" operator="lessThan">
      <formula>E23</formula>
    </cfRule>
  </conditionalFormatting>
  <conditionalFormatting sqref="M24">
    <cfRule type="cellIs" dxfId="1" priority="374" operator="equal">
      <formula>0</formula>
    </cfRule>
    <cfRule type="cellIs" dxfId="2" priority="375" operator="lessThan">
      <formula>E24</formula>
    </cfRule>
  </conditionalFormatting>
  <conditionalFormatting sqref="M25">
    <cfRule type="cellIs" dxfId="1" priority="379" operator="equal">
      <formula>0</formula>
    </cfRule>
    <cfRule type="cellIs" dxfId="2" priority="380" operator="lessThan">
      <formula>E25</formula>
    </cfRule>
  </conditionalFormatting>
  <conditionalFormatting sqref="M26">
    <cfRule type="cellIs" dxfId="1" priority="384" operator="equal">
      <formula>0</formula>
    </cfRule>
    <cfRule type="cellIs" dxfId="2" priority="385" operator="lessThan">
      <formula>E26</formula>
    </cfRule>
  </conditionalFormatting>
  <conditionalFormatting sqref="M27">
    <cfRule type="cellIs" dxfId="1" priority="389" operator="equal">
      <formula>0</formula>
    </cfRule>
    <cfRule type="cellIs" dxfId="2" priority="390" operator="lessThan">
      <formula>E27</formula>
    </cfRule>
  </conditionalFormatting>
  <conditionalFormatting sqref="M28">
    <cfRule type="cellIs" dxfId="1" priority="394" operator="equal">
      <formula>0</formula>
    </cfRule>
    <cfRule type="cellIs" dxfId="2" priority="395" operator="lessThan">
      <formula>E28</formula>
    </cfRule>
  </conditionalFormatting>
  <conditionalFormatting sqref="M29">
    <cfRule type="cellIs" dxfId="1" priority="399" operator="equal">
      <formula>0</formula>
    </cfRule>
    <cfRule type="cellIs" dxfId="2" priority="400" operator="lessThan">
      <formula>E29</formula>
    </cfRule>
  </conditionalFormatting>
  <conditionalFormatting sqref="M30">
    <cfRule type="cellIs" dxfId="1" priority="404" operator="equal">
      <formula>0</formula>
    </cfRule>
    <cfRule type="cellIs" dxfId="2" priority="405" operator="lessThan">
      <formula>E30</formula>
    </cfRule>
  </conditionalFormatting>
  <conditionalFormatting sqref="M31">
    <cfRule type="cellIs" dxfId="1" priority="409" operator="equal">
      <formula>0</formula>
    </cfRule>
    <cfRule type="cellIs" dxfId="2" priority="410" operator="lessThan">
      <formula>E31</formula>
    </cfRule>
  </conditionalFormatting>
  <conditionalFormatting sqref="M32">
    <cfRule type="cellIs" dxfId="1" priority="414" operator="equal">
      <formula>0</formula>
    </cfRule>
    <cfRule type="cellIs" dxfId="2" priority="415" operator="lessThan">
      <formula>E32</formula>
    </cfRule>
  </conditionalFormatting>
  <conditionalFormatting sqref="M33">
    <cfRule type="cellIs" dxfId="1" priority="419" operator="equal">
      <formula>0</formula>
    </cfRule>
    <cfRule type="cellIs" dxfId="2" priority="420" operator="lessThan">
      <formula>E33</formula>
    </cfRule>
  </conditionalFormatting>
  <conditionalFormatting sqref="M35">
    <cfRule type="cellIs" dxfId="1" priority="424" operator="equal">
      <formula>0</formula>
    </cfRule>
    <cfRule type="cellIs" dxfId="2" priority="425" operator="lessThan">
      <formula>E35</formula>
    </cfRule>
  </conditionalFormatting>
  <conditionalFormatting sqref="M36">
    <cfRule type="cellIs" dxfId="1" priority="429" operator="equal">
      <formula>0</formula>
    </cfRule>
    <cfRule type="cellIs" dxfId="2" priority="430" operator="lessThan">
      <formula>E36</formula>
    </cfRule>
  </conditionalFormatting>
  <conditionalFormatting sqref="M37">
    <cfRule type="cellIs" dxfId="1" priority="434" operator="equal">
      <formula>0</formula>
    </cfRule>
    <cfRule type="cellIs" dxfId="2" priority="435" operator="lessThan">
      <formula>E37</formula>
    </cfRule>
  </conditionalFormatting>
  <conditionalFormatting sqref="M38">
    <cfRule type="cellIs" dxfId="1" priority="439" operator="equal">
      <formula>0</formula>
    </cfRule>
    <cfRule type="cellIs" dxfId="2" priority="440" operator="lessThan">
      <formula>E38</formula>
    </cfRule>
  </conditionalFormatting>
  <conditionalFormatting sqref="M39">
    <cfRule type="cellIs" dxfId="1" priority="444" operator="equal">
      <formula>0</formula>
    </cfRule>
    <cfRule type="cellIs" dxfId="2" priority="445" operator="lessThan">
      <formula>E39</formula>
    </cfRule>
  </conditionalFormatting>
  <conditionalFormatting sqref="M40">
    <cfRule type="cellIs" dxfId="1" priority="449" operator="equal">
      <formula>0</formula>
    </cfRule>
    <cfRule type="cellIs" dxfId="2" priority="450" operator="lessThan">
      <formula>E40</formula>
    </cfRule>
  </conditionalFormatting>
  <conditionalFormatting sqref="M42">
    <cfRule type="cellIs" dxfId="1" priority="454" operator="equal">
      <formula>0</formula>
    </cfRule>
    <cfRule type="cellIs" dxfId="2" priority="455" operator="lessThan">
      <formula>E42</formula>
    </cfRule>
  </conditionalFormatting>
  <conditionalFormatting sqref="M43">
    <cfRule type="cellIs" dxfId="1" priority="459" operator="equal">
      <formula>0</formula>
    </cfRule>
    <cfRule type="cellIs" dxfId="2" priority="460" operator="lessThan">
      <formula>E43</formula>
    </cfRule>
  </conditionalFormatting>
  <conditionalFormatting sqref="M7">
    <cfRule type="cellIs" dxfId="1" priority="289" operator="equal">
      <formula>0</formula>
    </cfRule>
    <cfRule type="cellIs" dxfId="2" priority="290" operator="lessThan">
      <formula>E7</formula>
    </cfRule>
  </conditionalFormatting>
  <conditionalFormatting sqref="M8">
    <cfRule type="cellIs" dxfId="1" priority="294" operator="equal">
      <formula>0</formula>
    </cfRule>
    <cfRule type="cellIs" dxfId="2" priority="295" operator="lessThan">
      <formula>E8</formula>
    </cfRule>
  </conditionalFormatting>
  <conditionalFormatting sqref="M9">
    <cfRule type="cellIs" dxfId="1" priority="299" operator="equal">
      <formula>0</formula>
    </cfRule>
    <cfRule type="cellIs" dxfId="2" priority="300" operator="lessThan">
      <formula>E9</formula>
    </cfRule>
  </conditionalFormatting>
  <conditionalFormatting sqref="N10">
    <cfRule type="cellIs" dxfId="1" priority="306" operator="greaterThan">
      <formula>M10</formula>
    </cfRule>
  </conditionalFormatting>
  <conditionalFormatting sqref="N11">
    <cfRule type="cellIs" dxfId="1" priority="311" operator="greaterThan">
      <formula>M11</formula>
    </cfRule>
  </conditionalFormatting>
  <conditionalFormatting sqref="N12">
    <cfRule type="cellIs" dxfId="1" priority="316" operator="greaterThan">
      <formula>M12</formula>
    </cfRule>
  </conditionalFormatting>
  <conditionalFormatting sqref="N13">
    <cfRule type="cellIs" dxfId="1" priority="321" operator="greaterThan">
      <formula>M13</formula>
    </cfRule>
  </conditionalFormatting>
  <conditionalFormatting sqref="N14">
    <cfRule type="cellIs" dxfId="1" priority="326" operator="greaterThan">
      <formula>M14</formula>
    </cfRule>
  </conditionalFormatting>
  <conditionalFormatting sqref="N15">
    <cfRule type="cellIs" dxfId="1" priority="331" operator="greaterThan">
      <formula>M15</formula>
    </cfRule>
  </conditionalFormatting>
  <conditionalFormatting sqref="N16">
    <cfRule type="cellIs" dxfId="1" priority="336" operator="greaterThan">
      <formula>M16</formula>
    </cfRule>
  </conditionalFormatting>
  <conditionalFormatting sqref="N17">
    <cfRule type="cellIs" dxfId="1" priority="341" operator="greaterThan">
      <formula>M17</formula>
    </cfRule>
  </conditionalFormatting>
  <conditionalFormatting sqref="N18">
    <cfRule type="cellIs" dxfId="1" priority="346" operator="greaterThan">
      <formula>M18</formula>
    </cfRule>
  </conditionalFormatting>
  <conditionalFormatting sqref="N19">
    <cfRule type="cellIs" dxfId="1" priority="351" operator="greaterThan">
      <formula>M19</formula>
    </cfRule>
  </conditionalFormatting>
  <conditionalFormatting sqref="N20">
    <cfRule type="cellIs" dxfId="1" priority="356" operator="greaterThan">
      <formula>M20</formula>
    </cfRule>
  </conditionalFormatting>
  <conditionalFormatting sqref="N21">
    <cfRule type="cellIs" dxfId="1" priority="361" operator="greaterThan">
      <formula>M21</formula>
    </cfRule>
  </conditionalFormatting>
  <conditionalFormatting sqref="N22">
    <cfRule type="cellIs" dxfId="1" priority="366" operator="greaterThan">
      <formula>M22</formula>
    </cfRule>
  </conditionalFormatting>
  <conditionalFormatting sqref="N23">
    <cfRule type="cellIs" dxfId="1" priority="371" operator="greaterThan">
      <formula>M23</formula>
    </cfRule>
  </conditionalFormatting>
  <conditionalFormatting sqref="N24">
    <cfRule type="cellIs" dxfId="1" priority="376" operator="greaterThan">
      <formula>M24</formula>
    </cfRule>
  </conditionalFormatting>
  <conditionalFormatting sqref="N25">
    <cfRule type="cellIs" dxfId="1" priority="381" operator="greaterThan">
      <formula>M25</formula>
    </cfRule>
  </conditionalFormatting>
  <conditionalFormatting sqref="N26">
    <cfRule type="cellIs" dxfId="1" priority="386" operator="greaterThan">
      <formula>M26</formula>
    </cfRule>
  </conditionalFormatting>
  <conditionalFormatting sqref="N27">
    <cfRule type="cellIs" dxfId="1" priority="391" operator="greaterThan">
      <formula>M27</formula>
    </cfRule>
  </conditionalFormatting>
  <conditionalFormatting sqref="N28">
    <cfRule type="cellIs" dxfId="1" priority="396" operator="greaterThan">
      <formula>M28</formula>
    </cfRule>
  </conditionalFormatting>
  <conditionalFormatting sqref="N29">
    <cfRule type="cellIs" dxfId="1" priority="401" operator="greaterThan">
      <formula>M29</formula>
    </cfRule>
  </conditionalFormatting>
  <conditionalFormatting sqref="N30">
    <cfRule type="cellIs" dxfId="1" priority="406" operator="greaterThan">
      <formula>M30</formula>
    </cfRule>
  </conditionalFormatting>
  <conditionalFormatting sqref="N31">
    <cfRule type="cellIs" dxfId="1" priority="411" operator="greaterThan">
      <formula>M31</formula>
    </cfRule>
  </conditionalFormatting>
  <conditionalFormatting sqref="N32">
    <cfRule type="cellIs" dxfId="1" priority="416" operator="greaterThan">
      <formula>M32</formula>
    </cfRule>
  </conditionalFormatting>
  <conditionalFormatting sqref="N33">
    <cfRule type="cellIs" dxfId="1" priority="421" operator="greaterThan">
      <formula>M33</formula>
    </cfRule>
  </conditionalFormatting>
  <conditionalFormatting sqref="N35">
    <cfRule type="cellIs" dxfId="1" priority="426" operator="greaterThan">
      <formula>M35</formula>
    </cfRule>
  </conditionalFormatting>
  <conditionalFormatting sqref="N36">
    <cfRule type="cellIs" dxfId="1" priority="431" operator="greaterThan">
      <formula>M36</formula>
    </cfRule>
  </conditionalFormatting>
  <conditionalFormatting sqref="N37">
    <cfRule type="cellIs" dxfId="1" priority="436" operator="greaterThan">
      <formula>M37</formula>
    </cfRule>
  </conditionalFormatting>
  <conditionalFormatting sqref="N38">
    <cfRule type="cellIs" dxfId="1" priority="441" operator="greaterThan">
      <formula>M38</formula>
    </cfRule>
  </conditionalFormatting>
  <conditionalFormatting sqref="N39">
    <cfRule type="cellIs" dxfId="1" priority="446" operator="greaterThan">
      <formula>M39</formula>
    </cfRule>
  </conditionalFormatting>
  <conditionalFormatting sqref="N40">
    <cfRule type="cellIs" dxfId="1" priority="451" operator="greaterThan">
      <formula>M40</formula>
    </cfRule>
  </conditionalFormatting>
  <conditionalFormatting sqref="N42">
    <cfRule type="cellIs" dxfId="1" priority="456" operator="greaterThan">
      <formula>M42</formula>
    </cfRule>
  </conditionalFormatting>
  <conditionalFormatting sqref="N43">
    <cfRule type="cellIs" dxfId="1" priority="461" operator="greaterThan">
      <formula>M43</formula>
    </cfRule>
  </conditionalFormatting>
  <conditionalFormatting sqref="N7">
    <cfRule type="cellIs" dxfId="1" priority="291" operator="greaterThan">
      <formula>M7</formula>
    </cfRule>
  </conditionalFormatting>
  <conditionalFormatting sqref="N8">
    <cfRule type="cellIs" dxfId="1" priority="296" operator="greaterThan">
      <formula>M8</formula>
    </cfRule>
  </conditionalFormatting>
  <conditionalFormatting sqref="N9">
    <cfRule type="cellIs" dxfId="1" priority="301" operator="greaterThan">
      <formula>M9</formula>
    </cfRule>
  </conditionalFormatting>
  <conditionalFormatting sqref="O10">
    <cfRule type="cellIs" dxfId="4" priority="308" operator="lessThanOrEqual">
      <formula>F10</formula>
    </cfRule>
  </conditionalFormatting>
  <conditionalFormatting sqref="O11">
    <cfRule type="cellIs" dxfId="4" priority="313" operator="lessThanOrEqual">
      <formula>F11</formula>
    </cfRule>
  </conditionalFormatting>
  <conditionalFormatting sqref="O12">
    <cfRule type="cellIs" dxfId="4" priority="318" operator="lessThanOrEqual">
      <formula>F12</formula>
    </cfRule>
  </conditionalFormatting>
  <conditionalFormatting sqref="O13">
    <cfRule type="cellIs" dxfId="4" priority="323" operator="lessThanOrEqual">
      <formula>F13</formula>
    </cfRule>
  </conditionalFormatting>
  <conditionalFormatting sqref="O14">
    <cfRule type="cellIs" dxfId="4" priority="328" operator="lessThanOrEqual">
      <formula>F14</formula>
    </cfRule>
  </conditionalFormatting>
  <conditionalFormatting sqref="O15">
    <cfRule type="cellIs" dxfId="4" priority="333" operator="lessThanOrEqual">
      <formula>F15</formula>
    </cfRule>
  </conditionalFormatting>
  <conditionalFormatting sqref="O16">
    <cfRule type="cellIs" dxfId="4" priority="338" operator="lessThanOrEqual">
      <formula>F16</formula>
    </cfRule>
  </conditionalFormatting>
  <conditionalFormatting sqref="O17">
    <cfRule type="cellIs" dxfId="4" priority="343" operator="lessThanOrEqual">
      <formula>F17</formula>
    </cfRule>
  </conditionalFormatting>
  <conditionalFormatting sqref="O18">
    <cfRule type="cellIs" dxfId="4" priority="348" operator="lessThanOrEqual">
      <formula>F18</formula>
    </cfRule>
  </conditionalFormatting>
  <conditionalFormatting sqref="O19">
    <cfRule type="cellIs" dxfId="4" priority="353" operator="lessThanOrEqual">
      <formula>F19</formula>
    </cfRule>
  </conditionalFormatting>
  <conditionalFormatting sqref="O20">
    <cfRule type="cellIs" dxfId="4" priority="358" operator="lessThanOrEqual">
      <formula>F20</formula>
    </cfRule>
  </conditionalFormatting>
  <conditionalFormatting sqref="O21">
    <cfRule type="cellIs" dxfId="4" priority="363" operator="lessThanOrEqual">
      <formula>F21</formula>
    </cfRule>
  </conditionalFormatting>
  <conditionalFormatting sqref="O22">
    <cfRule type="cellIs" dxfId="4" priority="368" operator="lessThanOrEqual">
      <formula>F22</formula>
    </cfRule>
  </conditionalFormatting>
  <conditionalFormatting sqref="O23">
    <cfRule type="cellIs" dxfId="4" priority="373" operator="lessThanOrEqual">
      <formula>F23</formula>
    </cfRule>
  </conditionalFormatting>
  <conditionalFormatting sqref="O24">
    <cfRule type="cellIs" dxfId="4" priority="378" operator="lessThanOrEqual">
      <formula>F24</formula>
    </cfRule>
  </conditionalFormatting>
  <conditionalFormatting sqref="O25">
    <cfRule type="cellIs" dxfId="4" priority="383" operator="lessThanOrEqual">
      <formula>F25</formula>
    </cfRule>
  </conditionalFormatting>
  <conditionalFormatting sqref="O26">
    <cfRule type="cellIs" dxfId="4" priority="388" operator="lessThanOrEqual">
      <formula>F26</formula>
    </cfRule>
  </conditionalFormatting>
  <conditionalFormatting sqref="O27">
    <cfRule type="cellIs" dxfId="4" priority="393" operator="lessThanOrEqual">
      <formula>F27</formula>
    </cfRule>
  </conditionalFormatting>
  <conditionalFormatting sqref="O28">
    <cfRule type="cellIs" dxfId="4" priority="398" operator="lessThanOrEqual">
      <formula>F28</formula>
    </cfRule>
  </conditionalFormatting>
  <conditionalFormatting sqref="O29">
    <cfRule type="cellIs" dxfId="4" priority="403" operator="lessThanOrEqual">
      <formula>F29</formula>
    </cfRule>
  </conditionalFormatting>
  <conditionalFormatting sqref="O30">
    <cfRule type="cellIs" dxfId="4" priority="408" operator="lessThanOrEqual">
      <formula>F30</formula>
    </cfRule>
  </conditionalFormatting>
  <conditionalFormatting sqref="O31">
    <cfRule type="cellIs" dxfId="4" priority="413" operator="lessThanOrEqual">
      <formula>F31</formula>
    </cfRule>
  </conditionalFormatting>
  <conditionalFormatting sqref="O32">
    <cfRule type="cellIs" dxfId="4" priority="418" operator="lessThanOrEqual">
      <formula>F32</formula>
    </cfRule>
  </conditionalFormatting>
  <conditionalFormatting sqref="O33">
    <cfRule type="cellIs" dxfId="4" priority="423" operator="lessThanOrEqual">
      <formula>F33</formula>
    </cfRule>
  </conditionalFormatting>
  <conditionalFormatting sqref="O35">
    <cfRule type="cellIs" dxfId="4" priority="428" operator="lessThanOrEqual">
      <formula>F35</formula>
    </cfRule>
  </conditionalFormatting>
  <conditionalFormatting sqref="O36">
    <cfRule type="cellIs" dxfId="4" priority="433" operator="lessThanOrEqual">
      <formula>F36</formula>
    </cfRule>
  </conditionalFormatting>
  <conditionalFormatting sqref="O37">
    <cfRule type="cellIs" dxfId="4" priority="438" operator="lessThanOrEqual">
      <formula>F37</formula>
    </cfRule>
  </conditionalFormatting>
  <conditionalFormatting sqref="O38">
    <cfRule type="cellIs" dxfId="4" priority="443" operator="lessThanOrEqual">
      <formula>F38</formula>
    </cfRule>
  </conditionalFormatting>
  <conditionalFormatting sqref="O39">
    <cfRule type="cellIs" dxfId="4" priority="448" operator="lessThanOrEqual">
      <formula>F39</formula>
    </cfRule>
  </conditionalFormatting>
  <conditionalFormatting sqref="O40">
    <cfRule type="cellIs" dxfId="4" priority="453" operator="lessThanOrEqual">
      <formula>F40</formula>
    </cfRule>
  </conditionalFormatting>
  <conditionalFormatting sqref="O42">
    <cfRule type="cellIs" dxfId="4" priority="458" operator="lessThanOrEqual">
      <formula>F42</formula>
    </cfRule>
  </conditionalFormatting>
  <conditionalFormatting sqref="O43">
    <cfRule type="cellIs" dxfId="4" priority="463" operator="lessThanOrEqual">
      <formula>F43</formula>
    </cfRule>
  </conditionalFormatting>
  <conditionalFormatting sqref="O7">
    <cfRule type="cellIs" dxfId="4" priority="293" operator="lessThanOrEqual">
      <formula>F7</formula>
    </cfRule>
  </conditionalFormatting>
  <conditionalFormatting sqref="O8">
    <cfRule type="cellIs" dxfId="4" priority="298" operator="lessThanOrEqual">
      <formula>F8</formula>
    </cfRule>
  </conditionalFormatting>
  <conditionalFormatting sqref="O9">
    <cfRule type="cellIs" dxfId="4" priority="303" operator="lessThanOrEqual">
      <formula>F9</formula>
    </cfRule>
  </conditionalFormatting>
  <conditionalFormatting sqref="P10">
    <cfRule type="cellIs" dxfId="4" priority="307" operator="lessThanOrEqual">
      <formula>G10</formula>
    </cfRule>
  </conditionalFormatting>
  <conditionalFormatting sqref="P11">
    <cfRule type="cellIs" dxfId="4" priority="312" operator="lessThanOrEqual">
      <formula>G11</formula>
    </cfRule>
  </conditionalFormatting>
  <conditionalFormatting sqref="P12">
    <cfRule type="cellIs" dxfId="4" priority="317" operator="lessThanOrEqual">
      <formula>G12</formula>
    </cfRule>
  </conditionalFormatting>
  <conditionalFormatting sqref="P13">
    <cfRule type="cellIs" dxfId="4" priority="322" operator="lessThanOrEqual">
      <formula>G13</formula>
    </cfRule>
  </conditionalFormatting>
  <conditionalFormatting sqref="P14">
    <cfRule type="cellIs" dxfId="4" priority="327" operator="lessThanOrEqual">
      <formula>G14</formula>
    </cfRule>
  </conditionalFormatting>
  <conditionalFormatting sqref="P15">
    <cfRule type="cellIs" dxfId="4" priority="332" operator="lessThanOrEqual">
      <formula>G15</formula>
    </cfRule>
  </conditionalFormatting>
  <conditionalFormatting sqref="P16">
    <cfRule type="cellIs" dxfId="4" priority="337" operator="lessThanOrEqual">
      <formula>G16</formula>
    </cfRule>
  </conditionalFormatting>
  <conditionalFormatting sqref="P17">
    <cfRule type="cellIs" dxfId="4" priority="342" operator="lessThanOrEqual">
      <formula>G17</formula>
    </cfRule>
  </conditionalFormatting>
  <conditionalFormatting sqref="P18">
    <cfRule type="cellIs" dxfId="4" priority="347" operator="lessThanOrEqual">
      <formula>G18</formula>
    </cfRule>
  </conditionalFormatting>
  <conditionalFormatting sqref="P19">
    <cfRule type="cellIs" dxfId="4" priority="352" operator="lessThanOrEqual">
      <formula>G19</formula>
    </cfRule>
  </conditionalFormatting>
  <conditionalFormatting sqref="P20">
    <cfRule type="cellIs" dxfId="4" priority="357" operator="lessThanOrEqual">
      <formula>G20</formula>
    </cfRule>
  </conditionalFormatting>
  <conditionalFormatting sqref="P21">
    <cfRule type="cellIs" dxfId="4" priority="362" operator="lessThanOrEqual">
      <formula>G21</formula>
    </cfRule>
  </conditionalFormatting>
  <conditionalFormatting sqref="P22">
    <cfRule type="cellIs" dxfId="4" priority="367" operator="lessThanOrEqual">
      <formula>G22</formula>
    </cfRule>
  </conditionalFormatting>
  <conditionalFormatting sqref="P23">
    <cfRule type="cellIs" dxfId="4" priority="372" operator="lessThanOrEqual">
      <formula>G23</formula>
    </cfRule>
  </conditionalFormatting>
  <conditionalFormatting sqref="P24">
    <cfRule type="cellIs" dxfId="4" priority="377" operator="lessThanOrEqual">
      <formula>G24</formula>
    </cfRule>
  </conditionalFormatting>
  <conditionalFormatting sqref="P25">
    <cfRule type="cellIs" dxfId="4" priority="382" operator="lessThanOrEqual">
      <formula>G25</formula>
    </cfRule>
  </conditionalFormatting>
  <conditionalFormatting sqref="P26">
    <cfRule type="cellIs" dxfId="4" priority="387" operator="lessThanOrEqual">
      <formula>G26</formula>
    </cfRule>
  </conditionalFormatting>
  <conditionalFormatting sqref="P27">
    <cfRule type="cellIs" dxfId="4" priority="392" operator="lessThanOrEqual">
      <formula>G27</formula>
    </cfRule>
  </conditionalFormatting>
  <conditionalFormatting sqref="P28">
    <cfRule type="cellIs" dxfId="4" priority="397" operator="lessThanOrEqual">
      <formula>G28</formula>
    </cfRule>
  </conditionalFormatting>
  <conditionalFormatting sqref="P29">
    <cfRule type="cellIs" dxfId="4" priority="402" operator="lessThanOrEqual">
      <formula>G29</formula>
    </cfRule>
  </conditionalFormatting>
  <conditionalFormatting sqref="P30">
    <cfRule type="cellIs" dxfId="4" priority="407" operator="lessThanOrEqual">
      <formula>G30</formula>
    </cfRule>
  </conditionalFormatting>
  <conditionalFormatting sqref="P31">
    <cfRule type="cellIs" dxfId="4" priority="412" operator="lessThanOrEqual">
      <formula>G31</formula>
    </cfRule>
  </conditionalFormatting>
  <conditionalFormatting sqref="P32">
    <cfRule type="cellIs" dxfId="4" priority="417" operator="lessThanOrEqual">
      <formula>G32</formula>
    </cfRule>
  </conditionalFormatting>
  <conditionalFormatting sqref="P33">
    <cfRule type="cellIs" dxfId="4" priority="422" operator="lessThanOrEqual">
      <formula>G33</formula>
    </cfRule>
  </conditionalFormatting>
  <conditionalFormatting sqref="P35">
    <cfRule type="cellIs" dxfId="4" priority="427" operator="lessThanOrEqual">
      <formula>G35</formula>
    </cfRule>
  </conditionalFormatting>
  <conditionalFormatting sqref="P36">
    <cfRule type="cellIs" dxfId="4" priority="432" operator="lessThanOrEqual">
      <formula>G36</formula>
    </cfRule>
  </conditionalFormatting>
  <conditionalFormatting sqref="P37">
    <cfRule type="cellIs" dxfId="4" priority="437" operator="lessThanOrEqual">
      <formula>G37</formula>
    </cfRule>
  </conditionalFormatting>
  <conditionalFormatting sqref="P38">
    <cfRule type="cellIs" dxfId="4" priority="442" operator="lessThanOrEqual">
      <formula>G38</formula>
    </cfRule>
  </conditionalFormatting>
  <conditionalFormatting sqref="P39">
    <cfRule type="cellIs" dxfId="4" priority="447" operator="lessThanOrEqual">
      <formula>G39</formula>
    </cfRule>
  </conditionalFormatting>
  <conditionalFormatting sqref="P40">
    <cfRule type="cellIs" dxfId="4" priority="452" operator="lessThanOrEqual">
      <formula>G40</formula>
    </cfRule>
  </conditionalFormatting>
  <conditionalFormatting sqref="P42">
    <cfRule type="cellIs" dxfId="4" priority="457" operator="lessThanOrEqual">
      <formula>G42</formula>
    </cfRule>
  </conditionalFormatting>
  <conditionalFormatting sqref="P43">
    <cfRule type="cellIs" dxfId="4" priority="462" operator="lessThanOrEqual">
      <formula>G43</formula>
    </cfRule>
  </conditionalFormatting>
  <conditionalFormatting sqref="P7">
    <cfRule type="cellIs" dxfId="4" priority="292" operator="lessThanOrEqual">
      <formula>G7</formula>
    </cfRule>
  </conditionalFormatting>
  <conditionalFormatting sqref="P8">
    <cfRule type="cellIs" dxfId="4" priority="297" operator="lessThanOrEqual">
      <formula>G8</formula>
    </cfRule>
  </conditionalFormatting>
  <conditionalFormatting sqref="P9">
    <cfRule type="cellIs" dxfId="4" priority="302" operator="lessThanOrEqual">
      <formula>G9</formula>
    </cfRule>
  </conditionalFormatting>
  <conditionalFormatting sqref="R10">
    <cfRule type="cellIs" dxfId="1" priority="479" operator="equal">
      <formula>0</formula>
    </cfRule>
    <cfRule type="cellIs" dxfId="2" priority="480" operator="lessThan">
      <formula>E10</formula>
    </cfRule>
  </conditionalFormatting>
  <conditionalFormatting sqref="R11">
    <cfRule type="cellIs" dxfId="1" priority="484" operator="equal">
      <formula>0</formula>
    </cfRule>
    <cfRule type="cellIs" dxfId="2" priority="485" operator="lessThan">
      <formula>E11</formula>
    </cfRule>
  </conditionalFormatting>
  <conditionalFormatting sqref="R12">
    <cfRule type="cellIs" dxfId="1" priority="489" operator="equal">
      <formula>0</formula>
    </cfRule>
    <cfRule type="cellIs" dxfId="2" priority="490" operator="lessThan">
      <formula>E12</formula>
    </cfRule>
  </conditionalFormatting>
  <conditionalFormatting sqref="R13">
    <cfRule type="cellIs" dxfId="1" priority="494" operator="equal">
      <formula>0</formula>
    </cfRule>
    <cfRule type="cellIs" dxfId="2" priority="495" operator="lessThan">
      <formula>E13</formula>
    </cfRule>
  </conditionalFormatting>
  <conditionalFormatting sqref="R15">
    <cfRule type="cellIs" dxfId="1" priority="499" operator="equal">
      <formula>0</formula>
    </cfRule>
    <cfRule type="cellIs" dxfId="2" priority="500" operator="lessThan">
      <formula>E15</formula>
    </cfRule>
  </conditionalFormatting>
  <conditionalFormatting sqref="R16">
    <cfRule type="cellIs" dxfId="1" priority="504" operator="equal">
      <formula>0</formula>
    </cfRule>
    <cfRule type="cellIs" dxfId="2" priority="505" operator="lessThan">
      <formula>E16</formula>
    </cfRule>
  </conditionalFormatting>
  <conditionalFormatting sqref="R17">
    <cfRule type="cellIs" dxfId="1" priority="509" operator="equal">
      <formula>0</formula>
    </cfRule>
    <cfRule type="cellIs" dxfId="2" priority="510" operator="lessThan">
      <formula>E17</formula>
    </cfRule>
  </conditionalFormatting>
  <conditionalFormatting sqref="R20">
    <cfRule type="cellIs" dxfId="1" priority="514" operator="equal">
      <formula>0</formula>
    </cfRule>
    <cfRule type="cellIs" dxfId="2" priority="515" operator="lessThan">
      <formula>E20</formula>
    </cfRule>
  </conditionalFormatting>
  <conditionalFormatting sqref="R21">
    <cfRule type="cellIs" dxfId="1" priority="519" operator="equal">
      <formula>0</formula>
    </cfRule>
    <cfRule type="cellIs" dxfId="2" priority="520" operator="lessThan">
      <formula>E21</formula>
    </cfRule>
  </conditionalFormatting>
  <conditionalFormatting sqref="R22">
    <cfRule type="cellIs" dxfId="1" priority="524" operator="equal">
      <formula>0</formula>
    </cfRule>
    <cfRule type="cellIs" dxfId="2" priority="525" operator="lessThan">
      <formula>E22</formula>
    </cfRule>
  </conditionalFormatting>
  <conditionalFormatting sqref="R23">
    <cfRule type="cellIs" dxfId="1" priority="529" operator="equal">
      <formula>0</formula>
    </cfRule>
    <cfRule type="cellIs" dxfId="2" priority="530" operator="lessThan">
      <formula>E23</formula>
    </cfRule>
  </conditionalFormatting>
  <conditionalFormatting sqref="R24">
    <cfRule type="cellIs" dxfId="1" priority="534" operator="equal">
      <formula>0</formula>
    </cfRule>
    <cfRule type="cellIs" dxfId="2" priority="535" operator="lessThan">
      <formula>E24</formula>
    </cfRule>
  </conditionalFormatting>
  <conditionalFormatting sqref="R25">
    <cfRule type="cellIs" dxfId="1" priority="539" operator="equal">
      <formula>0</formula>
    </cfRule>
    <cfRule type="cellIs" dxfId="2" priority="540" operator="lessThan">
      <formula>E25</formula>
    </cfRule>
  </conditionalFormatting>
  <conditionalFormatting sqref="R26">
    <cfRule type="cellIs" dxfId="1" priority="544" operator="equal">
      <formula>0</formula>
    </cfRule>
    <cfRule type="cellIs" dxfId="2" priority="545" operator="lessThan">
      <formula>E26</formula>
    </cfRule>
  </conditionalFormatting>
  <conditionalFormatting sqref="R27">
    <cfRule type="cellIs" dxfId="1" priority="549" operator="equal">
      <formula>0</formula>
    </cfRule>
    <cfRule type="cellIs" dxfId="2" priority="550" operator="lessThan">
      <formula>E27</formula>
    </cfRule>
  </conditionalFormatting>
  <conditionalFormatting sqref="R30">
    <cfRule type="cellIs" dxfId="1" priority="554" operator="equal">
      <formula>0</formula>
    </cfRule>
    <cfRule type="cellIs" dxfId="2" priority="555" operator="lessThan">
      <formula>E30</formula>
    </cfRule>
  </conditionalFormatting>
  <conditionalFormatting sqref="R31">
    <cfRule type="cellIs" dxfId="1" priority="559" operator="equal">
      <formula>0</formula>
    </cfRule>
    <cfRule type="cellIs" dxfId="2" priority="560" operator="lessThan">
      <formula>E31</formula>
    </cfRule>
  </conditionalFormatting>
  <conditionalFormatting sqref="R32">
    <cfRule type="cellIs" dxfId="1" priority="564" operator="equal">
      <formula>0</formula>
    </cfRule>
    <cfRule type="cellIs" dxfId="2" priority="565" operator="lessThan">
      <formula>E32</formula>
    </cfRule>
  </conditionalFormatting>
  <conditionalFormatting sqref="R33">
    <cfRule type="cellIs" dxfId="1" priority="569" operator="equal">
      <formula>0</formula>
    </cfRule>
    <cfRule type="cellIs" dxfId="2" priority="570" operator="lessThan">
      <formula>E33</formula>
    </cfRule>
  </conditionalFormatting>
  <conditionalFormatting sqref="R34">
    <cfRule type="cellIs" dxfId="1" priority="574" operator="equal">
      <formula>0</formula>
    </cfRule>
    <cfRule type="cellIs" dxfId="2" priority="575" operator="lessThan">
      <formula>E34</formula>
    </cfRule>
  </conditionalFormatting>
  <conditionalFormatting sqref="R35">
    <cfRule type="cellIs" dxfId="1" priority="579" operator="equal">
      <formula>0</formula>
    </cfRule>
    <cfRule type="cellIs" dxfId="2" priority="580" operator="lessThan">
      <formula>E35</formula>
    </cfRule>
  </conditionalFormatting>
  <conditionalFormatting sqref="R36">
    <cfRule type="cellIs" dxfId="1" priority="584" operator="equal">
      <formula>0</formula>
    </cfRule>
    <cfRule type="cellIs" dxfId="2" priority="585" operator="lessThan">
      <formula>E36</formula>
    </cfRule>
  </conditionalFormatting>
  <conditionalFormatting sqref="R38">
    <cfRule type="cellIs" dxfId="1" priority="589" operator="equal">
      <formula>0</formula>
    </cfRule>
    <cfRule type="cellIs" dxfId="2" priority="590" operator="lessThan">
      <formula>E38</formula>
    </cfRule>
  </conditionalFormatting>
  <conditionalFormatting sqref="R39">
    <cfRule type="cellIs" dxfId="1" priority="594" operator="equal">
      <formula>0</formula>
    </cfRule>
    <cfRule type="cellIs" dxfId="2" priority="595" operator="lessThan">
      <formula>E39</formula>
    </cfRule>
  </conditionalFormatting>
  <conditionalFormatting sqref="R42">
    <cfRule type="cellIs" dxfId="1" priority="599" operator="equal">
      <formula>0</formula>
    </cfRule>
    <cfRule type="cellIs" dxfId="2" priority="600" operator="lessThan">
      <formula>E42</formula>
    </cfRule>
  </conditionalFormatting>
  <conditionalFormatting sqref="R43">
    <cfRule type="cellIs" dxfId="1" priority="604" operator="equal">
      <formula>0</formula>
    </cfRule>
    <cfRule type="cellIs" dxfId="2" priority="605" operator="lessThan">
      <formula>E43</formula>
    </cfRule>
  </conditionalFormatting>
  <conditionalFormatting sqref="R7">
    <cfRule type="cellIs" dxfId="1" priority="464" operator="equal">
      <formula>0</formula>
    </cfRule>
    <cfRule type="cellIs" dxfId="2" priority="465" operator="lessThan">
      <formula>E7</formula>
    </cfRule>
  </conditionalFormatting>
  <conditionalFormatting sqref="R8">
    <cfRule type="cellIs" dxfId="1" priority="469" operator="equal">
      <formula>0</formula>
    </cfRule>
    <cfRule type="cellIs" dxfId="2" priority="470" operator="lessThan">
      <formula>E8</formula>
    </cfRule>
  </conditionalFormatting>
  <conditionalFormatting sqref="R9">
    <cfRule type="cellIs" dxfId="1" priority="474" operator="equal">
      <formula>0</formula>
    </cfRule>
    <cfRule type="cellIs" dxfId="2" priority="475" operator="lessThan">
      <formula>E9</formula>
    </cfRule>
  </conditionalFormatting>
  <conditionalFormatting sqref="S10">
    <cfRule type="cellIs" dxfId="1" priority="481" operator="greaterThan">
      <formula>R10</formula>
    </cfRule>
  </conditionalFormatting>
  <conditionalFormatting sqref="S11">
    <cfRule type="cellIs" dxfId="1" priority="486" operator="greaterThan">
      <formula>R11</formula>
    </cfRule>
  </conditionalFormatting>
  <conditionalFormatting sqref="S12">
    <cfRule type="cellIs" dxfId="1" priority="491" operator="greaterThan">
      <formula>R12</formula>
    </cfRule>
  </conditionalFormatting>
  <conditionalFormatting sqref="S13">
    <cfRule type="cellIs" dxfId="1" priority="496" operator="greaterThan">
      <formula>R13</formula>
    </cfRule>
  </conditionalFormatting>
  <conditionalFormatting sqref="S15">
    <cfRule type="cellIs" dxfId="1" priority="501" operator="greaterThan">
      <formula>R15</formula>
    </cfRule>
  </conditionalFormatting>
  <conditionalFormatting sqref="S16">
    <cfRule type="cellIs" dxfId="1" priority="506" operator="greaterThan">
      <formula>R16</formula>
    </cfRule>
  </conditionalFormatting>
  <conditionalFormatting sqref="S17">
    <cfRule type="cellIs" dxfId="1" priority="511" operator="greaterThan">
      <formula>R17</formula>
    </cfRule>
  </conditionalFormatting>
  <conditionalFormatting sqref="S20">
    <cfRule type="cellIs" dxfId="1" priority="516" operator="greaterThan">
      <formula>R20</formula>
    </cfRule>
  </conditionalFormatting>
  <conditionalFormatting sqref="S21">
    <cfRule type="cellIs" dxfId="1" priority="521" operator="greaterThan">
      <formula>R21</formula>
    </cfRule>
  </conditionalFormatting>
  <conditionalFormatting sqref="S22">
    <cfRule type="cellIs" dxfId="1" priority="526" operator="greaterThan">
      <formula>R22</formula>
    </cfRule>
  </conditionalFormatting>
  <conditionalFormatting sqref="S23">
    <cfRule type="cellIs" dxfId="1" priority="531" operator="greaterThan">
      <formula>R23</formula>
    </cfRule>
  </conditionalFormatting>
  <conditionalFormatting sqref="S24">
    <cfRule type="cellIs" dxfId="1" priority="536" operator="greaterThan">
      <formula>R24</formula>
    </cfRule>
  </conditionalFormatting>
  <conditionalFormatting sqref="S25">
    <cfRule type="cellIs" dxfId="1" priority="541" operator="greaterThan">
      <formula>R25</formula>
    </cfRule>
  </conditionalFormatting>
  <conditionalFormatting sqref="S26">
    <cfRule type="cellIs" dxfId="1" priority="546" operator="greaterThan">
      <formula>R26</formula>
    </cfRule>
  </conditionalFormatting>
  <conditionalFormatting sqref="S27">
    <cfRule type="cellIs" dxfId="1" priority="551" operator="greaterThan">
      <formula>R27</formula>
    </cfRule>
  </conditionalFormatting>
  <conditionalFormatting sqref="S30">
    <cfRule type="cellIs" dxfId="1" priority="556" operator="greaterThan">
      <formula>R30</formula>
    </cfRule>
  </conditionalFormatting>
  <conditionalFormatting sqref="S31">
    <cfRule type="cellIs" dxfId="1" priority="561" operator="greaterThan">
      <formula>R31</formula>
    </cfRule>
  </conditionalFormatting>
  <conditionalFormatting sqref="S32">
    <cfRule type="cellIs" dxfId="1" priority="566" operator="greaterThan">
      <formula>R32</formula>
    </cfRule>
  </conditionalFormatting>
  <conditionalFormatting sqref="S33">
    <cfRule type="cellIs" dxfId="1" priority="571" operator="greaterThan">
      <formula>R33</formula>
    </cfRule>
  </conditionalFormatting>
  <conditionalFormatting sqref="S34">
    <cfRule type="cellIs" dxfId="1" priority="576" operator="greaterThan">
      <formula>R34</formula>
    </cfRule>
  </conditionalFormatting>
  <conditionalFormatting sqref="S35">
    <cfRule type="cellIs" dxfId="1" priority="581" operator="greaterThan">
      <formula>R35</formula>
    </cfRule>
  </conditionalFormatting>
  <conditionalFormatting sqref="S36">
    <cfRule type="cellIs" dxfId="1" priority="586" operator="greaterThan">
      <formula>R36</formula>
    </cfRule>
  </conditionalFormatting>
  <conditionalFormatting sqref="S38">
    <cfRule type="cellIs" dxfId="1" priority="591" operator="greaterThan">
      <formula>R38</formula>
    </cfRule>
  </conditionalFormatting>
  <conditionalFormatting sqref="S39">
    <cfRule type="cellIs" dxfId="1" priority="596" operator="greaterThan">
      <formula>R39</formula>
    </cfRule>
  </conditionalFormatting>
  <conditionalFormatting sqref="S42">
    <cfRule type="cellIs" dxfId="1" priority="601" operator="greaterThan">
      <formula>R42</formula>
    </cfRule>
  </conditionalFormatting>
  <conditionalFormatting sqref="S43">
    <cfRule type="cellIs" dxfId="1" priority="606" operator="greaterThan">
      <formula>R43</formula>
    </cfRule>
  </conditionalFormatting>
  <conditionalFormatting sqref="S7">
    <cfRule type="cellIs" dxfId="1" priority="466" operator="greaterThan">
      <formula>R7</formula>
    </cfRule>
  </conditionalFormatting>
  <conditionalFormatting sqref="S8">
    <cfRule type="cellIs" dxfId="1" priority="471" operator="greaterThan">
      <formula>R8</formula>
    </cfRule>
  </conditionalFormatting>
  <conditionalFormatting sqref="S9">
    <cfRule type="cellIs" dxfId="1" priority="476" operator="greaterThan">
      <formula>R9</formula>
    </cfRule>
  </conditionalFormatting>
  <conditionalFormatting sqref="T10">
    <cfRule type="cellIs" dxfId="4" priority="483" operator="lessThanOrEqual">
      <formula>F10</formula>
    </cfRule>
  </conditionalFormatting>
  <conditionalFormatting sqref="T11">
    <cfRule type="cellIs" dxfId="4" priority="488" operator="lessThanOrEqual">
      <formula>F11</formula>
    </cfRule>
  </conditionalFormatting>
  <conditionalFormatting sqref="T12">
    <cfRule type="cellIs" dxfId="4" priority="493" operator="lessThanOrEqual">
      <formula>F12</formula>
    </cfRule>
  </conditionalFormatting>
  <conditionalFormatting sqref="T13">
    <cfRule type="cellIs" dxfId="4" priority="498" operator="lessThanOrEqual">
      <formula>F13</formula>
    </cfRule>
  </conditionalFormatting>
  <conditionalFormatting sqref="T15">
    <cfRule type="cellIs" dxfId="4" priority="503" operator="lessThanOrEqual">
      <formula>F15</formula>
    </cfRule>
  </conditionalFormatting>
  <conditionalFormatting sqref="T16">
    <cfRule type="cellIs" dxfId="4" priority="508" operator="lessThanOrEqual">
      <formula>F16</formula>
    </cfRule>
  </conditionalFormatting>
  <conditionalFormatting sqref="T17">
    <cfRule type="cellIs" dxfId="4" priority="513" operator="lessThanOrEqual">
      <formula>F17</formula>
    </cfRule>
  </conditionalFormatting>
  <conditionalFormatting sqref="T20">
    <cfRule type="cellIs" dxfId="4" priority="518" operator="lessThanOrEqual">
      <formula>F20</formula>
    </cfRule>
  </conditionalFormatting>
  <conditionalFormatting sqref="T21">
    <cfRule type="cellIs" dxfId="4" priority="523" operator="lessThanOrEqual">
      <formula>F21</formula>
    </cfRule>
  </conditionalFormatting>
  <conditionalFormatting sqref="T22">
    <cfRule type="cellIs" dxfId="4" priority="528" operator="lessThanOrEqual">
      <formula>F22</formula>
    </cfRule>
  </conditionalFormatting>
  <conditionalFormatting sqref="T23">
    <cfRule type="cellIs" dxfId="4" priority="533" operator="lessThanOrEqual">
      <formula>F23</formula>
    </cfRule>
  </conditionalFormatting>
  <conditionalFormatting sqref="T24">
    <cfRule type="cellIs" dxfId="4" priority="538" operator="lessThanOrEqual">
      <formula>F24</formula>
    </cfRule>
  </conditionalFormatting>
  <conditionalFormatting sqref="T25">
    <cfRule type="cellIs" dxfId="4" priority="543" operator="lessThanOrEqual">
      <formula>F25</formula>
    </cfRule>
  </conditionalFormatting>
  <conditionalFormatting sqref="T26">
    <cfRule type="cellIs" dxfId="4" priority="548" operator="lessThanOrEqual">
      <formula>F26</formula>
    </cfRule>
  </conditionalFormatting>
  <conditionalFormatting sqref="T27">
    <cfRule type="cellIs" dxfId="4" priority="553" operator="lessThanOrEqual">
      <formula>F27</formula>
    </cfRule>
  </conditionalFormatting>
  <conditionalFormatting sqref="T30">
    <cfRule type="cellIs" dxfId="4" priority="558" operator="lessThanOrEqual">
      <formula>F30</formula>
    </cfRule>
  </conditionalFormatting>
  <conditionalFormatting sqref="T31">
    <cfRule type="cellIs" dxfId="4" priority="563" operator="lessThanOrEqual">
      <formula>F31</formula>
    </cfRule>
  </conditionalFormatting>
  <conditionalFormatting sqref="T32">
    <cfRule type="cellIs" dxfId="4" priority="568" operator="lessThanOrEqual">
      <formula>F32</formula>
    </cfRule>
  </conditionalFormatting>
  <conditionalFormatting sqref="T33">
    <cfRule type="cellIs" dxfId="4" priority="573" operator="lessThanOrEqual">
      <formula>F33</formula>
    </cfRule>
  </conditionalFormatting>
  <conditionalFormatting sqref="T34">
    <cfRule type="cellIs" dxfId="4" priority="578" operator="lessThanOrEqual">
      <formula>F34</formula>
    </cfRule>
  </conditionalFormatting>
  <conditionalFormatting sqref="T35">
    <cfRule type="cellIs" dxfId="4" priority="583" operator="lessThanOrEqual">
      <formula>F35</formula>
    </cfRule>
  </conditionalFormatting>
  <conditionalFormatting sqref="T36">
    <cfRule type="cellIs" dxfId="4" priority="588" operator="lessThanOrEqual">
      <formula>F36</formula>
    </cfRule>
  </conditionalFormatting>
  <conditionalFormatting sqref="T38">
    <cfRule type="cellIs" dxfId="4" priority="593" operator="lessThanOrEqual">
      <formula>F38</formula>
    </cfRule>
  </conditionalFormatting>
  <conditionalFormatting sqref="T39">
    <cfRule type="cellIs" dxfId="4" priority="598" operator="lessThanOrEqual">
      <formula>F39</formula>
    </cfRule>
  </conditionalFormatting>
  <conditionalFormatting sqref="T42">
    <cfRule type="cellIs" dxfId="4" priority="603" operator="lessThanOrEqual">
      <formula>F42</formula>
    </cfRule>
  </conditionalFormatting>
  <conditionalFormatting sqref="T43">
    <cfRule type="cellIs" dxfId="4" priority="608" operator="lessThanOrEqual">
      <formula>F43</formula>
    </cfRule>
  </conditionalFormatting>
  <conditionalFormatting sqref="T7">
    <cfRule type="cellIs" dxfId="4" priority="468" operator="lessThanOrEqual">
      <formula>F7</formula>
    </cfRule>
  </conditionalFormatting>
  <conditionalFormatting sqref="T8">
    <cfRule type="cellIs" dxfId="4" priority="473" operator="lessThanOrEqual">
      <formula>F8</formula>
    </cfRule>
  </conditionalFormatting>
  <conditionalFormatting sqref="T9">
    <cfRule type="cellIs" dxfId="4" priority="478" operator="lessThanOrEqual">
      <formula>F9</formula>
    </cfRule>
  </conditionalFormatting>
  <conditionalFormatting sqref="U10">
    <cfRule type="cellIs" dxfId="4" priority="482" operator="lessThanOrEqual">
      <formula>G10</formula>
    </cfRule>
  </conditionalFormatting>
  <conditionalFormatting sqref="U11">
    <cfRule type="cellIs" dxfId="4" priority="487" operator="lessThanOrEqual">
      <formula>G11</formula>
    </cfRule>
  </conditionalFormatting>
  <conditionalFormatting sqref="U12">
    <cfRule type="cellIs" dxfId="4" priority="492" operator="lessThanOrEqual">
      <formula>G12</formula>
    </cfRule>
  </conditionalFormatting>
  <conditionalFormatting sqref="U13">
    <cfRule type="cellIs" dxfId="4" priority="497" operator="lessThanOrEqual">
      <formula>G13</formula>
    </cfRule>
  </conditionalFormatting>
  <conditionalFormatting sqref="U15">
    <cfRule type="cellIs" dxfId="4" priority="502" operator="lessThanOrEqual">
      <formula>G15</formula>
    </cfRule>
  </conditionalFormatting>
  <conditionalFormatting sqref="U16">
    <cfRule type="cellIs" dxfId="4" priority="507" operator="lessThanOrEqual">
      <formula>G16</formula>
    </cfRule>
  </conditionalFormatting>
  <conditionalFormatting sqref="U17">
    <cfRule type="cellIs" dxfId="4" priority="512" operator="lessThanOrEqual">
      <formula>G17</formula>
    </cfRule>
  </conditionalFormatting>
  <conditionalFormatting sqref="U20">
    <cfRule type="cellIs" dxfId="4" priority="517" operator="lessThanOrEqual">
      <formula>G20</formula>
    </cfRule>
  </conditionalFormatting>
  <conditionalFormatting sqref="U21">
    <cfRule type="cellIs" dxfId="4" priority="522" operator="lessThanOrEqual">
      <formula>G21</formula>
    </cfRule>
  </conditionalFormatting>
  <conditionalFormatting sqref="U22">
    <cfRule type="cellIs" dxfId="4" priority="527" operator="lessThanOrEqual">
      <formula>G22</formula>
    </cfRule>
  </conditionalFormatting>
  <conditionalFormatting sqref="U23">
    <cfRule type="cellIs" dxfId="4" priority="532" operator="lessThanOrEqual">
      <formula>G23</formula>
    </cfRule>
  </conditionalFormatting>
  <conditionalFormatting sqref="U24">
    <cfRule type="cellIs" dxfId="4" priority="537" operator="lessThanOrEqual">
      <formula>G24</formula>
    </cfRule>
  </conditionalFormatting>
  <conditionalFormatting sqref="U25">
    <cfRule type="cellIs" dxfId="4" priority="542" operator="lessThanOrEqual">
      <formula>G25</formula>
    </cfRule>
  </conditionalFormatting>
  <conditionalFormatting sqref="U26">
    <cfRule type="cellIs" dxfId="4" priority="547" operator="lessThanOrEqual">
      <formula>G26</formula>
    </cfRule>
  </conditionalFormatting>
  <conditionalFormatting sqref="U27">
    <cfRule type="cellIs" dxfId="4" priority="552" operator="lessThanOrEqual">
      <formula>G27</formula>
    </cfRule>
  </conditionalFormatting>
  <conditionalFormatting sqref="U30">
    <cfRule type="cellIs" dxfId="4" priority="557" operator="lessThanOrEqual">
      <formula>G30</formula>
    </cfRule>
  </conditionalFormatting>
  <conditionalFormatting sqref="U31">
    <cfRule type="cellIs" dxfId="4" priority="562" operator="lessThanOrEqual">
      <formula>G31</formula>
    </cfRule>
  </conditionalFormatting>
  <conditionalFormatting sqref="U32">
    <cfRule type="cellIs" dxfId="4" priority="567" operator="lessThanOrEqual">
      <formula>G32</formula>
    </cfRule>
  </conditionalFormatting>
  <conditionalFormatting sqref="U33">
    <cfRule type="cellIs" dxfId="4" priority="572" operator="lessThanOrEqual">
      <formula>G33</formula>
    </cfRule>
  </conditionalFormatting>
  <conditionalFormatting sqref="U34">
    <cfRule type="cellIs" dxfId="4" priority="577" operator="lessThanOrEqual">
      <formula>G34</formula>
    </cfRule>
  </conditionalFormatting>
  <conditionalFormatting sqref="U35">
    <cfRule type="cellIs" dxfId="4" priority="582" operator="lessThanOrEqual">
      <formula>G35</formula>
    </cfRule>
  </conditionalFormatting>
  <conditionalFormatting sqref="U36">
    <cfRule type="cellIs" dxfId="4" priority="587" operator="lessThanOrEqual">
      <formula>G36</formula>
    </cfRule>
  </conditionalFormatting>
  <conditionalFormatting sqref="U38">
    <cfRule type="cellIs" dxfId="4" priority="592" operator="lessThanOrEqual">
      <formula>G38</formula>
    </cfRule>
  </conditionalFormatting>
  <conditionalFormatting sqref="U39">
    <cfRule type="cellIs" dxfId="4" priority="597" operator="lessThanOrEqual">
      <formula>G39</formula>
    </cfRule>
  </conditionalFormatting>
  <conditionalFormatting sqref="U42">
    <cfRule type="cellIs" dxfId="4" priority="602" operator="lessThanOrEqual">
      <formula>G42</formula>
    </cfRule>
  </conditionalFormatting>
  <conditionalFormatting sqref="U43">
    <cfRule type="cellIs" dxfId="4" priority="607" operator="lessThanOrEqual">
      <formula>G43</formula>
    </cfRule>
  </conditionalFormatting>
  <conditionalFormatting sqref="U7">
    <cfRule type="cellIs" dxfId="4" priority="467" operator="lessThanOrEqual">
      <formula>G7</formula>
    </cfRule>
  </conditionalFormatting>
  <conditionalFormatting sqref="U8">
    <cfRule type="cellIs" dxfId="4" priority="472" operator="lessThanOrEqual">
      <formula>G8</formula>
    </cfRule>
  </conditionalFormatting>
  <conditionalFormatting sqref="U9">
    <cfRule type="cellIs" dxfId="4" priority="477" operator="lessThanOrEqual">
      <formula>G9</formula>
    </cfRule>
  </conditionalFormatting>
  <conditionalFormatting sqref="W10">
    <cfRule type="cellIs" dxfId="1" priority="624" operator="equal">
      <formula>0</formula>
    </cfRule>
    <cfRule type="cellIs" dxfId="2" priority="625" operator="lessThan">
      <formula>E10</formula>
    </cfRule>
  </conditionalFormatting>
  <conditionalFormatting sqref="W11">
    <cfRule type="cellIs" dxfId="1" priority="629" operator="equal">
      <formula>0</formula>
    </cfRule>
    <cfRule type="cellIs" dxfId="2" priority="630" operator="lessThan">
      <formula>E11</formula>
    </cfRule>
  </conditionalFormatting>
  <conditionalFormatting sqref="W12">
    <cfRule type="cellIs" dxfId="1" priority="634" operator="equal">
      <formula>0</formula>
    </cfRule>
    <cfRule type="cellIs" dxfId="2" priority="635" operator="lessThan">
      <formula>E12</formula>
    </cfRule>
  </conditionalFormatting>
  <conditionalFormatting sqref="W13">
    <cfRule type="cellIs" dxfId="1" priority="639" operator="equal">
      <formula>0</formula>
    </cfRule>
    <cfRule type="cellIs" dxfId="2" priority="640" operator="lessThan">
      <formula>E13</formula>
    </cfRule>
  </conditionalFormatting>
  <conditionalFormatting sqref="W15">
    <cfRule type="cellIs" dxfId="1" priority="644" operator="equal">
      <formula>0</formula>
    </cfRule>
    <cfRule type="cellIs" dxfId="2" priority="645" operator="lessThan">
      <formula>E15</formula>
    </cfRule>
  </conditionalFormatting>
  <conditionalFormatting sqref="W16">
    <cfRule type="cellIs" dxfId="1" priority="649" operator="equal">
      <formula>0</formula>
    </cfRule>
    <cfRule type="cellIs" dxfId="2" priority="650" operator="lessThan">
      <formula>E16</formula>
    </cfRule>
  </conditionalFormatting>
  <conditionalFormatting sqref="W17">
    <cfRule type="cellIs" dxfId="1" priority="654" operator="equal">
      <formula>0</formula>
    </cfRule>
    <cfRule type="cellIs" dxfId="2" priority="655" operator="lessThan">
      <formula>E17</formula>
    </cfRule>
  </conditionalFormatting>
  <conditionalFormatting sqref="W19">
    <cfRule type="cellIs" dxfId="1" priority="659" operator="equal">
      <formula>0</formula>
    </cfRule>
    <cfRule type="cellIs" dxfId="2" priority="660" operator="lessThan">
      <formula>E19</formula>
    </cfRule>
  </conditionalFormatting>
  <conditionalFormatting sqref="W20">
    <cfRule type="cellIs" dxfId="1" priority="664" operator="equal">
      <formula>0</formula>
    </cfRule>
    <cfRule type="cellIs" dxfId="2" priority="665" operator="lessThan">
      <formula>E20</formula>
    </cfRule>
  </conditionalFormatting>
  <conditionalFormatting sqref="W21">
    <cfRule type="cellIs" dxfId="1" priority="669" operator="equal">
      <formula>0</formula>
    </cfRule>
    <cfRule type="cellIs" dxfId="2" priority="670" operator="lessThan">
      <formula>E21</formula>
    </cfRule>
  </conditionalFormatting>
  <conditionalFormatting sqref="W22">
    <cfRule type="cellIs" dxfId="1" priority="674" operator="equal">
      <formula>0</formula>
    </cfRule>
    <cfRule type="cellIs" dxfId="2" priority="675" operator="lessThan">
      <formula>E22</formula>
    </cfRule>
  </conditionalFormatting>
  <conditionalFormatting sqref="W23">
    <cfRule type="cellIs" dxfId="1" priority="679" operator="equal">
      <formula>0</formula>
    </cfRule>
    <cfRule type="cellIs" dxfId="2" priority="680" operator="lessThan">
      <formula>E23</formula>
    </cfRule>
  </conditionalFormatting>
  <conditionalFormatting sqref="W24">
    <cfRule type="cellIs" dxfId="1" priority="684" operator="equal">
      <formula>0</formula>
    </cfRule>
    <cfRule type="cellIs" dxfId="2" priority="685" operator="lessThan">
      <formula>E24</formula>
    </cfRule>
  </conditionalFormatting>
  <conditionalFormatting sqref="W25">
    <cfRule type="cellIs" dxfId="1" priority="689" operator="equal">
      <formula>0</formula>
    </cfRule>
    <cfRule type="cellIs" dxfId="2" priority="690" operator="lessThan">
      <formula>E25</formula>
    </cfRule>
  </conditionalFormatting>
  <conditionalFormatting sqref="W26">
    <cfRule type="cellIs" dxfId="1" priority="694" operator="equal">
      <formula>0</formula>
    </cfRule>
    <cfRule type="cellIs" dxfId="2" priority="695" operator="lessThan">
      <formula>E26</formula>
    </cfRule>
  </conditionalFormatting>
  <conditionalFormatting sqref="W27">
    <cfRule type="cellIs" dxfId="1" priority="699" operator="equal">
      <formula>0</formula>
    </cfRule>
    <cfRule type="cellIs" dxfId="2" priority="700" operator="lessThan">
      <formula>E27</formula>
    </cfRule>
  </conditionalFormatting>
  <conditionalFormatting sqref="W28">
    <cfRule type="cellIs" dxfId="1" priority="704" operator="equal">
      <formula>0</formula>
    </cfRule>
    <cfRule type="cellIs" dxfId="2" priority="705" operator="lessThan">
      <formula>E28</formula>
    </cfRule>
  </conditionalFormatting>
  <conditionalFormatting sqref="W30">
    <cfRule type="cellIs" dxfId="1" priority="709" operator="equal">
      <formula>0</formula>
    </cfRule>
    <cfRule type="cellIs" dxfId="2" priority="710" operator="lessThan">
      <formula>E30</formula>
    </cfRule>
  </conditionalFormatting>
  <conditionalFormatting sqref="W31">
    <cfRule type="cellIs" dxfId="1" priority="714" operator="equal">
      <formula>0</formula>
    </cfRule>
    <cfRule type="cellIs" dxfId="2" priority="715" operator="lessThan">
      <formula>E31</formula>
    </cfRule>
  </conditionalFormatting>
  <conditionalFormatting sqref="W32">
    <cfRule type="cellIs" dxfId="1" priority="719" operator="equal">
      <formula>0</formula>
    </cfRule>
    <cfRule type="cellIs" dxfId="2" priority="720" operator="lessThan">
      <formula>E32</formula>
    </cfRule>
  </conditionalFormatting>
  <conditionalFormatting sqref="W33">
    <cfRule type="cellIs" dxfId="1" priority="724" operator="equal">
      <formula>0</formula>
    </cfRule>
    <cfRule type="cellIs" dxfId="2" priority="725" operator="lessThan">
      <formula>E33</formula>
    </cfRule>
  </conditionalFormatting>
  <conditionalFormatting sqref="W35">
    <cfRule type="cellIs" dxfId="1" priority="729" operator="equal">
      <formula>0</formula>
    </cfRule>
    <cfRule type="cellIs" dxfId="2" priority="730" operator="lessThan">
      <formula>E35</formula>
    </cfRule>
  </conditionalFormatting>
  <conditionalFormatting sqref="W36">
    <cfRule type="cellIs" dxfId="1" priority="734" operator="equal">
      <formula>0</formula>
    </cfRule>
    <cfRule type="cellIs" dxfId="2" priority="735" operator="lessThan">
      <formula>E36</formula>
    </cfRule>
  </conditionalFormatting>
  <conditionalFormatting sqref="W37">
    <cfRule type="cellIs" dxfId="1" priority="739" operator="equal">
      <formula>0</formula>
    </cfRule>
    <cfRule type="cellIs" dxfId="2" priority="740" operator="lessThan">
      <formula>E37</formula>
    </cfRule>
  </conditionalFormatting>
  <conditionalFormatting sqref="W39">
    <cfRule type="cellIs" dxfId="1" priority="744" operator="equal">
      <formula>0</formula>
    </cfRule>
    <cfRule type="cellIs" dxfId="2" priority="745" operator="lessThan">
      <formula>E39</formula>
    </cfRule>
  </conditionalFormatting>
  <conditionalFormatting sqref="W40">
    <cfRule type="cellIs" dxfId="1" priority="749" operator="equal">
      <formula>0</formula>
    </cfRule>
    <cfRule type="cellIs" dxfId="2" priority="750" operator="lessThan">
      <formula>E40</formula>
    </cfRule>
  </conditionalFormatting>
  <conditionalFormatting sqref="W42">
    <cfRule type="cellIs" dxfId="1" priority="754" operator="equal">
      <formula>0</formula>
    </cfRule>
    <cfRule type="cellIs" dxfId="2" priority="755" operator="lessThan">
      <formula>E42</formula>
    </cfRule>
  </conditionalFormatting>
  <conditionalFormatting sqref="W43">
    <cfRule type="cellIs" dxfId="1" priority="759" operator="equal">
      <formula>0</formula>
    </cfRule>
    <cfRule type="cellIs" dxfId="2" priority="760" operator="lessThan">
      <formula>E43</formula>
    </cfRule>
  </conditionalFormatting>
  <conditionalFormatting sqref="W7">
    <cfRule type="cellIs" dxfId="1" priority="609" operator="equal">
      <formula>0</formula>
    </cfRule>
    <cfRule type="cellIs" dxfId="2" priority="610" operator="lessThan">
      <formula>E7</formula>
    </cfRule>
  </conditionalFormatting>
  <conditionalFormatting sqref="W8">
    <cfRule type="cellIs" dxfId="1" priority="614" operator="equal">
      <formula>0</formula>
    </cfRule>
    <cfRule type="cellIs" dxfId="2" priority="615" operator="lessThan">
      <formula>E8</formula>
    </cfRule>
  </conditionalFormatting>
  <conditionalFormatting sqref="W9">
    <cfRule type="cellIs" dxfId="1" priority="619" operator="equal">
      <formula>0</formula>
    </cfRule>
    <cfRule type="cellIs" dxfId="2" priority="620" operator="lessThan">
      <formula>E9</formula>
    </cfRule>
  </conditionalFormatting>
  <conditionalFormatting sqref="X10">
    <cfRule type="cellIs" dxfId="1" priority="626" operator="greaterThan">
      <formula>W10</formula>
    </cfRule>
  </conditionalFormatting>
  <conditionalFormatting sqref="X11">
    <cfRule type="cellIs" dxfId="1" priority="631" operator="greaterThan">
      <formula>W11</formula>
    </cfRule>
  </conditionalFormatting>
  <conditionalFormatting sqref="X12">
    <cfRule type="cellIs" dxfId="1" priority="636" operator="greaterThan">
      <formula>W12</formula>
    </cfRule>
  </conditionalFormatting>
  <conditionalFormatting sqref="X13">
    <cfRule type="cellIs" dxfId="1" priority="641" operator="greaterThan">
      <formula>W13</formula>
    </cfRule>
  </conditionalFormatting>
  <conditionalFormatting sqref="X15">
    <cfRule type="cellIs" dxfId="1" priority="646" operator="greaterThan">
      <formula>W15</formula>
    </cfRule>
  </conditionalFormatting>
  <conditionalFormatting sqref="X16">
    <cfRule type="cellIs" dxfId="1" priority="651" operator="greaterThan">
      <formula>W16</formula>
    </cfRule>
  </conditionalFormatting>
  <conditionalFormatting sqref="X17">
    <cfRule type="cellIs" dxfId="1" priority="656" operator="greaterThan">
      <formula>W17</formula>
    </cfRule>
  </conditionalFormatting>
  <conditionalFormatting sqref="X19">
    <cfRule type="cellIs" dxfId="1" priority="661" operator="greaterThan">
      <formula>W19</formula>
    </cfRule>
  </conditionalFormatting>
  <conditionalFormatting sqref="X20">
    <cfRule type="cellIs" dxfId="1" priority="666" operator="greaterThan">
      <formula>W20</formula>
    </cfRule>
  </conditionalFormatting>
  <conditionalFormatting sqref="X21">
    <cfRule type="cellIs" dxfId="1" priority="671" operator="greaterThan">
      <formula>W21</formula>
    </cfRule>
  </conditionalFormatting>
  <conditionalFormatting sqref="X22">
    <cfRule type="cellIs" dxfId="1" priority="676" operator="greaterThan">
      <formula>W22</formula>
    </cfRule>
  </conditionalFormatting>
  <conditionalFormatting sqref="X23">
    <cfRule type="cellIs" dxfId="1" priority="681" operator="greaterThan">
      <formula>W23</formula>
    </cfRule>
  </conditionalFormatting>
  <conditionalFormatting sqref="X24">
    <cfRule type="cellIs" dxfId="1" priority="686" operator="greaterThan">
      <formula>W24</formula>
    </cfRule>
  </conditionalFormatting>
  <conditionalFormatting sqref="X25">
    <cfRule type="cellIs" dxfId="1" priority="691" operator="greaterThan">
      <formula>W25</formula>
    </cfRule>
  </conditionalFormatting>
  <conditionalFormatting sqref="X26">
    <cfRule type="cellIs" dxfId="1" priority="696" operator="greaterThan">
      <formula>W26</formula>
    </cfRule>
  </conditionalFormatting>
  <conditionalFormatting sqref="X27">
    <cfRule type="cellIs" dxfId="1" priority="701" operator="greaterThan">
      <formula>W27</formula>
    </cfRule>
  </conditionalFormatting>
  <conditionalFormatting sqref="X28">
    <cfRule type="cellIs" dxfId="1" priority="706" operator="greaterThan">
      <formula>W28</formula>
    </cfRule>
  </conditionalFormatting>
  <conditionalFormatting sqref="X30">
    <cfRule type="cellIs" dxfId="1" priority="711" operator="greaterThan">
      <formula>W30</formula>
    </cfRule>
  </conditionalFormatting>
  <conditionalFormatting sqref="X31">
    <cfRule type="cellIs" dxfId="1" priority="716" operator="greaterThan">
      <formula>W31</formula>
    </cfRule>
  </conditionalFormatting>
  <conditionalFormatting sqref="X32">
    <cfRule type="cellIs" dxfId="1" priority="721" operator="greaterThan">
      <formula>W32</formula>
    </cfRule>
  </conditionalFormatting>
  <conditionalFormatting sqref="X33">
    <cfRule type="cellIs" dxfId="1" priority="726" operator="greaterThan">
      <formula>W33</formula>
    </cfRule>
  </conditionalFormatting>
  <conditionalFormatting sqref="X35">
    <cfRule type="cellIs" dxfId="1" priority="731" operator="greaterThan">
      <formula>W35</formula>
    </cfRule>
  </conditionalFormatting>
  <conditionalFormatting sqref="X36">
    <cfRule type="cellIs" dxfId="1" priority="736" operator="greaterThan">
      <formula>W36</formula>
    </cfRule>
  </conditionalFormatting>
  <conditionalFormatting sqref="X37">
    <cfRule type="cellIs" dxfId="1" priority="741" operator="greaterThan">
      <formula>W37</formula>
    </cfRule>
  </conditionalFormatting>
  <conditionalFormatting sqref="X39">
    <cfRule type="cellIs" dxfId="1" priority="746" operator="greaterThan">
      <formula>W39</formula>
    </cfRule>
  </conditionalFormatting>
  <conditionalFormatting sqref="X40">
    <cfRule type="cellIs" dxfId="1" priority="751" operator="greaterThan">
      <formula>W40</formula>
    </cfRule>
  </conditionalFormatting>
  <conditionalFormatting sqref="X42">
    <cfRule type="cellIs" dxfId="1" priority="756" operator="greaterThan">
      <formula>W42</formula>
    </cfRule>
  </conditionalFormatting>
  <conditionalFormatting sqref="X43">
    <cfRule type="cellIs" dxfId="1" priority="761" operator="greaterThan">
      <formula>W43</formula>
    </cfRule>
  </conditionalFormatting>
  <conditionalFormatting sqref="X7">
    <cfRule type="cellIs" dxfId="1" priority="611" operator="greaterThan">
      <formula>W7</formula>
    </cfRule>
  </conditionalFormatting>
  <conditionalFormatting sqref="X8">
    <cfRule type="cellIs" dxfId="1" priority="616" operator="greaterThan">
      <formula>W8</formula>
    </cfRule>
  </conditionalFormatting>
  <conditionalFormatting sqref="X9">
    <cfRule type="cellIs" dxfId="1" priority="621" operator="greaterThan">
      <formula>W9</formula>
    </cfRule>
  </conditionalFormatting>
  <conditionalFormatting sqref="Y10">
    <cfRule type="cellIs" dxfId="4" priority="628" operator="lessThanOrEqual">
      <formula>F10</formula>
    </cfRule>
  </conditionalFormatting>
  <conditionalFormatting sqref="Y11">
    <cfRule type="cellIs" dxfId="4" priority="633" operator="lessThanOrEqual">
      <formula>F11</formula>
    </cfRule>
  </conditionalFormatting>
  <conditionalFormatting sqref="Y12">
    <cfRule type="cellIs" dxfId="4" priority="638" operator="lessThanOrEqual">
      <formula>F12</formula>
    </cfRule>
  </conditionalFormatting>
  <conditionalFormatting sqref="Y13">
    <cfRule type="cellIs" dxfId="4" priority="643" operator="lessThanOrEqual">
      <formula>F13</formula>
    </cfRule>
  </conditionalFormatting>
  <conditionalFormatting sqref="Y15">
    <cfRule type="cellIs" dxfId="4" priority="648" operator="lessThanOrEqual">
      <formula>F15</formula>
    </cfRule>
  </conditionalFormatting>
  <conditionalFormatting sqref="Y16">
    <cfRule type="cellIs" dxfId="4" priority="653" operator="lessThanOrEqual">
      <formula>F16</formula>
    </cfRule>
  </conditionalFormatting>
  <conditionalFormatting sqref="Y17">
    <cfRule type="cellIs" dxfId="4" priority="658" operator="lessThanOrEqual">
      <formula>F17</formula>
    </cfRule>
  </conditionalFormatting>
  <conditionalFormatting sqref="Y19">
    <cfRule type="cellIs" dxfId="4" priority="663" operator="lessThanOrEqual">
      <formula>F19</formula>
    </cfRule>
  </conditionalFormatting>
  <conditionalFormatting sqref="Y20">
    <cfRule type="cellIs" dxfId="4" priority="668" operator="lessThanOrEqual">
      <formula>F20</formula>
    </cfRule>
  </conditionalFormatting>
  <conditionalFormatting sqref="Y21">
    <cfRule type="cellIs" dxfId="4" priority="673" operator="lessThanOrEqual">
      <formula>F21</formula>
    </cfRule>
  </conditionalFormatting>
  <conditionalFormatting sqref="Y22">
    <cfRule type="cellIs" dxfId="4" priority="678" operator="lessThanOrEqual">
      <formula>F22</formula>
    </cfRule>
  </conditionalFormatting>
  <conditionalFormatting sqref="Y23">
    <cfRule type="cellIs" dxfId="4" priority="683" operator="lessThanOrEqual">
      <formula>F23</formula>
    </cfRule>
  </conditionalFormatting>
  <conditionalFormatting sqref="Y24">
    <cfRule type="cellIs" dxfId="4" priority="688" operator="lessThanOrEqual">
      <formula>F24</formula>
    </cfRule>
  </conditionalFormatting>
  <conditionalFormatting sqref="Y25">
    <cfRule type="cellIs" dxfId="4" priority="693" operator="lessThanOrEqual">
      <formula>F25</formula>
    </cfRule>
  </conditionalFormatting>
  <conditionalFormatting sqref="Y26">
    <cfRule type="cellIs" dxfId="4" priority="698" operator="lessThanOrEqual">
      <formula>F26</formula>
    </cfRule>
  </conditionalFormatting>
  <conditionalFormatting sqref="Y27">
    <cfRule type="cellIs" dxfId="4" priority="703" operator="lessThanOrEqual">
      <formula>F27</formula>
    </cfRule>
  </conditionalFormatting>
  <conditionalFormatting sqref="Y28">
    <cfRule type="cellIs" dxfId="4" priority="708" operator="lessThanOrEqual">
      <formula>F28</formula>
    </cfRule>
  </conditionalFormatting>
  <conditionalFormatting sqref="Y30">
    <cfRule type="cellIs" dxfId="4" priority="713" operator="lessThanOrEqual">
      <formula>F30</formula>
    </cfRule>
  </conditionalFormatting>
  <conditionalFormatting sqref="Y31">
    <cfRule type="cellIs" dxfId="4" priority="718" operator="lessThanOrEqual">
      <formula>F31</formula>
    </cfRule>
  </conditionalFormatting>
  <conditionalFormatting sqref="Y32">
    <cfRule type="cellIs" dxfId="4" priority="723" operator="lessThanOrEqual">
      <formula>F32</formula>
    </cfRule>
  </conditionalFormatting>
  <conditionalFormatting sqref="Y33">
    <cfRule type="cellIs" dxfId="4" priority="728" operator="lessThanOrEqual">
      <formula>F33</formula>
    </cfRule>
  </conditionalFormatting>
  <conditionalFormatting sqref="Y35">
    <cfRule type="cellIs" dxfId="4" priority="733" operator="lessThanOrEqual">
      <formula>F35</formula>
    </cfRule>
  </conditionalFormatting>
  <conditionalFormatting sqref="Y36">
    <cfRule type="cellIs" dxfId="4" priority="738" operator="lessThanOrEqual">
      <formula>F36</formula>
    </cfRule>
  </conditionalFormatting>
  <conditionalFormatting sqref="Y37">
    <cfRule type="cellIs" dxfId="4" priority="743" operator="lessThanOrEqual">
      <formula>F37</formula>
    </cfRule>
  </conditionalFormatting>
  <conditionalFormatting sqref="Y39">
    <cfRule type="cellIs" dxfId="4" priority="748" operator="lessThanOrEqual">
      <formula>F39</formula>
    </cfRule>
  </conditionalFormatting>
  <conditionalFormatting sqref="Y40">
    <cfRule type="cellIs" dxfId="4" priority="753" operator="lessThanOrEqual">
      <formula>F40</formula>
    </cfRule>
  </conditionalFormatting>
  <conditionalFormatting sqref="Y42">
    <cfRule type="cellIs" dxfId="4" priority="758" operator="lessThanOrEqual">
      <formula>F42</formula>
    </cfRule>
  </conditionalFormatting>
  <conditionalFormatting sqref="Y43">
    <cfRule type="cellIs" dxfId="4" priority="763" operator="lessThanOrEqual">
      <formula>F43</formula>
    </cfRule>
  </conditionalFormatting>
  <conditionalFormatting sqref="Y7">
    <cfRule type="cellIs" dxfId="4" priority="613" operator="lessThanOrEqual">
      <formula>F7</formula>
    </cfRule>
  </conditionalFormatting>
  <conditionalFormatting sqref="Y8">
    <cfRule type="cellIs" dxfId="4" priority="618" operator="lessThanOrEqual">
      <formula>F8</formula>
    </cfRule>
  </conditionalFormatting>
  <conditionalFormatting sqref="Y9">
    <cfRule type="cellIs" dxfId="4" priority="623" operator="lessThanOrEqual">
      <formula>F9</formula>
    </cfRule>
  </conditionalFormatting>
  <conditionalFormatting sqref="Z10">
    <cfRule type="cellIs" dxfId="4" priority="627" operator="lessThanOrEqual">
      <formula>G10</formula>
    </cfRule>
  </conditionalFormatting>
  <conditionalFormatting sqref="Z11">
    <cfRule type="cellIs" dxfId="4" priority="632" operator="lessThanOrEqual">
      <formula>G11</formula>
    </cfRule>
  </conditionalFormatting>
  <conditionalFormatting sqref="Z12">
    <cfRule type="cellIs" dxfId="4" priority="637" operator="lessThanOrEqual">
      <formula>G12</formula>
    </cfRule>
  </conditionalFormatting>
  <conditionalFormatting sqref="Z13">
    <cfRule type="cellIs" dxfId="4" priority="642" operator="lessThanOrEqual">
      <formula>G13</formula>
    </cfRule>
  </conditionalFormatting>
  <conditionalFormatting sqref="Z15">
    <cfRule type="cellIs" dxfId="4" priority="647" operator="lessThanOrEqual">
      <formula>G15</formula>
    </cfRule>
  </conditionalFormatting>
  <conditionalFormatting sqref="Z16">
    <cfRule type="cellIs" dxfId="4" priority="652" operator="lessThanOrEqual">
      <formula>G16</formula>
    </cfRule>
  </conditionalFormatting>
  <conditionalFormatting sqref="Z17">
    <cfRule type="cellIs" dxfId="4" priority="657" operator="lessThanOrEqual">
      <formula>G17</formula>
    </cfRule>
  </conditionalFormatting>
  <conditionalFormatting sqref="Z19">
    <cfRule type="cellIs" dxfId="4" priority="662" operator="lessThanOrEqual">
      <formula>G19</formula>
    </cfRule>
  </conditionalFormatting>
  <conditionalFormatting sqref="Z20">
    <cfRule type="cellIs" dxfId="4" priority="667" operator="lessThanOrEqual">
      <formula>G20</formula>
    </cfRule>
  </conditionalFormatting>
  <conditionalFormatting sqref="Z21">
    <cfRule type="cellIs" dxfId="4" priority="672" operator="lessThanOrEqual">
      <formula>G21</formula>
    </cfRule>
  </conditionalFormatting>
  <conditionalFormatting sqref="Z22">
    <cfRule type="cellIs" dxfId="4" priority="677" operator="lessThanOrEqual">
      <formula>G22</formula>
    </cfRule>
  </conditionalFormatting>
  <conditionalFormatting sqref="Z23">
    <cfRule type="cellIs" dxfId="4" priority="682" operator="lessThanOrEqual">
      <formula>G23</formula>
    </cfRule>
  </conditionalFormatting>
  <conditionalFormatting sqref="Z24">
    <cfRule type="cellIs" dxfId="4" priority="687" operator="lessThanOrEqual">
      <formula>G24</formula>
    </cfRule>
  </conditionalFormatting>
  <conditionalFormatting sqref="Z25">
    <cfRule type="cellIs" dxfId="4" priority="692" operator="lessThanOrEqual">
      <formula>G25</formula>
    </cfRule>
  </conditionalFormatting>
  <conditionalFormatting sqref="Z26">
    <cfRule type="cellIs" dxfId="4" priority="697" operator="lessThanOrEqual">
      <formula>G26</formula>
    </cfRule>
  </conditionalFormatting>
  <conditionalFormatting sqref="Z27">
    <cfRule type="cellIs" dxfId="4" priority="702" operator="lessThanOrEqual">
      <formula>G27</formula>
    </cfRule>
  </conditionalFormatting>
  <conditionalFormatting sqref="Z28">
    <cfRule type="cellIs" dxfId="4" priority="707" operator="lessThanOrEqual">
      <formula>G28</formula>
    </cfRule>
  </conditionalFormatting>
  <conditionalFormatting sqref="Z30">
    <cfRule type="cellIs" dxfId="4" priority="712" operator="lessThanOrEqual">
      <formula>G30</formula>
    </cfRule>
  </conditionalFormatting>
  <conditionalFormatting sqref="Z31">
    <cfRule type="cellIs" dxfId="4" priority="717" operator="lessThanOrEqual">
      <formula>G31</formula>
    </cfRule>
  </conditionalFormatting>
  <conditionalFormatting sqref="Z32">
    <cfRule type="cellIs" dxfId="4" priority="722" operator="lessThanOrEqual">
      <formula>G32</formula>
    </cfRule>
  </conditionalFormatting>
  <conditionalFormatting sqref="Z33">
    <cfRule type="cellIs" dxfId="4" priority="727" operator="lessThanOrEqual">
      <formula>G33</formula>
    </cfRule>
  </conditionalFormatting>
  <conditionalFormatting sqref="Z35">
    <cfRule type="cellIs" dxfId="4" priority="732" operator="lessThanOrEqual">
      <formula>G35</formula>
    </cfRule>
  </conditionalFormatting>
  <conditionalFormatting sqref="Z36">
    <cfRule type="cellIs" dxfId="4" priority="737" operator="lessThanOrEqual">
      <formula>G36</formula>
    </cfRule>
  </conditionalFormatting>
  <conditionalFormatting sqref="Z37">
    <cfRule type="cellIs" dxfId="4" priority="742" operator="lessThanOrEqual">
      <formula>G37</formula>
    </cfRule>
  </conditionalFormatting>
  <conditionalFormatting sqref="Z39">
    <cfRule type="cellIs" dxfId="4" priority="747" operator="lessThanOrEqual">
      <formula>G39</formula>
    </cfRule>
  </conditionalFormatting>
  <conditionalFormatting sqref="Z40">
    <cfRule type="cellIs" dxfId="4" priority="752" operator="lessThanOrEqual">
      <formula>G40</formula>
    </cfRule>
  </conditionalFormatting>
  <conditionalFormatting sqref="Z42">
    <cfRule type="cellIs" dxfId="4" priority="757" operator="lessThanOrEqual">
      <formula>G42</formula>
    </cfRule>
  </conditionalFormatting>
  <conditionalFormatting sqref="Z43">
    <cfRule type="cellIs" dxfId="4" priority="762" operator="lessThanOrEqual">
      <formula>G43</formula>
    </cfRule>
  </conditionalFormatting>
  <conditionalFormatting sqref="Z7">
    <cfRule type="cellIs" dxfId="4" priority="612" operator="lessThanOrEqual">
      <formula>G7</formula>
    </cfRule>
  </conditionalFormatting>
  <conditionalFormatting sqref="Z8">
    <cfRule type="cellIs" dxfId="4" priority="617" operator="lessThanOrEqual">
      <formula>G8</formula>
    </cfRule>
  </conditionalFormatting>
  <conditionalFormatting sqref="Z9">
    <cfRule type="cellIs" dxfId="4" priority="622" operator="lessThanOrEqual">
      <formula>G9</formula>
    </cfRule>
  </conditionalFormatting>
  <hyperlinks>
    <hyperlink ref="L7" r:id="rId1"/>
    <hyperlink ref="Q7" r:id="rId2"/>
    <hyperlink ref="V7" r:id="rId3"/>
    <hyperlink ref="AA7" r:id="rId4"/>
    <hyperlink ref="AF7" r:id="rId5"/>
    <hyperlink ref="L8" r:id="rId6"/>
    <hyperlink ref="Q8" r:id="rId7"/>
    <hyperlink ref="V8" r:id="rId8"/>
    <hyperlink ref="AA8" r:id="rId9"/>
    <hyperlink ref="AF8" r:id="rId10"/>
    <hyperlink ref="L9" r:id="rId11"/>
    <hyperlink ref="Q9" r:id="rId12"/>
    <hyperlink ref="V9" r:id="rId13"/>
    <hyperlink ref="AA9" r:id="rId14"/>
    <hyperlink ref="AF9" r:id="rId15"/>
    <hyperlink ref="AK9" r:id="rId16"/>
    <hyperlink ref="AP9" r:id="rId17"/>
    <hyperlink ref="Q10" r:id="rId18"/>
    <hyperlink ref="V10" r:id="rId19"/>
    <hyperlink ref="AA10" r:id="rId20"/>
    <hyperlink ref="AF10" r:id="rId21"/>
    <hyperlink ref="AK10" r:id="rId22"/>
    <hyperlink ref="L11" r:id="rId23"/>
    <hyperlink ref="Q11" r:id="rId24"/>
    <hyperlink ref="V11" r:id="rId25"/>
    <hyperlink ref="AA11" r:id="rId26"/>
    <hyperlink ref="AF11" r:id="rId27"/>
    <hyperlink ref="AK11" r:id="rId28"/>
    <hyperlink ref="AP11" r:id="rId29"/>
    <hyperlink ref="L12" r:id="rId30"/>
    <hyperlink ref="Q12" r:id="rId31"/>
    <hyperlink ref="V12" r:id="rId32"/>
    <hyperlink ref="AA12" r:id="rId33"/>
    <hyperlink ref="AF12" r:id="rId34"/>
    <hyperlink ref="AK12" r:id="rId35"/>
    <hyperlink ref="AP12" r:id="rId36"/>
    <hyperlink ref="L13" r:id="rId37"/>
    <hyperlink ref="Q13" r:id="rId38"/>
    <hyperlink ref="V13" r:id="rId39"/>
    <hyperlink ref="AA13" r:id="rId40"/>
    <hyperlink ref="AF13" r:id="rId41"/>
    <hyperlink ref="AK13" r:id="rId42"/>
    <hyperlink ref="L14" r:id="rId43"/>
    <hyperlink ref="Q14" r:id="rId44"/>
    <hyperlink ref="AP14" r:id="rId45"/>
    <hyperlink ref="L15" r:id="rId46"/>
    <hyperlink ref="Q15" r:id="rId47"/>
    <hyperlink ref="V15" r:id="rId48"/>
    <hyperlink ref="AA15" r:id="rId49"/>
    <hyperlink ref="AF15" r:id="rId50"/>
    <hyperlink ref="AK15" r:id="rId51"/>
    <hyperlink ref="AP15" r:id="rId52"/>
    <hyperlink ref="L16" r:id="rId53"/>
    <hyperlink ref="Q16" r:id="rId54"/>
    <hyperlink ref="V16" r:id="rId55"/>
    <hyperlink ref="AA16" r:id="rId56"/>
    <hyperlink ref="AF16" r:id="rId57"/>
    <hyperlink ref="AK16" r:id="rId58"/>
    <hyperlink ref="Q17" r:id="rId59"/>
    <hyperlink ref="V17" r:id="rId60"/>
    <hyperlink ref="AA17" r:id="rId61"/>
    <hyperlink ref="AF17" r:id="rId62"/>
    <hyperlink ref="AK17" r:id="rId63"/>
    <hyperlink ref="AP17" r:id="rId64"/>
    <hyperlink ref="L18" r:id="rId65"/>
    <hyperlink ref="Q18" r:id="rId66"/>
    <hyperlink ref="Q19" r:id="rId67"/>
    <hyperlink ref="AA19" r:id="rId68"/>
    <hyperlink ref="AF19" r:id="rId69"/>
    <hyperlink ref="AK19" r:id="rId70"/>
    <hyperlink ref="L20" r:id="rId71"/>
    <hyperlink ref="Q20" r:id="rId72"/>
    <hyperlink ref="V20" r:id="rId73"/>
    <hyperlink ref="AA20" r:id="rId74"/>
    <hyperlink ref="AF20" r:id="rId75"/>
    <hyperlink ref="AK20" r:id="rId76"/>
    <hyperlink ref="AP20" r:id="rId77"/>
    <hyperlink ref="Q21" r:id="rId78"/>
    <hyperlink ref="V21" r:id="rId79"/>
    <hyperlink ref="AA21" r:id="rId80"/>
    <hyperlink ref="AK21" r:id="rId81"/>
    <hyperlink ref="L22" r:id="rId82"/>
    <hyperlink ref="Q22" r:id="rId83"/>
    <hyperlink ref="V22" r:id="rId84"/>
    <hyperlink ref="AA22" r:id="rId85"/>
    <hyperlink ref="AF22" r:id="rId86"/>
    <hyperlink ref="AK22" r:id="rId87"/>
    <hyperlink ref="L23" r:id="rId88"/>
    <hyperlink ref="Q23" r:id="rId89"/>
    <hyperlink ref="V23" r:id="rId90"/>
    <hyperlink ref="AA23" r:id="rId91"/>
    <hyperlink ref="AF23" r:id="rId92"/>
    <hyperlink ref="AK23" r:id="rId93"/>
    <hyperlink ref="AP23" r:id="rId94"/>
    <hyperlink ref="L24" r:id="rId95"/>
    <hyperlink ref="Q24" r:id="rId96"/>
    <hyperlink ref="V24" r:id="rId97"/>
    <hyperlink ref="AA24" r:id="rId98"/>
    <hyperlink ref="AF24" r:id="rId99"/>
    <hyperlink ref="AK24" r:id="rId100"/>
    <hyperlink ref="AP24" r:id="rId101"/>
    <hyperlink ref="L25" r:id="rId102"/>
    <hyperlink ref="Q25" r:id="rId103"/>
    <hyperlink ref="V25" r:id="rId104"/>
    <hyperlink ref="AA25" r:id="rId105"/>
    <hyperlink ref="AF25" r:id="rId106"/>
    <hyperlink ref="AK25" r:id="rId107"/>
    <hyperlink ref="AP25" r:id="rId108"/>
    <hyperlink ref="L26" r:id="rId109"/>
    <hyperlink ref="Q26" r:id="rId110"/>
    <hyperlink ref="V26" r:id="rId111"/>
    <hyperlink ref="AA26" r:id="rId112"/>
    <hyperlink ref="AF26" r:id="rId113"/>
    <hyperlink ref="L27" r:id="rId114"/>
    <hyperlink ref="Q27" r:id="rId115"/>
    <hyperlink ref="V27" r:id="rId116"/>
    <hyperlink ref="AA27" r:id="rId117"/>
    <hyperlink ref="AF27" r:id="rId118"/>
    <hyperlink ref="AK27" r:id="rId119"/>
    <hyperlink ref="L28" r:id="rId120"/>
    <hyperlink ref="Q28" r:id="rId121"/>
    <hyperlink ref="AA28" r:id="rId122"/>
    <hyperlink ref="AF28" r:id="rId123"/>
    <hyperlink ref="Q29" r:id="rId124"/>
    <hyperlink ref="L30" r:id="rId125"/>
    <hyperlink ref="Q30" r:id="rId126"/>
    <hyperlink ref="V30" r:id="rId127"/>
    <hyperlink ref="AA30" r:id="rId128"/>
    <hyperlink ref="AF30" r:id="rId129"/>
    <hyperlink ref="AK30" r:id="rId130"/>
    <hyperlink ref="L31" r:id="rId131"/>
    <hyperlink ref="Q31" r:id="rId132"/>
    <hyperlink ref="V31" r:id="rId133"/>
    <hyperlink ref="AA31" r:id="rId134"/>
    <hyperlink ref="AF31" r:id="rId135"/>
    <hyperlink ref="AK31" r:id="rId136"/>
    <hyperlink ref="AP31" r:id="rId137"/>
    <hyperlink ref="L32" r:id="rId138"/>
    <hyperlink ref="Q32" r:id="rId139"/>
    <hyperlink ref="V32" r:id="rId140"/>
    <hyperlink ref="AA32" r:id="rId141"/>
    <hyperlink ref="AF32" r:id="rId142"/>
    <hyperlink ref="AK32" r:id="rId143"/>
    <hyperlink ref="Q33" r:id="rId144"/>
    <hyperlink ref="V33" r:id="rId145"/>
    <hyperlink ref="AA33" r:id="rId146"/>
    <hyperlink ref="AF33" r:id="rId147"/>
    <hyperlink ref="AK33" r:id="rId148"/>
    <hyperlink ref="V34" r:id="rId149"/>
    <hyperlink ref="AF34" r:id="rId150"/>
    <hyperlink ref="Q35" r:id="rId151"/>
    <hyperlink ref="V35" r:id="rId152"/>
    <hyperlink ref="AA35" r:id="rId153"/>
    <hyperlink ref="AF35" r:id="rId154"/>
    <hyperlink ref="AK35" r:id="rId155"/>
    <hyperlink ref="L36" r:id="rId156"/>
    <hyperlink ref="Q36" r:id="rId157"/>
    <hyperlink ref="V36" r:id="rId158"/>
    <hyperlink ref="AA36" r:id="rId159"/>
    <hyperlink ref="AF36" r:id="rId160"/>
    <hyperlink ref="AK36" r:id="rId161"/>
    <hyperlink ref="AP36" r:id="rId162"/>
    <hyperlink ref="L37" r:id="rId163"/>
    <hyperlink ref="Q37" r:id="rId164"/>
    <hyperlink ref="AA37" r:id="rId165"/>
    <hyperlink ref="AK37" r:id="rId166"/>
    <hyperlink ref="L38" r:id="rId167"/>
    <hyperlink ref="Q38" r:id="rId168"/>
    <hyperlink ref="V38" r:id="rId169"/>
    <hyperlink ref="AF38" r:id="rId170"/>
    <hyperlink ref="AP38" r:id="rId171"/>
    <hyperlink ref="L39" r:id="rId172"/>
    <hyperlink ref="Q39" r:id="rId173"/>
    <hyperlink ref="V39" r:id="rId174"/>
    <hyperlink ref="AA39" r:id="rId175"/>
    <hyperlink ref="AK39" r:id="rId176"/>
    <hyperlink ref="L40" r:id="rId177"/>
    <hyperlink ref="Q40" r:id="rId178"/>
    <hyperlink ref="AA40" r:id="rId179"/>
    <hyperlink ref="AF40" r:id="rId180"/>
    <hyperlink ref="L42" r:id="rId181"/>
    <hyperlink ref="Q42" r:id="rId182"/>
    <hyperlink ref="V42" r:id="rId183"/>
    <hyperlink ref="AA42" r:id="rId184"/>
    <hyperlink ref="AF42" r:id="rId185"/>
    <hyperlink ref="L43" r:id="rId186"/>
    <hyperlink ref="Q43" r:id="rId187"/>
    <hyperlink ref="V43" r:id="rId188"/>
    <hyperlink ref="AA43" r:id="rId189"/>
    <hyperlink ref="AF43" r:id="rId190"/>
  </hyperlinks>
  <pageMargins left="0.7" right="0.7" top="0.75" bottom="0.75" header="0.3" footer="0.3"/>
  <legacyDrawing r:id="rId1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BotSchematicRouted_v02 copy. </vt:lpstr>
      <vt:lpstr>arrow_part_data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2018-11-02T16:50:17Z</dcterms:created>
  <dcterms:modified xsi:type="dcterms:W3CDTF">2018-11-02T16:50:17Z</dcterms:modified>
</cp:coreProperties>
</file>